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PROJEKTY\20082 EPC Středočeský kraj\07 VZ\Příprava ZD\04 Bez Pyšel\"/>
    </mc:Choice>
  </mc:AlternateContent>
  <bookViews>
    <workbookView xWindow="0" yWindow="0" windowWidth="28800" windowHeight="12345" tabRatio="915" activeTab="3"/>
  </bookViews>
  <sheets>
    <sheet name="Investice a úspory" sheetId="19" r:id="rId1"/>
    <sheet name="Modelová nabídka" sheetId="20" r:id="rId2"/>
    <sheet name="Cenová příloha" sheetId="21" r:id="rId3"/>
    <sheet name="REFERENČNÍ ÚDAJE" sheetId="17" r:id="rId4"/>
    <sheet name="01 OA, SPgŠ a JŠ Beroun" sheetId="80" r:id="rId5"/>
    <sheet name="02 SOŠ a SOU Jílové" sheetId="83" r:id="rId6"/>
    <sheet name="02.1 SOŠ a SOU Jílové-jídelna" sheetId="84" r:id="rId7"/>
    <sheet name="03 Muzeum Jílové" sheetId="82" r:id="rId8"/>
    <sheet name="04 Domov Kytín" sheetId="79" r:id="rId9"/>
    <sheet name="05 ZŠ a DD Sedlec-Prčice" sheetId="86" r:id="rId10"/>
    <sheet name="06 DPS Nové Strašecí" sheetId="87" r:id="rId11"/>
    <sheet name="07 SOU Sedlčany-DDM" sheetId="81" r:id="rId12"/>
  </sheets>
  <externalReferences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_DATA__" localSheetId="4">#REF!</definedName>
    <definedName name="__DATA__" localSheetId="5">#REF!</definedName>
    <definedName name="__DATA__" localSheetId="6">#REF!</definedName>
    <definedName name="__DATA__" localSheetId="7">#REF!</definedName>
    <definedName name="__DATA__" localSheetId="9">#REF!</definedName>
    <definedName name="__DATA__" localSheetId="10">#REF!</definedName>
    <definedName name="__DATA__" localSheetId="11">#REF!</definedName>
    <definedName name="__DATA__">#REF!</definedName>
    <definedName name="__MAIN__" localSheetId="4">#REF!</definedName>
    <definedName name="__MAIN__" localSheetId="5">#REF!</definedName>
    <definedName name="__MAIN__" localSheetId="6">#REF!</definedName>
    <definedName name="__MAIN__" localSheetId="7">#REF!</definedName>
    <definedName name="__MAIN__" localSheetId="9">#REF!</definedName>
    <definedName name="__MAIN__" localSheetId="10">#REF!</definedName>
    <definedName name="__MAIN__" localSheetId="11">#REF!</definedName>
    <definedName name="__MAIN__">#REF!</definedName>
    <definedName name="_Order1" hidden="1">0</definedName>
    <definedName name="_Order2" hidden="1">0</definedName>
    <definedName name="a" localSheetId="4" hidden="1">{"'List1'!$A$1:$J$73"}</definedName>
    <definedName name="a" localSheetId="5" hidden="1">{"'List1'!$A$1:$J$73"}</definedName>
    <definedName name="a" localSheetId="6" hidden="1">{"'List1'!$A$1:$J$73"}</definedName>
    <definedName name="a" localSheetId="7" hidden="1">{"'List1'!$A$1:$J$73"}</definedName>
    <definedName name="a" localSheetId="8" hidden="1">{"'List1'!$A$1:$J$73"}</definedName>
    <definedName name="a" localSheetId="9" hidden="1">{"'List1'!$A$1:$J$73"}</definedName>
    <definedName name="a" localSheetId="10" hidden="1">{"'List1'!$A$1:$J$73"}</definedName>
    <definedName name="a" localSheetId="11" hidden="1">{"'List1'!$A$1:$J$73"}</definedName>
    <definedName name="a">#REF!</definedName>
    <definedName name="aba" localSheetId="9">#REF!</definedName>
    <definedName name="aba" localSheetId="10">#REF!</definedName>
    <definedName name="aba">#REF!</definedName>
    <definedName name="AccessDatabase" hidden="1">"C:\Marek\ex - nab99\Czg 990.mdb"</definedName>
    <definedName name="budovy" localSheetId="9">#REF!</definedName>
    <definedName name="budovy" localSheetId="10">#REF!</definedName>
    <definedName name="budovy">#REF!</definedName>
    <definedName name="cenik">[1]produkty!$3:$1014</definedName>
    <definedName name="ceny" localSheetId="4" hidden="1">{"'List1'!$A$1:$J$73"}</definedName>
    <definedName name="ceny" localSheetId="5" hidden="1">{"'List1'!$A$1:$J$73"}</definedName>
    <definedName name="ceny" localSheetId="6" hidden="1">{"'List1'!$A$1:$J$73"}</definedName>
    <definedName name="ceny" localSheetId="7" hidden="1">{"'List1'!$A$1:$J$73"}</definedName>
    <definedName name="ceny" localSheetId="9" hidden="1">{"'List1'!$A$1:$J$73"}</definedName>
    <definedName name="ceny" localSheetId="10" hidden="1">{"'List1'!$A$1:$J$73"}</definedName>
    <definedName name="ceny" localSheetId="11" hidden="1">{"'List1'!$A$1:$J$73"}</definedName>
    <definedName name="ceny" hidden="1">{"'List1'!$A$1:$J$73"}</definedName>
    <definedName name="cin" localSheetId="9">#REF!</definedName>
    <definedName name="cin" localSheetId="10">#REF!</definedName>
    <definedName name="cin">#REF!</definedName>
    <definedName name="cisloobjektu">'[2]Krycí list'!$A$4</definedName>
    <definedName name="d" localSheetId="4" hidden="1">{"'List1'!$A$1:$J$73"}</definedName>
    <definedName name="d" localSheetId="5" hidden="1">{"'List1'!$A$1:$J$73"}</definedName>
    <definedName name="d" localSheetId="6" hidden="1">{"'List1'!$A$1:$J$73"}</definedName>
    <definedName name="d" localSheetId="7" hidden="1">{"'List1'!$A$1:$J$73"}</definedName>
    <definedName name="d" localSheetId="9" hidden="1">{"'List1'!$A$1:$J$73"}</definedName>
    <definedName name="d" localSheetId="10" hidden="1">{"'List1'!$A$1:$J$73"}</definedName>
    <definedName name="d" localSheetId="11" hidden="1">{"'List1'!$A$1:$J$73"}</definedName>
    <definedName name="d" hidden="1">{"'List1'!$A$1:$J$73"}</definedName>
    <definedName name="_xlnm.Database">'[3]NCABR-D-2001'!$A$1:$O$246</definedName>
    <definedName name="DPH">[4]Financování!$C$6</definedName>
    <definedName name="eC_Rekapitulace" localSheetId="4">#REF!</definedName>
    <definedName name="eC_Rekapitulace" localSheetId="5">#REF!</definedName>
    <definedName name="eC_Rekapitulace" localSheetId="6">#REF!</definedName>
    <definedName name="eC_Rekapitulace" localSheetId="7">#REF!</definedName>
    <definedName name="eC_Rekapitulace" localSheetId="9">#REF!</definedName>
    <definedName name="eC_Rekapitulace" localSheetId="10">#REF!</definedName>
    <definedName name="eC_Rekapitulace" localSheetId="11">#REF!</definedName>
    <definedName name="eC_Rekapitulace">#REF!</definedName>
    <definedName name="ene" localSheetId="9">#REF!</definedName>
    <definedName name="ene" localSheetId="10">#REF!</definedName>
    <definedName name="ene">#REF!</definedName>
    <definedName name="EUR">'[5] kursy'!$G$3</definedName>
    <definedName name="euroCALC" localSheetId="4">#REF!</definedName>
    <definedName name="euroCALC" localSheetId="5">#REF!</definedName>
    <definedName name="euroCALC" localSheetId="6">#REF!</definedName>
    <definedName name="euroCALC" localSheetId="7">#REF!</definedName>
    <definedName name="euroCALC" localSheetId="9">#REF!</definedName>
    <definedName name="euroCALC" localSheetId="10">#REF!</definedName>
    <definedName name="euroCALC" localSheetId="11">#REF!</definedName>
    <definedName name="euroCALC">#REF!</definedName>
    <definedName name="fghjhg">'[6]Krycí list'!$A$4</definedName>
    <definedName name="GBP">'[5] kursy'!$G$4</definedName>
    <definedName name="h" localSheetId="9">#REF!</definedName>
    <definedName name="h" localSheetId="10">#REF!</definedName>
    <definedName name="h">#REF!</definedName>
    <definedName name="HTML_CodePage" hidden="1">1250</definedName>
    <definedName name="HTML_Control" localSheetId="4" hidden="1">{"'List1'!$A$1:$J$73"}</definedName>
    <definedName name="HTML_Control" localSheetId="5" hidden="1">{"'List1'!$A$1:$J$73"}</definedName>
    <definedName name="HTML_Control" localSheetId="6" hidden="1">{"'List1'!$A$1:$J$73"}</definedName>
    <definedName name="HTML_Control" localSheetId="7" hidden="1">{"'List1'!$A$1:$J$73"}</definedName>
    <definedName name="HTML_Control" localSheetId="9" hidden="1">{"'List1'!$A$1:$J$73"}</definedName>
    <definedName name="HTML_Control" localSheetId="10" hidden="1">{"'List1'!$A$1:$J$73"}</definedName>
    <definedName name="HTML_Control" localSheetId="11" hidden="1">{"'List1'!$A$1:$J$73"}</definedName>
    <definedName name="HTML_Control" hidden="1">{"'List1'!$A$1:$J$73"}</definedName>
    <definedName name="HTML_Description" hidden="1">""</definedName>
    <definedName name="HTML_Email" hidden="1">""</definedName>
    <definedName name="HTML_Header" hidden="1">"List1"</definedName>
    <definedName name="HTML_LastUpdate" hidden="1">"20.2.1998"</definedName>
    <definedName name="HTML_LineAfter" hidden="1">FALSE</definedName>
    <definedName name="HTML_LineBefore" hidden="1">FALSE</definedName>
    <definedName name="HTML_Name" hidden="1">"Otakar KOUDELKA"</definedName>
    <definedName name="HTML_OBDlg2" hidden="1">TRUE</definedName>
    <definedName name="HTML_OBDlg4" hidden="1">TRUE</definedName>
    <definedName name="HTML_OS" hidden="1">0</definedName>
    <definedName name="HTML_PathFile" hidden="1">"C:\WINNT40\Profiles\Koudelka.000\Dokumenty\HTML.htm"</definedName>
    <definedName name="HTML_Title" hidden="1">"Sešit2"</definedName>
    <definedName name="indexy" localSheetId="9">#REF!</definedName>
    <definedName name="indexy" localSheetId="10">#REF!</definedName>
    <definedName name="indexy">#REF!</definedName>
    <definedName name="kk" localSheetId="4" hidden="1">{"'List1'!$A$1:$J$73"}</definedName>
    <definedName name="kk" localSheetId="5" hidden="1">{"'List1'!$A$1:$J$73"}</definedName>
    <definedName name="kk" localSheetId="6" hidden="1">{"'List1'!$A$1:$J$73"}</definedName>
    <definedName name="kk" localSheetId="7" hidden="1">{"'List1'!$A$1:$J$73"}</definedName>
    <definedName name="kk" localSheetId="9" hidden="1">{"'List1'!$A$1:$J$73"}</definedName>
    <definedName name="kk" localSheetId="10" hidden="1">{"'List1'!$A$1:$J$73"}</definedName>
    <definedName name="kk" localSheetId="11" hidden="1">{"'List1'!$A$1:$J$73"}</definedName>
    <definedName name="kk" hidden="1">{"'List1'!$A$1:$J$73"}</definedName>
    <definedName name="kod" localSheetId="9">#REF!</definedName>
    <definedName name="kod" localSheetId="10">#REF!</definedName>
    <definedName name="kod">#REF!</definedName>
    <definedName name="Koef">[4]Financování!$F$32</definedName>
    <definedName name="konstrukce" localSheetId="9">#REF!</definedName>
    <definedName name="konstrukce" localSheetId="10">#REF!</definedName>
    <definedName name="konstrukce">#REF!</definedName>
    <definedName name="kriterium1" localSheetId="4">#REF!</definedName>
    <definedName name="kriterium1" localSheetId="5">#REF!</definedName>
    <definedName name="kriterium1" localSheetId="6">#REF!</definedName>
    <definedName name="kriterium1" localSheetId="7">#REF!</definedName>
    <definedName name="kriterium1" localSheetId="9">#REF!</definedName>
    <definedName name="kriterium1" localSheetId="10">#REF!</definedName>
    <definedName name="kriterium1" localSheetId="11">#REF!</definedName>
    <definedName name="kriterium1">#REF!</definedName>
    <definedName name="materialy" localSheetId="9">#REF!</definedName>
    <definedName name="materialy" localSheetId="10">#REF!</definedName>
    <definedName name="materialy">#REF!</definedName>
    <definedName name="navratnost" localSheetId="9">#REF!</definedName>
    <definedName name="navratnost" localSheetId="10">#REF!</definedName>
    <definedName name="navratnost">#REF!</definedName>
    <definedName name="nazevobjektu">'[2]Krycí list'!$C$4</definedName>
    <definedName name="opatření" localSheetId="9">#REF!</definedName>
    <definedName name="opatření" localSheetId="10">#REF!</definedName>
    <definedName name="opatření">#REF!</definedName>
    <definedName name="plo" localSheetId="9">#REF!</definedName>
    <definedName name="plo" localSheetId="10">#REF!</definedName>
    <definedName name="plo">#REF!</definedName>
    <definedName name="POTR" localSheetId="4" hidden="1">{"'List1'!$A$1:$J$73"}</definedName>
    <definedName name="POTR" localSheetId="5" hidden="1">{"'List1'!$A$1:$J$73"}</definedName>
    <definedName name="POTR" localSheetId="6" hidden="1">{"'List1'!$A$1:$J$73"}</definedName>
    <definedName name="POTR" localSheetId="7" hidden="1">{"'List1'!$A$1:$J$73"}</definedName>
    <definedName name="POTR" localSheetId="9" hidden="1">{"'List1'!$A$1:$J$73"}</definedName>
    <definedName name="POTR" localSheetId="10" hidden="1">{"'List1'!$A$1:$J$73"}</definedName>
    <definedName name="POTR" localSheetId="11" hidden="1">{"'List1'!$A$1:$J$73"}</definedName>
    <definedName name="POTR" hidden="1">{"'List1'!$A$1:$J$73"}</definedName>
    <definedName name="potr.větve" localSheetId="4" hidden="1">{"'List1'!$A$1:$J$73"}</definedName>
    <definedName name="potr.větve" localSheetId="5" hidden="1">{"'List1'!$A$1:$J$73"}</definedName>
    <definedName name="potr.větve" localSheetId="6" hidden="1">{"'List1'!$A$1:$J$73"}</definedName>
    <definedName name="potr.větve" localSheetId="7" hidden="1">{"'List1'!$A$1:$J$73"}</definedName>
    <definedName name="potr.větve" localSheetId="9" hidden="1">{"'List1'!$A$1:$J$73"}</definedName>
    <definedName name="potr.větve" localSheetId="10" hidden="1">{"'List1'!$A$1:$J$73"}</definedName>
    <definedName name="potr.větve" localSheetId="11" hidden="1">{"'List1'!$A$1:$J$73"}</definedName>
    <definedName name="potr.větve" hidden="1">{"'List1'!$A$1:$J$73"}</definedName>
    <definedName name="SE" localSheetId="4" hidden="1">{"'List1'!$A$1:$J$73"}</definedName>
    <definedName name="SE" localSheetId="5" hidden="1">{"'List1'!$A$1:$J$73"}</definedName>
    <definedName name="SE" localSheetId="6" hidden="1">{"'List1'!$A$1:$J$73"}</definedName>
    <definedName name="SE" localSheetId="7" hidden="1">{"'List1'!$A$1:$J$73"}</definedName>
    <definedName name="SE" localSheetId="9" hidden="1">{"'List1'!$A$1:$J$73"}</definedName>
    <definedName name="SE" localSheetId="10" hidden="1">{"'List1'!$A$1:$J$73"}</definedName>
    <definedName name="SE" localSheetId="11" hidden="1">{"'List1'!$A$1:$J$73"}</definedName>
    <definedName name="SE" hidden="1">{"'List1'!$A$1:$J$73"}</definedName>
    <definedName name="sez_bud" localSheetId="9">#REF!</definedName>
    <definedName name="sez_bud" localSheetId="10">#REF!</definedName>
    <definedName name="sez_bud">#REF!</definedName>
    <definedName name="souhrn_budov" localSheetId="9">#REF!</definedName>
    <definedName name="souhrn_budov" localSheetId="10">#REF!</definedName>
    <definedName name="souhrn_budov">#REF!</definedName>
    <definedName name="soupis1" localSheetId="4" hidden="1">{"'List1'!$A$1:$J$73"}</definedName>
    <definedName name="soupis1" localSheetId="5" hidden="1">{"'List1'!$A$1:$J$73"}</definedName>
    <definedName name="soupis1" localSheetId="6" hidden="1">{"'List1'!$A$1:$J$73"}</definedName>
    <definedName name="soupis1" localSheetId="7" hidden="1">{"'List1'!$A$1:$J$73"}</definedName>
    <definedName name="soupis1" localSheetId="9" hidden="1">{"'List1'!$A$1:$J$73"}</definedName>
    <definedName name="soupis1" localSheetId="10" hidden="1">{"'List1'!$A$1:$J$73"}</definedName>
    <definedName name="soupis1" localSheetId="11" hidden="1">{"'List1'!$A$1:$J$73"}</definedName>
    <definedName name="soupis1" hidden="1">{"'List1'!$A$1:$J$73"}</definedName>
    <definedName name="test" localSheetId="9">#REF!</definedName>
    <definedName name="test" localSheetId="10">#REF!</definedName>
    <definedName name="test">#REF!</definedName>
    <definedName name="typ" localSheetId="9">#REF!</definedName>
    <definedName name="typ" localSheetId="10">#REF!</definedName>
    <definedName name="typ">#REF!</definedName>
    <definedName name="USD">'[5] kursy'!$G$5</definedName>
    <definedName name="USP" localSheetId="4" hidden="1">{"'List1'!$A$1:$J$73"}</definedName>
    <definedName name="USP" localSheetId="5" hidden="1">{"'List1'!$A$1:$J$73"}</definedName>
    <definedName name="USP" localSheetId="6" hidden="1">{"'List1'!$A$1:$J$73"}</definedName>
    <definedName name="USP" localSheetId="7" hidden="1">{"'List1'!$A$1:$J$73"}</definedName>
    <definedName name="USP" localSheetId="9" hidden="1">{"'List1'!$A$1:$J$73"}</definedName>
    <definedName name="USP" localSheetId="10" hidden="1">{"'List1'!$A$1:$J$73"}</definedName>
    <definedName name="USP" localSheetId="11" hidden="1">{"'List1'!$A$1:$J$73"}</definedName>
    <definedName name="USP" hidden="1">{"'List1'!$A$1:$J$73"}</definedName>
    <definedName name="V.Č.30103" localSheetId="4" hidden="1">{"'List1'!$A$1:$J$73"}</definedName>
    <definedName name="V.Č.30103" localSheetId="5" hidden="1">{"'List1'!$A$1:$J$73"}</definedName>
    <definedName name="V.Č.30103" localSheetId="6" hidden="1">{"'List1'!$A$1:$J$73"}</definedName>
    <definedName name="V.Č.30103" localSheetId="7" hidden="1">{"'List1'!$A$1:$J$73"}</definedName>
    <definedName name="V.Č.30103" localSheetId="9" hidden="1">{"'List1'!$A$1:$J$73"}</definedName>
    <definedName name="V.Č.30103" localSheetId="10" hidden="1">{"'List1'!$A$1:$J$73"}</definedName>
    <definedName name="V.Č.30103" localSheetId="11" hidden="1">{"'List1'!$A$1:$J$73"}</definedName>
    <definedName name="V.Č.30103" hidden="1">{"'List1'!$A$1:$J$73"}</definedName>
    <definedName name="whefuigf">'[6]Krycí list'!$C$4</definedName>
    <definedName name="wrn.Tisk." localSheetId="4" hidden="1">{#N/A,#N/A,FALSE,"Nabídka";#N/A,#N/A,FALSE,"Specifikace"}</definedName>
    <definedName name="wrn.Tisk." localSheetId="5" hidden="1">{#N/A,#N/A,FALSE,"Nabídka";#N/A,#N/A,FALSE,"Specifikace"}</definedName>
    <definedName name="wrn.Tisk." localSheetId="6" hidden="1">{#N/A,#N/A,FALSE,"Nabídka";#N/A,#N/A,FALSE,"Specifikace"}</definedName>
    <definedName name="wrn.Tisk." localSheetId="7" hidden="1">{#N/A,#N/A,FALSE,"Nabídka";#N/A,#N/A,FALSE,"Specifikace"}</definedName>
    <definedName name="wrn.Tisk." localSheetId="9" hidden="1">{#N/A,#N/A,FALSE,"Nabídka";#N/A,#N/A,FALSE,"Specifikace"}</definedName>
    <definedName name="wrn.Tisk." localSheetId="10" hidden="1">{#N/A,#N/A,FALSE,"Nabídka";#N/A,#N/A,FALSE,"Specifikace"}</definedName>
    <definedName name="wrn.Tisk." localSheetId="11" hidden="1">{#N/A,#N/A,FALSE,"Nabídka";#N/A,#N/A,FALSE,"Specifikace"}</definedName>
    <definedName name="wrn.Tisk." hidden="1">{#N/A,#N/A,FALSE,"Nabídka";#N/A,#N/A,FALSE,"Specifikace"}</definedName>
    <definedName name="Z_0216E4A3_6182_11D6_9494_000102FA4DF4_.wvu.Cols" localSheetId="4" hidden="1">#REF!</definedName>
    <definedName name="Z_0216E4A3_6182_11D6_9494_000102FA4DF4_.wvu.Cols" localSheetId="5" hidden="1">#REF!</definedName>
    <definedName name="Z_0216E4A3_6182_11D6_9494_000102FA4DF4_.wvu.Cols" localSheetId="6" hidden="1">#REF!</definedName>
    <definedName name="Z_0216E4A3_6182_11D6_9494_000102FA4DF4_.wvu.Cols" localSheetId="7" hidden="1">#REF!</definedName>
    <definedName name="Z_0216E4A3_6182_11D6_9494_000102FA4DF4_.wvu.Cols" localSheetId="9" hidden="1">#REF!</definedName>
    <definedName name="Z_0216E4A3_6182_11D6_9494_000102FA4DF4_.wvu.Cols" localSheetId="10" hidden="1">#REF!</definedName>
    <definedName name="Z_0216E4A3_6182_11D6_9494_000102FA4DF4_.wvu.Cols" localSheetId="11" hidden="1">#REF!</definedName>
    <definedName name="Z_0216E4A3_6182_11D6_9494_000102FA4DF4_.wvu.Cols" hidden="1">#REF!</definedName>
    <definedName name="Z_0216E4A3_6182_11D6_9494_000102FA4DF4_.wvu.PrintArea" localSheetId="4" hidden="1">#REF!</definedName>
    <definedName name="Z_0216E4A3_6182_11D6_9494_000102FA4DF4_.wvu.PrintArea" localSheetId="5" hidden="1">#REF!</definedName>
    <definedName name="Z_0216E4A3_6182_11D6_9494_000102FA4DF4_.wvu.PrintArea" localSheetId="6" hidden="1">#REF!</definedName>
    <definedName name="Z_0216E4A3_6182_11D6_9494_000102FA4DF4_.wvu.PrintArea" localSheetId="7" hidden="1">#REF!</definedName>
    <definedName name="Z_0216E4A3_6182_11D6_9494_000102FA4DF4_.wvu.PrintArea" localSheetId="9" hidden="1">#REF!</definedName>
    <definedName name="Z_0216E4A3_6182_11D6_9494_000102FA4DF4_.wvu.PrintArea" localSheetId="10" hidden="1">#REF!</definedName>
    <definedName name="Z_0216E4A3_6182_11D6_9494_000102FA4DF4_.wvu.PrintArea" localSheetId="11" hidden="1">#REF!</definedName>
    <definedName name="Z_0216E4A3_6182_11D6_9494_000102FA4DF4_.wvu.PrintArea" hidden="1">#REF!</definedName>
    <definedName name="Z_0216E4A3_6182_11D6_9494_000102FA4DF4_.wvu.PrintTitles" localSheetId="4" hidden="1">#REF!</definedName>
    <definedName name="Z_0216E4A3_6182_11D6_9494_000102FA4DF4_.wvu.PrintTitles" localSheetId="5" hidden="1">#REF!</definedName>
    <definedName name="Z_0216E4A3_6182_11D6_9494_000102FA4DF4_.wvu.PrintTitles" localSheetId="6" hidden="1">#REF!</definedName>
    <definedName name="Z_0216E4A3_6182_11D6_9494_000102FA4DF4_.wvu.PrintTitles" localSheetId="7" hidden="1">#REF!</definedName>
    <definedName name="Z_0216E4A3_6182_11D6_9494_000102FA4DF4_.wvu.PrintTitles" localSheetId="9" hidden="1">#REF!</definedName>
    <definedName name="Z_0216E4A3_6182_11D6_9494_000102FA4DF4_.wvu.PrintTitles" localSheetId="10" hidden="1">#REF!</definedName>
    <definedName name="Z_0216E4A3_6182_11D6_9494_000102FA4DF4_.wvu.PrintTitles" localSheetId="11" hidden="1">#REF!</definedName>
    <definedName name="Z_0216E4A3_6182_11D6_9494_000102FA4DF4_.wvu.PrintTitles" hidden="1">#REF!</definedName>
    <definedName name="Z_A6D38DCC_6184_11D6_8FBA_000476959415_.wvu.Cols" localSheetId="4" hidden="1">#REF!</definedName>
    <definedName name="Z_A6D38DCC_6184_11D6_8FBA_000476959415_.wvu.Cols" localSheetId="5" hidden="1">#REF!</definedName>
    <definedName name="Z_A6D38DCC_6184_11D6_8FBA_000476959415_.wvu.Cols" localSheetId="6" hidden="1">#REF!</definedName>
    <definedName name="Z_A6D38DCC_6184_11D6_8FBA_000476959415_.wvu.Cols" localSheetId="7" hidden="1">#REF!</definedName>
    <definedName name="Z_A6D38DCC_6184_11D6_8FBA_000476959415_.wvu.Cols" localSheetId="9" hidden="1">#REF!</definedName>
    <definedName name="Z_A6D38DCC_6184_11D6_8FBA_000476959415_.wvu.Cols" localSheetId="10" hidden="1">#REF!</definedName>
    <definedName name="Z_A6D38DCC_6184_11D6_8FBA_000476959415_.wvu.Cols" localSheetId="11" hidden="1">#REF!</definedName>
    <definedName name="Z_A6D38DCC_6184_11D6_8FBA_000476959415_.wvu.Cols" hidden="1">#REF!</definedName>
    <definedName name="Z_A6D38DCC_6184_11D6_8FBA_000476959415_.wvu.PrintArea" localSheetId="4" hidden="1">#REF!</definedName>
    <definedName name="Z_A6D38DCC_6184_11D6_8FBA_000476959415_.wvu.PrintArea" localSheetId="5" hidden="1">#REF!</definedName>
    <definedName name="Z_A6D38DCC_6184_11D6_8FBA_000476959415_.wvu.PrintArea" localSheetId="6" hidden="1">#REF!</definedName>
    <definedName name="Z_A6D38DCC_6184_11D6_8FBA_000476959415_.wvu.PrintArea" localSheetId="7" hidden="1">#REF!</definedName>
    <definedName name="Z_A6D38DCC_6184_11D6_8FBA_000476959415_.wvu.PrintArea" localSheetId="9" hidden="1">#REF!</definedName>
    <definedName name="Z_A6D38DCC_6184_11D6_8FBA_000476959415_.wvu.PrintArea" localSheetId="10" hidden="1">#REF!</definedName>
    <definedName name="Z_A6D38DCC_6184_11D6_8FBA_000476959415_.wvu.PrintArea" localSheetId="11" hidden="1">#REF!</definedName>
    <definedName name="Z_A6D38DCC_6184_11D6_8FBA_000476959415_.wvu.PrintArea" hidden="1">#REF!</definedName>
    <definedName name="Z_A6D38DCC_6184_11D6_8FBA_000476959415_.wvu.PrintTitles" localSheetId="4" hidden="1">#REF!</definedName>
    <definedName name="Z_A6D38DCC_6184_11D6_8FBA_000476959415_.wvu.PrintTitles" localSheetId="5" hidden="1">#REF!</definedName>
    <definedName name="Z_A6D38DCC_6184_11D6_8FBA_000476959415_.wvu.PrintTitles" localSheetId="6" hidden="1">#REF!</definedName>
    <definedName name="Z_A6D38DCC_6184_11D6_8FBA_000476959415_.wvu.PrintTitles" localSheetId="7" hidden="1">#REF!</definedName>
    <definedName name="Z_A6D38DCC_6184_11D6_8FBA_000476959415_.wvu.PrintTitles" localSheetId="9" hidden="1">#REF!</definedName>
    <definedName name="Z_A6D38DCC_6184_11D6_8FBA_000476959415_.wvu.PrintTitles" localSheetId="10" hidden="1">#REF!</definedName>
    <definedName name="Z_A6D38DCC_6184_11D6_8FBA_000476959415_.wvu.PrintTitles" localSheetId="11" hidden="1">#REF!</definedName>
    <definedName name="Z_A6D38DCC_6184_11D6_8FBA_000476959415_.wvu.PrintTitles" hidden="1">#REF!</definedName>
    <definedName name="značky" localSheetId="9">#REF!</definedName>
    <definedName name="značky" localSheetId="10">#REF!</definedName>
    <definedName name="značky">#REF!</definedName>
  </definedNames>
  <calcPr calcId="162913"/>
</workbook>
</file>

<file path=xl/calcChain.xml><?xml version="1.0" encoding="utf-8"?>
<calcChain xmlns="http://schemas.openxmlformats.org/spreadsheetml/2006/main">
  <c r="F87" i="79" l="1"/>
  <c r="F48" i="79"/>
  <c r="J21" i="17" l="1"/>
  <c r="D34" i="19"/>
  <c r="D16" i="19"/>
  <c r="F16" i="19"/>
  <c r="G16" i="19"/>
  <c r="H16" i="19"/>
  <c r="I16" i="19"/>
  <c r="J16" i="19"/>
  <c r="K16" i="19"/>
  <c r="L16" i="19"/>
  <c r="M16" i="19"/>
  <c r="N16" i="19"/>
  <c r="O16" i="19"/>
  <c r="P16" i="19"/>
  <c r="Q16" i="19"/>
  <c r="R16" i="19"/>
  <c r="S16" i="19"/>
  <c r="T16" i="19"/>
  <c r="U16" i="19"/>
  <c r="V16" i="19"/>
  <c r="W16" i="19"/>
  <c r="X16" i="19"/>
  <c r="Y16" i="19"/>
  <c r="Z34" i="19"/>
  <c r="H34" i="19"/>
  <c r="I34" i="19"/>
  <c r="J34" i="19"/>
  <c r="K34" i="19"/>
  <c r="L34" i="19"/>
  <c r="M34" i="19"/>
  <c r="N34" i="19"/>
  <c r="O34" i="19"/>
  <c r="P34" i="19"/>
  <c r="Q34" i="19"/>
  <c r="R34" i="19"/>
  <c r="S34" i="19"/>
  <c r="T34" i="19"/>
  <c r="U34" i="19"/>
  <c r="V34" i="19"/>
  <c r="W34" i="19"/>
  <c r="X34" i="19"/>
  <c r="Y34" i="19"/>
  <c r="G34" i="19"/>
  <c r="F34" i="19"/>
  <c r="I48" i="19"/>
  <c r="H48" i="19"/>
  <c r="G48" i="19"/>
  <c r="F48" i="19"/>
  <c r="J62" i="19"/>
  <c r="I62" i="19"/>
  <c r="H62" i="19"/>
  <c r="G62" i="19"/>
  <c r="F62" i="19"/>
  <c r="L44" i="19"/>
  <c r="K23" i="17"/>
  <c r="J17" i="17"/>
  <c r="C31" i="79"/>
  <c r="C33" i="20"/>
  <c r="C29" i="20"/>
  <c r="C25" i="20"/>
  <c r="C24" i="20"/>
  <c r="C23" i="20"/>
  <c r="C22" i="20"/>
  <c r="C21" i="20"/>
  <c r="C20" i="20"/>
  <c r="C19" i="20"/>
  <c r="C18" i="20"/>
  <c r="C17" i="20"/>
  <c r="D6" i="20" l="1"/>
  <c r="G65" i="19"/>
  <c r="F41" i="17"/>
  <c r="F42" i="17"/>
  <c r="F43" i="17"/>
  <c r="F44" i="17"/>
  <c r="F45" i="17"/>
  <c r="F46" i="17"/>
  <c r="G46" i="17" s="1"/>
  <c r="F47" i="17"/>
  <c r="G47" i="17" s="1"/>
  <c r="F48" i="17"/>
  <c r="F49" i="17"/>
  <c r="F50" i="17"/>
  <c r="F51" i="17"/>
  <c r="F52" i="17"/>
  <c r="E53" i="17"/>
  <c r="D53" i="17" s="1"/>
  <c r="F56" i="17"/>
  <c r="F57" i="17"/>
  <c r="F58" i="17"/>
  <c r="F59" i="17"/>
  <c r="F60" i="17"/>
  <c r="F61" i="17"/>
  <c r="G61" i="17" s="1"/>
  <c r="F62" i="17"/>
  <c r="G62" i="17" s="1"/>
  <c r="F63" i="17"/>
  <c r="G63" i="17" s="1"/>
  <c r="F64" i="17"/>
  <c r="F65" i="17"/>
  <c r="F66" i="17"/>
  <c r="F67" i="17"/>
  <c r="E68" i="17"/>
  <c r="D68" i="17" s="1"/>
  <c r="F71" i="17"/>
  <c r="F72" i="17"/>
  <c r="F73" i="17"/>
  <c r="F74" i="17"/>
  <c r="F75" i="17"/>
  <c r="F76" i="17"/>
  <c r="G76" i="17"/>
  <c r="F77" i="17"/>
  <c r="G77" i="17" s="1"/>
  <c r="F78" i="17"/>
  <c r="G78" i="17" s="1"/>
  <c r="F79" i="17"/>
  <c r="F80" i="17"/>
  <c r="F81" i="17"/>
  <c r="F82" i="17"/>
  <c r="E83" i="17"/>
  <c r="D83" i="17" s="1"/>
  <c r="F86" i="17"/>
  <c r="F98" i="17" s="1"/>
  <c r="F87" i="17"/>
  <c r="F88" i="17"/>
  <c r="F89" i="17"/>
  <c r="F90" i="17"/>
  <c r="F91" i="17"/>
  <c r="G91" i="17" s="1"/>
  <c r="F92" i="17"/>
  <c r="G92" i="17" s="1"/>
  <c r="F93" i="17"/>
  <c r="G93" i="17" s="1"/>
  <c r="F94" i="17"/>
  <c r="F95" i="17"/>
  <c r="F96" i="17"/>
  <c r="F97" i="17"/>
  <c r="E98" i="17"/>
  <c r="D98" i="17" s="1"/>
  <c r="F68" i="17" l="1"/>
  <c r="F53" i="17"/>
  <c r="G95" i="17" s="1"/>
  <c r="G72" i="17"/>
  <c r="G50" i="17"/>
  <c r="G42" i="17"/>
  <c r="G52" i="17"/>
  <c r="G65" i="17"/>
  <c r="G51" i="17"/>
  <c r="G48" i="17"/>
  <c r="G45" i="17"/>
  <c r="G96" i="17"/>
  <c r="F83" i="17"/>
  <c r="G79" i="17"/>
  <c r="G71" i="17"/>
  <c r="G81" i="17"/>
  <c r="G73" i="17"/>
  <c r="G64" i="17"/>
  <c r="G56" i="17"/>
  <c r="G75" i="17"/>
  <c r="G66" i="17"/>
  <c r="G58" i="17"/>
  <c r="G49" i="17"/>
  <c r="G41" i="17"/>
  <c r="G86" i="17" l="1"/>
  <c r="G94" i="17"/>
  <c r="G74" i="17"/>
  <c r="G57" i="17"/>
  <c r="G97" i="17"/>
  <c r="G87" i="17"/>
  <c r="G67" i="17"/>
  <c r="G90" i="17"/>
  <c r="G88" i="17"/>
  <c r="G43" i="17"/>
  <c r="G60" i="17"/>
  <c r="G44" i="17"/>
  <c r="G53" i="17" s="1"/>
  <c r="G82" i="17"/>
  <c r="G59" i="17"/>
  <c r="G80" i="17"/>
  <c r="G83" i="17" s="1"/>
  <c r="G89" i="17"/>
  <c r="G98" i="17" s="1"/>
  <c r="R15" i="17"/>
  <c r="N42" i="19" s="1"/>
  <c r="G68" i="17" l="1"/>
  <c r="T19" i="17"/>
  <c r="M48" i="87"/>
  <c r="J19" i="86" l="1"/>
  <c r="J20" i="86"/>
  <c r="J21" i="86"/>
  <c r="J22" i="86"/>
  <c r="J23" i="86"/>
  <c r="J24" i="86"/>
  <c r="J25" i="86"/>
  <c r="J26" i="86"/>
  <c r="J27" i="86"/>
  <c r="J28" i="86"/>
  <c r="J29" i="86"/>
  <c r="J30" i="86"/>
  <c r="J31" i="86"/>
  <c r="J32" i="86"/>
  <c r="J33" i="86"/>
  <c r="J34" i="86"/>
  <c r="J35" i="86"/>
  <c r="J36" i="86"/>
  <c r="J37" i="86"/>
  <c r="J38" i="86"/>
  <c r="J39" i="86"/>
  <c r="J40" i="86"/>
  <c r="J41" i="86"/>
  <c r="J42" i="86"/>
  <c r="J8" i="86"/>
  <c r="J9" i="86"/>
  <c r="J10" i="86"/>
  <c r="J11" i="86"/>
  <c r="J12" i="86"/>
  <c r="J13" i="86"/>
  <c r="J14" i="86"/>
  <c r="J15" i="86"/>
  <c r="J16" i="86"/>
  <c r="J17" i="86"/>
  <c r="J18" i="86"/>
  <c r="J7" i="86"/>
  <c r="G29" i="84" l="1"/>
  <c r="G30" i="84"/>
  <c r="G31" i="84"/>
  <c r="G32" i="84"/>
  <c r="G28" i="84"/>
  <c r="G27" i="84"/>
  <c r="G10" i="84"/>
  <c r="G11" i="84"/>
  <c r="G12" i="84"/>
  <c r="G13" i="84"/>
  <c r="G14" i="84"/>
  <c r="G15" i="84"/>
  <c r="G16" i="84"/>
  <c r="G17" i="84"/>
  <c r="G18" i="84"/>
  <c r="G19" i="84"/>
  <c r="G20" i="84"/>
  <c r="G21" i="84"/>
  <c r="G22" i="84"/>
  <c r="G23" i="84"/>
  <c r="G24" i="84"/>
  <c r="G25" i="84"/>
  <c r="G26" i="84"/>
  <c r="G9" i="84"/>
  <c r="I17" i="17"/>
  <c r="I21" i="17" s="1"/>
  <c r="C87" i="79"/>
  <c r="E85" i="79"/>
  <c r="D85" i="79"/>
  <c r="C85" i="79"/>
  <c r="E84" i="79"/>
  <c r="F84" i="79" s="1"/>
  <c r="D84" i="79"/>
  <c r="C84" i="79"/>
  <c r="F85" i="79"/>
  <c r="E87" i="79"/>
  <c r="L17" i="17" s="1"/>
  <c r="E31" i="79"/>
  <c r="D31" i="79"/>
  <c r="E19" i="79"/>
  <c r="D19" i="79"/>
  <c r="C19" i="79"/>
  <c r="A69" i="79"/>
  <c r="A56" i="79"/>
  <c r="F82" i="79"/>
  <c r="F81" i="79"/>
  <c r="F80" i="79"/>
  <c r="F79" i="79"/>
  <c r="F78" i="79"/>
  <c r="F77" i="79"/>
  <c r="F76" i="79"/>
  <c r="F75" i="79"/>
  <c r="F74" i="79"/>
  <c r="F73" i="79"/>
  <c r="F72" i="79"/>
  <c r="F71" i="79"/>
  <c r="F70" i="79"/>
  <c r="F69" i="79"/>
  <c r="F68" i="79"/>
  <c r="F67" i="79"/>
  <c r="F66" i="79"/>
  <c r="F65" i="79"/>
  <c r="F64" i="79"/>
  <c r="F63" i="79"/>
  <c r="F62" i="79"/>
  <c r="F61" i="79"/>
  <c r="F60" i="79"/>
  <c r="F59" i="79"/>
  <c r="F58" i="79"/>
  <c r="F57" i="79"/>
  <c r="F56" i="79"/>
  <c r="K28" i="17" l="1"/>
  <c r="L28" i="17"/>
  <c r="AD48" i="87"/>
  <c r="R19" i="17"/>
  <c r="N46" i="19" s="1"/>
  <c r="P19" i="17"/>
  <c r="N19" i="17"/>
  <c r="M46" i="19" s="1"/>
  <c r="G19" i="17"/>
  <c r="E19" i="17"/>
  <c r="K46" i="19" s="1"/>
  <c r="P48" i="87"/>
  <c r="O48" i="87"/>
  <c r="T18" i="17"/>
  <c r="R18" i="17"/>
  <c r="N45" i="19" s="1"/>
  <c r="P18" i="17"/>
  <c r="N18" i="17"/>
  <c r="M45" i="19" s="1"/>
  <c r="Y48" i="86"/>
  <c r="S48" i="86"/>
  <c r="Q48" i="86"/>
  <c r="I7" i="86"/>
  <c r="F48" i="80"/>
  <c r="C48" i="80"/>
  <c r="AD8" i="87" l="1"/>
  <c r="AD9" i="87"/>
  <c r="AD10" i="87"/>
  <c r="AD11" i="87"/>
  <c r="AD12" i="87"/>
  <c r="AD13" i="87"/>
  <c r="AD14" i="87"/>
  <c r="AD15" i="87"/>
  <c r="AD16" i="87"/>
  <c r="AD17" i="87"/>
  <c r="AD18" i="87"/>
  <c r="AD19" i="87"/>
  <c r="AD20" i="87"/>
  <c r="AD21" i="87"/>
  <c r="AD22" i="87"/>
  <c r="AD23" i="87"/>
  <c r="AD24" i="87"/>
  <c r="AD25" i="87"/>
  <c r="AD26" i="87"/>
  <c r="AD27" i="87"/>
  <c r="AD28" i="87"/>
  <c r="AD29" i="87"/>
  <c r="AD30" i="87"/>
  <c r="AD31" i="87"/>
  <c r="AD32" i="87"/>
  <c r="AD33" i="87"/>
  <c r="AD34" i="87"/>
  <c r="AD35" i="87"/>
  <c r="AD36" i="87"/>
  <c r="AD37" i="87"/>
  <c r="AD38" i="87"/>
  <c r="AD39" i="87"/>
  <c r="AD40" i="87"/>
  <c r="AD41" i="87"/>
  <c r="AD42" i="87"/>
  <c r="AD7" i="87"/>
  <c r="Z8" i="87"/>
  <c r="Z9" i="87"/>
  <c r="Z10" i="87"/>
  <c r="Z11" i="87"/>
  <c r="Z12" i="87"/>
  <c r="Z13" i="87"/>
  <c r="Z14" i="87"/>
  <c r="Z15" i="87"/>
  <c r="Z16" i="87"/>
  <c r="Z17" i="87"/>
  <c r="Z18" i="87"/>
  <c r="Z19" i="87"/>
  <c r="Z20" i="87"/>
  <c r="Z21" i="87"/>
  <c r="Z22" i="87"/>
  <c r="Z23" i="87"/>
  <c r="Z24" i="87"/>
  <c r="Z25" i="87"/>
  <c r="Z26" i="87"/>
  <c r="Z27" i="87"/>
  <c r="Z28" i="87"/>
  <c r="Z29" i="87"/>
  <c r="Z30" i="87"/>
  <c r="Z31" i="87"/>
  <c r="Z32" i="87"/>
  <c r="Z33" i="87"/>
  <c r="Z34" i="87"/>
  <c r="Z35" i="87"/>
  <c r="Z36" i="87"/>
  <c r="Z37" i="87"/>
  <c r="Z38" i="87"/>
  <c r="Z39" i="87"/>
  <c r="Z40" i="87"/>
  <c r="Z41" i="87"/>
  <c r="Z42" i="87"/>
  <c r="Z7" i="87"/>
  <c r="AC42" i="87"/>
  <c r="AC41" i="87"/>
  <c r="AC40" i="87"/>
  <c r="AC39" i="87"/>
  <c r="AC38" i="87"/>
  <c r="AC37" i="87"/>
  <c r="AC36" i="87"/>
  <c r="AC35" i="87"/>
  <c r="AC34" i="87"/>
  <c r="AC33" i="87"/>
  <c r="AC32" i="87"/>
  <c r="AC31" i="87"/>
  <c r="AC30" i="87"/>
  <c r="AC29" i="87"/>
  <c r="AC28" i="87"/>
  <c r="AC27" i="87"/>
  <c r="AC26" i="87"/>
  <c r="AC25" i="87"/>
  <c r="AC24" i="87"/>
  <c r="AC23" i="87"/>
  <c r="AC22" i="87"/>
  <c r="AC21" i="87"/>
  <c r="AC20" i="87"/>
  <c r="AC19" i="87"/>
  <c r="AC18" i="87"/>
  <c r="AC17" i="87"/>
  <c r="AC16" i="87"/>
  <c r="AC15" i="87"/>
  <c r="AC14" i="87"/>
  <c r="AC13" i="87"/>
  <c r="AC12" i="87"/>
  <c r="AC11" i="87"/>
  <c r="AC10" i="87"/>
  <c r="AC9" i="87"/>
  <c r="AC8" i="87"/>
  <c r="AC7" i="87"/>
  <c r="AC44" i="87" s="1"/>
  <c r="O7" i="87"/>
  <c r="O31" i="87"/>
  <c r="N31" i="87" s="1"/>
  <c r="O19" i="87"/>
  <c r="N19" i="87" s="1"/>
  <c r="P7" i="87"/>
  <c r="M19" i="87"/>
  <c r="M31" i="87"/>
  <c r="M7" i="87"/>
  <c r="K31" i="87"/>
  <c r="K19" i="87"/>
  <c r="K7" i="87"/>
  <c r="I7" i="87"/>
  <c r="I31" i="87"/>
  <c r="I46" i="87" s="1"/>
  <c r="I19" i="87"/>
  <c r="I45" i="87" s="1"/>
  <c r="E46" i="87"/>
  <c r="C46" i="87"/>
  <c r="E45" i="87"/>
  <c r="C45" i="87"/>
  <c r="E44" i="87"/>
  <c r="C44" i="87"/>
  <c r="F31" i="87"/>
  <c r="D31" i="87"/>
  <c r="D46" i="87" s="1"/>
  <c r="F19" i="87"/>
  <c r="D19" i="87"/>
  <c r="D45" i="87" s="1"/>
  <c r="F7" i="87"/>
  <c r="D7" i="87"/>
  <c r="D44" i="87" s="1"/>
  <c r="V46" i="87"/>
  <c r="S46" i="87"/>
  <c r="R46" i="87"/>
  <c r="J46" i="87"/>
  <c r="H46" i="87"/>
  <c r="Y45" i="87"/>
  <c r="V45" i="87"/>
  <c r="S45" i="87"/>
  <c r="R45" i="87"/>
  <c r="J45" i="87"/>
  <c r="H45" i="87"/>
  <c r="Y44" i="87"/>
  <c r="Y48" i="87" s="1"/>
  <c r="AC48" i="87" s="1"/>
  <c r="V44" i="87"/>
  <c r="S44" i="87"/>
  <c r="R44" i="87"/>
  <c r="R48" i="87" s="1"/>
  <c r="J44" i="87"/>
  <c r="H44" i="87"/>
  <c r="H48" i="87" s="1"/>
  <c r="U42" i="87"/>
  <c r="T42" i="87"/>
  <c r="W42" i="87" s="1"/>
  <c r="W41" i="87"/>
  <c r="U41" i="87"/>
  <c r="T41" i="87"/>
  <c r="U40" i="87"/>
  <c r="T40" i="87"/>
  <c r="W40" i="87" s="1"/>
  <c r="W39" i="87"/>
  <c r="U39" i="87"/>
  <c r="T39" i="87"/>
  <c r="U38" i="87"/>
  <c r="T38" i="87"/>
  <c r="W38" i="87" s="1"/>
  <c r="W37" i="87"/>
  <c r="U37" i="87"/>
  <c r="T37" i="87"/>
  <c r="U36" i="87"/>
  <c r="T36" i="87"/>
  <c r="W36" i="87" s="1"/>
  <c r="W35" i="87"/>
  <c r="U35" i="87"/>
  <c r="T35" i="87"/>
  <c r="U34" i="87"/>
  <c r="T34" i="87"/>
  <c r="W34" i="87" s="1"/>
  <c r="U33" i="87"/>
  <c r="T33" i="87"/>
  <c r="W33" i="87" s="1"/>
  <c r="U32" i="87"/>
  <c r="T32" i="87"/>
  <c r="W32" i="87" s="1"/>
  <c r="Y46" i="87"/>
  <c r="U31" i="87"/>
  <c r="T31" i="87"/>
  <c r="W31" i="87" s="1"/>
  <c r="U30" i="87"/>
  <c r="T30" i="87"/>
  <c r="W30" i="87" s="1"/>
  <c r="U29" i="87"/>
  <c r="T29" i="87"/>
  <c r="W29" i="87" s="1"/>
  <c r="U28" i="87"/>
  <c r="T28" i="87"/>
  <c r="W28" i="87" s="1"/>
  <c r="U27" i="87"/>
  <c r="T27" i="87"/>
  <c r="W27" i="87" s="1"/>
  <c r="U26" i="87"/>
  <c r="T26" i="87"/>
  <c r="W26" i="87" s="1"/>
  <c r="U25" i="87"/>
  <c r="T25" i="87"/>
  <c r="W25" i="87" s="1"/>
  <c r="U24" i="87"/>
  <c r="T24" i="87"/>
  <c r="W24" i="87" s="1"/>
  <c r="W23" i="87"/>
  <c r="U23" i="87"/>
  <c r="T23" i="87"/>
  <c r="U22" i="87"/>
  <c r="T22" i="87"/>
  <c r="W22" i="87" s="1"/>
  <c r="U21" i="87"/>
  <c r="T21" i="87"/>
  <c r="W21" i="87" s="1"/>
  <c r="U20" i="87"/>
  <c r="T20" i="87"/>
  <c r="W20" i="87" s="1"/>
  <c r="U19" i="87"/>
  <c r="T19" i="87"/>
  <c r="U18" i="87"/>
  <c r="T18" i="87"/>
  <c r="W18" i="87" s="1"/>
  <c r="U17" i="87"/>
  <c r="T17" i="87"/>
  <c r="W17" i="87" s="1"/>
  <c r="U16" i="87"/>
  <c r="T16" i="87"/>
  <c r="W16" i="87" s="1"/>
  <c r="W15" i="87"/>
  <c r="U15" i="87"/>
  <c r="T15" i="87"/>
  <c r="U14" i="87"/>
  <c r="T14" i="87"/>
  <c r="W14" i="87" s="1"/>
  <c r="W13" i="87"/>
  <c r="U13" i="87"/>
  <c r="T13" i="87"/>
  <c r="U12" i="87"/>
  <c r="T12" i="87"/>
  <c r="W12" i="87" s="1"/>
  <c r="U11" i="87"/>
  <c r="T11" i="87"/>
  <c r="W11" i="87" s="1"/>
  <c r="U10" i="87"/>
  <c r="T10" i="87"/>
  <c r="W10" i="87" s="1"/>
  <c r="U9" i="87"/>
  <c r="T9" i="87"/>
  <c r="W9" i="87" s="1"/>
  <c r="U8" i="87"/>
  <c r="T8" i="87"/>
  <c r="W8" i="87" s="1"/>
  <c r="U7" i="87"/>
  <c r="T7" i="87"/>
  <c r="Z44" i="87" l="1"/>
  <c r="AC45" i="87"/>
  <c r="AD45" i="87" s="1"/>
  <c r="Z45" i="87"/>
  <c r="N7" i="87"/>
  <c r="P31" i="87"/>
  <c r="P19" i="87"/>
  <c r="U46" i="87"/>
  <c r="T44" i="87"/>
  <c r="W44" i="87" s="1"/>
  <c r="U45" i="87"/>
  <c r="T45" i="87"/>
  <c r="W45" i="87" s="1"/>
  <c r="K45" i="87"/>
  <c r="U44" i="87"/>
  <c r="W19" i="87"/>
  <c r="K46" i="87"/>
  <c r="K48" i="87" s="1"/>
  <c r="J48" i="87" s="1"/>
  <c r="K44" i="87"/>
  <c r="F45" i="87"/>
  <c r="F46" i="87"/>
  <c r="F44" i="87"/>
  <c r="M46" i="87"/>
  <c r="M44" i="87"/>
  <c r="M45" i="87"/>
  <c r="T46" i="87"/>
  <c r="W46" i="87" s="1"/>
  <c r="W48" i="87" s="1"/>
  <c r="V48" i="87" s="1"/>
  <c r="W7" i="87"/>
  <c r="I44" i="87"/>
  <c r="AD44" i="87"/>
  <c r="N45" i="87" l="1"/>
  <c r="N46" i="87"/>
  <c r="AC46" i="87"/>
  <c r="AD46" i="87" s="1"/>
  <c r="Z46" i="87"/>
  <c r="N44" i="87"/>
  <c r="O45" i="87" l="1"/>
  <c r="P45" i="87" s="1"/>
  <c r="O44" i="87"/>
  <c r="P44" i="87" s="1"/>
  <c r="O46" i="87"/>
  <c r="P46" i="87" s="1"/>
  <c r="I8" i="86" l="1"/>
  <c r="K8" i="86" s="1"/>
  <c r="L8" i="86" s="1"/>
  <c r="M8" i="86" s="1"/>
  <c r="I9" i="86"/>
  <c r="I10" i="86"/>
  <c r="I11" i="86"/>
  <c r="I12" i="86"/>
  <c r="I13" i="86"/>
  <c r="K13" i="86" s="1"/>
  <c r="L13" i="86" s="1"/>
  <c r="M13" i="86" s="1"/>
  <c r="I14" i="86"/>
  <c r="I15" i="86"/>
  <c r="I16" i="86"/>
  <c r="K16" i="86" s="1"/>
  <c r="L16" i="86" s="1"/>
  <c r="M16" i="86" s="1"/>
  <c r="I17" i="86"/>
  <c r="I18" i="86"/>
  <c r="I19" i="86"/>
  <c r="I20" i="86"/>
  <c r="I21" i="86"/>
  <c r="K21" i="86" s="1"/>
  <c r="L21" i="86" s="1"/>
  <c r="M21" i="86" s="1"/>
  <c r="I22" i="86"/>
  <c r="I23" i="86"/>
  <c r="I24" i="86"/>
  <c r="K24" i="86" s="1"/>
  <c r="L24" i="86" s="1"/>
  <c r="M24" i="86" s="1"/>
  <c r="I25" i="86"/>
  <c r="I26" i="86"/>
  <c r="I27" i="86"/>
  <c r="I28" i="86"/>
  <c r="K28" i="86" s="1"/>
  <c r="L28" i="86" s="1"/>
  <c r="M28" i="86" s="1"/>
  <c r="I29" i="86"/>
  <c r="K29" i="86" s="1"/>
  <c r="L29" i="86" s="1"/>
  <c r="M29" i="86" s="1"/>
  <c r="I30" i="86"/>
  <c r="I31" i="86"/>
  <c r="I32" i="86"/>
  <c r="K32" i="86" s="1"/>
  <c r="L32" i="86" s="1"/>
  <c r="M32" i="86" s="1"/>
  <c r="I33" i="86"/>
  <c r="I34" i="86"/>
  <c r="I35" i="86"/>
  <c r="I36" i="86"/>
  <c r="I37" i="86"/>
  <c r="K37" i="86" s="1"/>
  <c r="L37" i="86" s="1"/>
  <c r="M37" i="86" s="1"/>
  <c r="I38" i="86"/>
  <c r="K38" i="86" s="1"/>
  <c r="L38" i="86" s="1"/>
  <c r="M38" i="86" s="1"/>
  <c r="I39" i="86"/>
  <c r="I40" i="86"/>
  <c r="K40" i="86" s="1"/>
  <c r="L40" i="86" s="1"/>
  <c r="M40" i="86" s="1"/>
  <c r="I41" i="86"/>
  <c r="I42" i="86"/>
  <c r="K42" i="86" s="1"/>
  <c r="L42" i="86" s="1"/>
  <c r="M42" i="86" s="1"/>
  <c r="X19" i="86"/>
  <c r="W19" i="86" s="1"/>
  <c r="X31" i="86"/>
  <c r="V31" i="86"/>
  <c r="W7" i="86"/>
  <c r="F42" i="86"/>
  <c r="F41" i="86"/>
  <c r="F40" i="86"/>
  <c r="F39" i="86"/>
  <c r="F38" i="86"/>
  <c r="F37" i="86"/>
  <c r="F36" i="86"/>
  <c r="F35" i="86"/>
  <c r="F34" i="86"/>
  <c r="F33" i="86"/>
  <c r="F32" i="86"/>
  <c r="F31" i="86"/>
  <c r="F30" i="86"/>
  <c r="F29" i="86"/>
  <c r="F28" i="86"/>
  <c r="F27" i="86"/>
  <c r="F26" i="86"/>
  <c r="F25" i="86"/>
  <c r="F24" i="86"/>
  <c r="F23" i="86"/>
  <c r="F22" i="86"/>
  <c r="F21" i="86"/>
  <c r="F20" i="86"/>
  <c r="F19" i="86"/>
  <c r="F18" i="86"/>
  <c r="F17" i="86"/>
  <c r="F16" i="86"/>
  <c r="F15" i="86"/>
  <c r="F14" i="86"/>
  <c r="F13" i="86"/>
  <c r="F12" i="86"/>
  <c r="F11" i="86"/>
  <c r="F10" i="86"/>
  <c r="F9" i="86"/>
  <c r="F8" i="86"/>
  <c r="F7" i="86"/>
  <c r="D42" i="86"/>
  <c r="D41" i="86"/>
  <c r="D40" i="86"/>
  <c r="D39" i="86"/>
  <c r="D38" i="86"/>
  <c r="D37" i="86"/>
  <c r="D36" i="86"/>
  <c r="D35" i="86"/>
  <c r="D34" i="86"/>
  <c r="D33" i="86"/>
  <c r="D32" i="86"/>
  <c r="D31" i="86"/>
  <c r="D30" i="86"/>
  <c r="D29" i="86"/>
  <c r="D28" i="86"/>
  <c r="D27" i="86"/>
  <c r="D26" i="86"/>
  <c r="D25" i="86"/>
  <c r="D24" i="86"/>
  <c r="D23" i="86"/>
  <c r="D22" i="86"/>
  <c r="D21" i="86"/>
  <c r="D20" i="86"/>
  <c r="D19" i="86"/>
  <c r="D18" i="86"/>
  <c r="D17" i="86"/>
  <c r="D16" i="86"/>
  <c r="D15" i="86"/>
  <c r="D14" i="86"/>
  <c r="D13" i="86"/>
  <c r="D12" i="86"/>
  <c r="D11" i="86"/>
  <c r="D10" i="86"/>
  <c r="D9" i="86"/>
  <c r="D8" i="86"/>
  <c r="D7" i="86"/>
  <c r="K20" i="86" l="1"/>
  <c r="L20" i="86" s="1"/>
  <c r="M20" i="86" s="1"/>
  <c r="J45" i="86"/>
  <c r="K14" i="86"/>
  <c r="L14" i="86" s="1"/>
  <c r="M14" i="86" s="1"/>
  <c r="K39" i="86"/>
  <c r="L39" i="86" s="1"/>
  <c r="M39" i="86" s="1"/>
  <c r="K31" i="86"/>
  <c r="K23" i="86"/>
  <c r="L23" i="86" s="1"/>
  <c r="M23" i="86" s="1"/>
  <c r="K15" i="86"/>
  <c r="L15" i="86" s="1"/>
  <c r="M15" i="86" s="1"/>
  <c r="K7" i="86"/>
  <c r="J44" i="86"/>
  <c r="J48" i="86" s="1"/>
  <c r="K36" i="86"/>
  <c r="L36" i="86" s="1"/>
  <c r="M36" i="86" s="1"/>
  <c r="K12" i="86"/>
  <c r="L12" i="86" s="1"/>
  <c r="M12" i="86" s="1"/>
  <c r="K30" i="86"/>
  <c r="L30" i="86" s="1"/>
  <c r="M30" i="86" s="1"/>
  <c r="K35" i="86"/>
  <c r="L35" i="86" s="1"/>
  <c r="M35" i="86" s="1"/>
  <c r="K27" i="86"/>
  <c r="L27" i="86" s="1"/>
  <c r="M27" i="86" s="1"/>
  <c r="K19" i="86"/>
  <c r="K11" i="86"/>
  <c r="L11" i="86" s="1"/>
  <c r="M11" i="86" s="1"/>
  <c r="K34" i="86"/>
  <c r="L34" i="86" s="1"/>
  <c r="M34" i="86" s="1"/>
  <c r="K26" i="86"/>
  <c r="L26" i="86" s="1"/>
  <c r="M26" i="86" s="1"/>
  <c r="K18" i="86"/>
  <c r="L18" i="86" s="1"/>
  <c r="M18" i="86" s="1"/>
  <c r="K10" i="86"/>
  <c r="L10" i="86" s="1"/>
  <c r="M10" i="86" s="1"/>
  <c r="K22" i="86"/>
  <c r="L22" i="86" s="1"/>
  <c r="M22" i="86" s="1"/>
  <c r="K41" i="86"/>
  <c r="L41" i="86" s="1"/>
  <c r="M41" i="86" s="1"/>
  <c r="K33" i="86"/>
  <c r="L33" i="86" s="1"/>
  <c r="M33" i="86" s="1"/>
  <c r="K25" i="86"/>
  <c r="L25" i="86" s="1"/>
  <c r="M25" i="86" s="1"/>
  <c r="K17" i="86"/>
  <c r="L17" i="86" s="1"/>
  <c r="M17" i="86" s="1"/>
  <c r="K9" i="86"/>
  <c r="L9" i="86" s="1"/>
  <c r="M9" i="86" s="1"/>
  <c r="J46" i="86"/>
  <c r="E18" i="17" l="1"/>
  <c r="K45" i="19" s="1"/>
  <c r="L7" i="86"/>
  <c r="K44" i="86"/>
  <c r="L19" i="86"/>
  <c r="K45" i="86"/>
  <c r="L31" i="86"/>
  <c r="K46" i="86"/>
  <c r="M31" i="86" l="1"/>
  <c r="L46" i="86"/>
  <c r="M46" i="86" s="1"/>
  <c r="M48" i="86" s="1"/>
  <c r="L48" i="86" s="1"/>
  <c r="G18" i="17" s="1"/>
  <c r="M19" i="86"/>
  <c r="L45" i="86"/>
  <c r="M45" i="86" s="1"/>
  <c r="M7" i="86"/>
  <c r="L44" i="86"/>
  <c r="M44" i="86" s="1"/>
  <c r="X46" i="86" l="1"/>
  <c r="Y46" i="86" s="1"/>
  <c r="V46" i="86"/>
  <c r="S46" i="86"/>
  <c r="P46" i="86"/>
  <c r="O46" i="86"/>
  <c r="E46" i="86"/>
  <c r="C46" i="86"/>
  <c r="X45" i="86"/>
  <c r="V45" i="86"/>
  <c r="S45" i="86"/>
  <c r="P45" i="86"/>
  <c r="O45" i="86"/>
  <c r="E45" i="86"/>
  <c r="C45" i="86"/>
  <c r="X44" i="86"/>
  <c r="W44" i="86"/>
  <c r="V44" i="86"/>
  <c r="V48" i="86" s="1"/>
  <c r="S44" i="86"/>
  <c r="P44" i="86"/>
  <c r="O44" i="86"/>
  <c r="E44" i="86"/>
  <c r="C44" i="86"/>
  <c r="C48" i="86" s="1"/>
  <c r="R42" i="86"/>
  <c r="Q42" i="86"/>
  <c r="T42" i="86" s="1"/>
  <c r="R41" i="86"/>
  <c r="Q41" i="86"/>
  <c r="T41" i="86" s="1"/>
  <c r="R40" i="86"/>
  <c r="Q40" i="86"/>
  <c r="T40" i="86" s="1"/>
  <c r="R39" i="86"/>
  <c r="Q39" i="86"/>
  <c r="T39" i="86" s="1"/>
  <c r="R38" i="86"/>
  <c r="Q38" i="86"/>
  <c r="T38" i="86" s="1"/>
  <c r="R37" i="86"/>
  <c r="Q37" i="86"/>
  <c r="T37" i="86" s="1"/>
  <c r="R36" i="86"/>
  <c r="Q36" i="86"/>
  <c r="T36" i="86" s="1"/>
  <c r="R35" i="86"/>
  <c r="Q35" i="86"/>
  <c r="T35" i="86" s="1"/>
  <c r="R34" i="86"/>
  <c r="Q34" i="86"/>
  <c r="T34" i="86" s="1"/>
  <c r="R33" i="86"/>
  <c r="Q33" i="86"/>
  <c r="T33" i="86" s="1"/>
  <c r="R32" i="86"/>
  <c r="Q32" i="86"/>
  <c r="T32" i="86" s="1"/>
  <c r="Y31" i="86"/>
  <c r="W31" i="86"/>
  <c r="W46" i="86" s="1"/>
  <c r="R31" i="86"/>
  <c r="Q31" i="86"/>
  <c r="D46" i="86"/>
  <c r="R30" i="86"/>
  <c r="Q30" i="86"/>
  <c r="T30" i="86" s="1"/>
  <c r="R29" i="86"/>
  <c r="Q29" i="86"/>
  <c r="T29" i="86" s="1"/>
  <c r="R28" i="86"/>
  <c r="Q28" i="86"/>
  <c r="T28" i="86" s="1"/>
  <c r="R27" i="86"/>
  <c r="Q27" i="86"/>
  <c r="T27" i="86" s="1"/>
  <c r="R26" i="86"/>
  <c r="Q26" i="86"/>
  <c r="T26" i="86" s="1"/>
  <c r="R25" i="86"/>
  <c r="Q25" i="86"/>
  <c r="T25" i="86" s="1"/>
  <c r="R24" i="86"/>
  <c r="Q24" i="86"/>
  <c r="T24" i="86" s="1"/>
  <c r="R23" i="86"/>
  <c r="Q23" i="86"/>
  <c r="T23" i="86" s="1"/>
  <c r="R22" i="86"/>
  <c r="Q22" i="86"/>
  <c r="T22" i="86" s="1"/>
  <c r="R21" i="86"/>
  <c r="Q21" i="86"/>
  <c r="T21" i="86" s="1"/>
  <c r="R20" i="86"/>
  <c r="Q20" i="86"/>
  <c r="T20" i="86" s="1"/>
  <c r="Y19" i="86"/>
  <c r="W45" i="86"/>
  <c r="R19" i="86"/>
  <c r="Q19" i="86"/>
  <c r="T19" i="86" s="1"/>
  <c r="D45" i="86"/>
  <c r="R18" i="86"/>
  <c r="Q18" i="86"/>
  <c r="T18" i="86" s="1"/>
  <c r="R17" i="86"/>
  <c r="Q17" i="86"/>
  <c r="T17" i="86" s="1"/>
  <c r="R16" i="86"/>
  <c r="Q16" i="86"/>
  <c r="T16" i="86" s="1"/>
  <c r="R15" i="86"/>
  <c r="Q15" i="86"/>
  <c r="T15" i="86" s="1"/>
  <c r="R14" i="86"/>
  <c r="Q14" i="86"/>
  <c r="T14" i="86" s="1"/>
  <c r="R13" i="86"/>
  <c r="Q13" i="86"/>
  <c r="T13" i="86" s="1"/>
  <c r="R12" i="86"/>
  <c r="Q12" i="86"/>
  <c r="R11" i="86"/>
  <c r="Q11" i="86"/>
  <c r="T11" i="86" s="1"/>
  <c r="R10" i="86"/>
  <c r="Q10" i="86"/>
  <c r="T10" i="86" s="1"/>
  <c r="R9" i="86"/>
  <c r="Q9" i="86"/>
  <c r="T9" i="86" s="1"/>
  <c r="R8" i="86"/>
  <c r="Q8" i="86"/>
  <c r="T8" i="86" s="1"/>
  <c r="Y7" i="86"/>
  <c r="R7" i="86"/>
  <c r="Q7" i="86"/>
  <c r="T7" i="86" s="1"/>
  <c r="D44" i="86"/>
  <c r="X48" i="86" l="1"/>
  <c r="Y44" i="86"/>
  <c r="Y45" i="86"/>
  <c r="F46" i="86"/>
  <c r="F48" i="86" s="1"/>
  <c r="E48" i="86" s="1"/>
  <c r="F45" i="86"/>
  <c r="F44" i="86"/>
  <c r="Q46" i="86"/>
  <c r="T46" i="86" s="1"/>
  <c r="T48" i="86" s="1"/>
  <c r="T31" i="86"/>
  <c r="R46" i="86"/>
  <c r="R45" i="86"/>
  <c r="R44" i="86"/>
  <c r="Q44" i="86"/>
  <c r="T44" i="86"/>
  <c r="Q45" i="86"/>
  <c r="T45" i="86" s="1"/>
  <c r="T12" i="86"/>
  <c r="R50" i="84" l="1"/>
  <c r="T15" i="17"/>
  <c r="P15" i="17"/>
  <c r="N15" i="17"/>
  <c r="M42" i="19" s="1"/>
  <c r="K50" i="84"/>
  <c r="U50" i="84"/>
  <c r="U48" i="84"/>
  <c r="P47" i="84"/>
  <c r="P48" i="84"/>
  <c r="P46" i="84"/>
  <c r="T48" i="84"/>
  <c r="S48" i="84"/>
  <c r="R48" i="84"/>
  <c r="T47" i="84"/>
  <c r="S47" i="84"/>
  <c r="R47" i="84"/>
  <c r="T46" i="84"/>
  <c r="S46" i="84"/>
  <c r="R46" i="84"/>
  <c r="O48" i="84"/>
  <c r="N48" i="84"/>
  <c r="M48" i="84"/>
  <c r="O47" i="84"/>
  <c r="N47" i="84"/>
  <c r="M47" i="84"/>
  <c r="O46" i="84"/>
  <c r="N46" i="84"/>
  <c r="M46" i="84"/>
  <c r="J48" i="84"/>
  <c r="I48" i="84"/>
  <c r="H48" i="84"/>
  <c r="K48" i="84" s="1"/>
  <c r="J50" i="84" s="1"/>
  <c r="J47" i="84"/>
  <c r="K47" i="84" s="1"/>
  <c r="I47" i="84"/>
  <c r="H47" i="84"/>
  <c r="J46" i="84"/>
  <c r="K46" i="84" s="1"/>
  <c r="I46" i="84"/>
  <c r="H46" i="84"/>
  <c r="E48" i="84"/>
  <c r="F48" i="84" s="1"/>
  <c r="F50" i="84" s="1"/>
  <c r="D48" i="84"/>
  <c r="C48" i="84"/>
  <c r="U47" i="84"/>
  <c r="E47" i="84"/>
  <c r="F47" i="84" s="1"/>
  <c r="D47" i="84"/>
  <c r="C47" i="84"/>
  <c r="U46" i="84"/>
  <c r="H50" i="84"/>
  <c r="E46" i="84"/>
  <c r="F46" i="84" s="1"/>
  <c r="D46" i="84"/>
  <c r="C46" i="84"/>
  <c r="C50" i="84" s="1"/>
  <c r="Z48" i="83"/>
  <c r="U48" i="83"/>
  <c r="J46" i="83"/>
  <c r="I46" i="83"/>
  <c r="H46" i="83"/>
  <c r="J45" i="83"/>
  <c r="K45" i="83" s="1"/>
  <c r="I45" i="83"/>
  <c r="H45" i="83"/>
  <c r="Z46" i="83"/>
  <c r="Y46" i="83"/>
  <c r="X46" i="83"/>
  <c r="W46" i="83"/>
  <c r="Z45" i="83"/>
  <c r="Y45" i="83"/>
  <c r="X45" i="83"/>
  <c r="W45" i="83"/>
  <c r="Z44" i="83"/>
  <c r="Y44" i="83"/>
  <c r="X44" i="83"/>
  <c r="W44" i="83"/>
  <c r="W48" i="83" s="1"/>
  <c r="T48" i="83"/>
  <c r="U45" i="83"/>
  <c r="T45" i="83"/>
  <c r="S45" i="83"/>
  <c r="R45" i="83"/>
  <c r="U44" i="83"/>
  <c r="T44" i="83"/>
  <c r="S44" i="83"/>
  <c r="R44" i="83"/>
  <c r="R48" i="83" s="1"/>
  <c r="K44" i="83"/>
  <c r="J44" i="83"/>
  <c r="I44" i="83"/>
  <c r="H44" i="83"/>
  <c r="H48" i="83" s="1"/>
  <c r="E46" i="83"/>
  <c r="F46" i="83" s="1"/>
  <c r="F48" i="83" s="1"/>
  <c r="D46" i="83"/>
  <c r="C46" i="83"/>
  <c r="E45" i="83"/>
  <c r="F45" i="83" s="1"/>
  <c r="D45" i="83"/>
  <c r="C45" i="83"/>
  <c r="E44" i="83"/>
  <c r="F44" i="83" s="1"/>
  <c r="D44" i="83"/>
  <c r="C44" i="83"/>
  <c r="C48" i="83" s="1"/>
  <c r="F44" i="84"/>
  <c r="D44" i="84"/>
  <c r="F43" i="84"/>
  <c r="D43" i="84"/>
  <c r="F42" i="84"/>
  <c r="D42" i="84"/>
  <c r="F41" i="84"/>
  <c r="D41" i="84"/>
  <c r="F40" i="84"/>
  <c r="D40" i="84"/>
  <c r="F39" i="84"/>
  <c r="D39" i="84"/>
  <c r="F38" i="84"/>
  <c r="D38" i="84"/>
  <c r="F37" i="84"/>
  <c r="D37" i="84"/>
  <c r="F36" i="84"/>
  <c r="D36" i="84"/>
  <c r="F35" i="84"/>
  <c r="D35" i="84"/>
  <c r="F34" i="84"/>
  <c r="D34" i="84"/>
  <c r="T33" i="84"/>
  <c r="U33" i="84" s="1"/>
  <c r="F33" i="84"/>
  <c r="D33" i="84"/>
  <c r="K32" i="84"/>
  <c r="I32" i="84"/>
  <c r="F32" i="84"/>
  <c r="D32" i="84"/>
  <c r="T31" i="84"/>
  <c r="U31" i="84" s="1"/>
  <c r="O31" i="84"/>
  <c r="P31" i="84" s="1"/>
  <c r="K31" i="84"/>
  <c r="I31" i="84"/>
  <c r="F31" i="84"/>
  <c r="D31" i="84"/>
  <c r="K30" i="84"/>
  <c r="I30" i="84"/>
  <c r="F30" i="84"/>
  <c r="D30" i="84"/>
  <c r="K29" i="84"/>
  <c r="I29" i="84"/>
  <c r="F29" i="84"/>
  <c r="D29" i="84"/>
  <c r="K28" i="84"/>
  <c r="I28" i="84"/>
  <c r="F28" i="84"/>
  <c r="D28" i="84"/>
  <c r="K27" i="84"/>
  <c r="I27" i="84"/>
  <c r="F27" i="84"/>
  <c r="D27" i="84"/>
  <c r="K26" i="84"/>
  <c r="I26" i="84"/>
  <c r="F26" i="84"/>
  <c r="D26" i="84"/>
  <c r="T25" i="84"/>
  <c r="U25" i="84" s="1"/>
  <c r="P25" i="84"/>
  <c r="O25" i="84"/>
  <c r="K25" i="84"/>
  <c r="I25" i="84"/>
  <c r="F25" i="84"/>
  <c r="D25" i="84"/>
  <c r="K24" i="84"/>
  <c r="I24" i="84"/>
  <c r="F24" i="84"/>
  <c r="D24" i="84"/>
  <c r="K23" i="84"/>
  <c r="I23" i="84"/>
  <c r="F23" i="84"/>
  <c r="D23" i="84"/>
  <c r="K22" i="84"/>
  <c r="I22" i="84"/>
  <c r="F22" i="84"/>
  <c r="D22" i="84"/>
  <c r="T21" i="84"/>
  <c r="U21" i="84" s="1"/>
  <c r="P21" i="84"/>
  <c r="O21" i="84"/>
  <c r="K21" i="84"/>
  <c r="I21" i="84"/>
  <c r="F21" i="84"/>
  <c r="D21" i="84"/>
  <c r="K20" i="84"/>
  <c r="I20" i="84"/>
  <c r="F20" i="84"/>
  <c r="D20" i="84"/>
  <c r="K19" i="84"/>
  <c r="I19" i="84"/>
  <c r="F19" i="84"/>
  <c r="D19" i="84"/>
  <c r="K18" i="84"/>
  <c r="I18" i="84"/>
  <c r="F18" i="84"/>
  <c r="D18" i="84"/>
  <c r="K17" i="84"/>
  <c r="I17" i="84"/>
  <c r="F17" i="84"/>
  <c r="D17" i="84"/>
  <c r="K16" i="84"/>
  <c r="I16" i="84"/>
  <c r="F16" i="84"/>
  <c r="D16" i="84"/>
  <c r="T15" i="84"/>
  <c r="U15" i="84" s="1"/>
  <c r="P15" i="84"/>
  <c r="O15" i="84"/>
  <c r="K15" i="84"/>
  <c r="I15" i="84"/>
  <c r="F15" i="84"/>
  <c r="D15" i="84"/>
  <c r="K14" i="84"/>
  <c r="I14" i="84"/>
  <c r="F14" i="84"/>
  <c r="D14" i="84"/>
  <c r="K13" i="84"/>
  <c r="I13" i="84"/>
  <c r="F13" i="84"/>
  <c r="D13" i="84"/>
  <c r="K12" i="84"/>
  <c r="I12" i="84"/>
  <c r="F12" i="84"/>
  <c r="D12" i="84"/>
  <c r="K11" i="84"/>
  <c r="I11" i="84"/>
  <c r="F11" i="84"/>
  <c r="D11" i="84"/>
  <c r="K10" i="84"/>
  <c r="I10" i="84"/>
  <c r="F10" i="84"/>
  <c r="D10" i="84"/>
  <c r="T9" i="84"/>
  <c r="U9" i="84" s="1"/>
  <c r="P9" i="84"/>
  <c r="O9" i="84"/>
  <c r="K9" i="84"/>
  <c r="I9" i="84"/>
  <c r="F9" i="84"/>
  <c r="D9" i="84"/>
  <c r="P42" i="83"/>
  <c r="N42" i="83"/>
  <c r="F42" i="83"/>
  <c r="D42" i="83"/>
  <c r="P41" i="83"/>
  <c r="N41" i="83"/>
  <c r="F41" i="83"/>
  <c r="D41" i="83"/>
  <c r="P40" i="83"/>
  <c r="N40" i="83"/>
  <c r="F40" i="83"/>
  <c r="D40" i="83"/>
  <c r="P39" i="83"/>
  <c r="N39" i="83"/>
  <c r="F39" i="83"/>
  <c r="D39" i="83"/>
  <c r="P38" i="83"/>
  <c r="N38" i="83"/>
  <c r="F38" i="83"/>
  <c r="D38" i="83"/>
  <c r="P37" i="83"/>
  <c r="N37" i="83"/>
  <c r="F37" i="83"/>
  <c r="D37" i="83"/>
  <c r="P36" i="83"/>
  <c r="N36" i="83"/>
  <c r="F36" i="83"/>
  <c r="D36" i="83"/>
  <c r="P35" i="83"/>
  <c r="N35" i="83"/>
  <c r="E35" i="83"/>
  <c r="D35" i="83" s="1"/>
  <c r="C35" i="83"/>
  <c r="P34" i="83"/>
  <c r="N34" i="83"/>
  <c r="F34" i="83"/>
  <c r="D34" i="83"/>
  <c r="P33" i="83"/>
  <c r="N33" i="83"/>
  <c r="F33" i="83"/>
  <c r="D33" i="83"/>
  <c r="P32" i="83"/>
  <c r="N32" i="83"/>
  <c r="F32" i="83"/>
  <c r="D32" i="83"/>
  <c r="Y31" i="83"/>
  <c r="Z31" i="83" s="1"/>
  <c r="X31" i="83"/>
  <c r="P31" i="83"/>
  <c r="N31" i="83"/>
  <c r="F31" i="83"/>
  <c r="D31" i="83"/>
  <c r="P30" i="83"/>
  <c r="N30" i="83"/>
  <c r="F30" i="83"/>
  <c r="D30" i="83"/>
  <c r="X29" i="83"/>
  <c r="Y29" i="83" s="1"/>
  <c r="Z29" i="83" s="1"/>
  <c r="T29" i="83"/>
  <c r="U29" i="83" s="1"/>
  <c r="P29" i="83"/>
  <c r="N29" i="83"/>
  <c r="F29" i="83"/>
  <c r="D29" i="83"/>
  <c r="P28" i="83"/>
  <c r="N28" i="83"/>
  <c r="F28" i="83"/>
  <c r="D28" i="83"/>
  <c r="P27" i="83"/>
  <c r="N27" i="83"/>
  <c r="F27" i="83"/>
  <c r="D27" i="83"/>
  <c r="P26" i="83"/>
  <c r="N26" i="83"/>
  <c r="F26" i="83"/>
  <c r="D26" i="83"/>
  <c r="P25" i="83"/>
  <c r="N25" i="83"/>
  <c r="K25" i="83"/>
  <c r="I25" i="83"/>
  <c r="F25" i="83"/>
  <c r="D25" i="83"/>
  <c r="K24" i="83"/>
  <c r="I24" i="83"/>
  <c r="F24" i="83"/>
  <c r="D24" i="83"/>
  <c r="Y23" i="83"/>
  <c r="Z23" i="83" s="1"/>
  <c r="X23" i="83"/>
  <c r="S23" i="83"/>
  <c r="T23" i="83" s="1"/>
  <c r="U23" i="83" s="1"/>
  <c r="K23" i="83"/>
  <c r="I23" i="83"/>
  <c r="F23" i="83"/>
  <c r="D23" i="83"/>
  <c r="K22" i="83"/>
  <c r="I22" i="83"/>
  <c r="F22" i="83"/>
  <c r="D22" i="83"/>
  <c r="K21" i="83"/>
  <c r="I21" i="83"/>
  <c r="F21" i="83"/>
  <c r="D21" i="83"/>
  <c r="K20" i="83"/>
  <c r="I20" i="83"/>
  <c r="F20" i="83"/>
  <c r="D20" i="83"/>
  <c r="Y19" i="83"/>
  <c r="Z19" i="83" s="1"/>
  <c r="X19" i="83"/>
  <c r="S19" i="83"/>
  <c r="T19" i="83" s="1"/>
  <c r="U19" i="83" s="1"/>
  <c r="K19" i="83"/>
  <c r="I19" i="83"/>
  <c r="F19" i="83"/>
  <c r="D19" i="83"/>
  <c r="K18" i="83"/>
  <c r="I18" i="83"/>
  <c r="F18" i="83"/>
  <c r="D18" i="83"/>
  <c r="K17" i="83"/>
  <c r="I17" i="83"/>
  <c r="F17" i="83"/>
  <c r="D17" i="83"/>
  <c r="K16" i="83"/>
  <c r="I16" i="83"/>
  <c r="F16" i="83"/>
  <c r="D16" i="83"/>
  <c r="K15" i="83"/>
  <c r="I15" i="83"/>
  <c r="F15" i="83"/>
  <c r="D15" i="83"/>
  <c r="K14" i="83"/>
  <c r="I14" i="83"/>
  <c r="F14" i="83"/>
  <c r="D14" i="83"/>
  <c r="Y13" i="83"/>
  <c r="Z13" i="83" s="1"/>
  <c r="X13" i="83"/>
  <c r="S13" i="83"/>
  <c r="T13" i="83" s="1"/>
  <c r="U13" i="83" s="1"/>
  <c r="K13" i="83"/>
  <c r="I13" i="83"/>
  <c r="F13" i="83"/>
  <c r="D13" i="83"/>
  <c r="K12" i="83"/>
  <c r="I12" i="83"/>
  <c r="F12" i="83"/>
  <c r="D12" i="83"/>
  <c r="K11" i="83"/>
  <c r="I11" i="83"/>
  <c r="F11" i="83"/>
  <c r="D11" i="83"/>
  <c r="K10" i="83"/>
  <c r="I10" i="83"/>
  <c r="F10" i="83"/>
  <c r="D10" i="83"/>
  <c r="K9" i="83"/>
  <c r="I9" i="83"/>
  <c r="F9" i="83"/>
  <c r="D9" i="83"/>
  <c r="K8" i="83"/>
  <c r="I8" i="83"/>
  <c r="F8" i="83"/>
  <c r="D8" i="83"/>
  <c r="Y7" i="83"/>
  <c r="Z7" i="83" s="1"/>
  <c r="X7" i="83"/>
  <c r="S7" i="83"/>
  <c r="T7" i="83" s="1"/>
  <c r="U7" i="83" s="1"/>
  <c r="K7" i="83"/>
  <c r="I7" i="83"/>
  <c r="F7" i="83"/>
  <c r="D7" i="83"/>
  <c r="E50" i="84" l="1"/>
  <c r="T50" i="84"/>
  <c r="K46" i="83"/>
  <c r="K48" i="83" s="1"/>
  <c r="Y48" i="83"/>
  <c r="J48" i="83"/>
  <c r="E48" i="83"/>
  <c r="F35" i="83"/>
  <c r="T16" i="17" l="1"/>
  <c r="R16" i="17"/>
  <c r="N43" i="19" s="1"/>
  <c r="P16" i="17"/>
  <c r="N16" i="17"/>
  <c r="M43" i="19" s="1"/>
  <c r="M48" i="82"/>
  <c r="M46" i="82"/>
  <c r="L46" i="82"/>
  <c r="K46" i="82"/>
  <c r="J46" i="82"/>
  <c r="G46" i="82"/>
  <c r="H46" i="82" s="1"/>
  <c r="H48" i="82" s="1"/>
  <c r="F46" i="82"/>
  <c r="E46" i="82"/>
  <c r="L45" i="82"/>
  <c r="M45" i="82" s="1"/>
  <c r="K45" i="82"/>
  <c r="J45" i="82"/>
  <c r="G45" i="82"/>
  <c r="H45" i="82" s="1"/>
  <c r="F45" i="82"/>
  <c r="E45" i="82"/>
  <c r="L44" i="82"/>
  <c r="L48" i="82" s="1"/>
  <c r="K44" i="82"/>
  <c r="J44" i="82"/>
  <c r="J48" i="82" s="1"/>
  <c r="G44" i="82"/>
  <c r="H44" i="82" s="1"/>
  <c r="F44" i="82"/>
  <c r="E44" i="82"/>
  <c r="E48" i="82" s="1"/>
  <c r="K42" i="82"/>
  <c r="L42" i="82" s="1"/>
  <c r="M42" i="82" s="1"/>
  <c r="H42" i="82"/>
  <c r="F42" i="82"/>
  <c r="E42" i="82"/>
  <c r="H41" i="82"/>
  <c r="F41" i="82"/>
  <c r="E41" i="82"/>
  <c r="F40" i="82"/>
  <c r="E40" i="82"/>
  <c r="H40" i="82" s="1"/>
  <c r="F39" i="82"/>
  <c r="E39" i="82"/>
  <c r="H39" i="82" s="1"/>
  <c r="H38" i="82"/>
  <c r="F38" i="82"/>
  <c r="E38" i="82"/>
  <c r="H37" i="82"/>
  <c r="F37" i="82"/>
  <c r="E37" i="82"/>
  <c r="F36" i="82"/>
  <c r="E36" i="82"/>
  <c r="H36" i="82" s="1"/>
  <c r="F35" i="82"/>
  <c r="E35" i="82"/>
  <c r="H35" i="82" s="1"/>
  <c r="K34" i="82"/>
  <c r="L34" i="82" s="1"/>
  <c r="M34" i="82" s="1"/>
  <c r="H34" i="82"/>
  <c r="F34" i="82"/>
  <c r="E34" i="82"/>
  <c r="F33" i="82"/>
  <c r="E33" i="82"/>
  <c r="H33" i="82" s="1"/>
  <c r="F32" i="82"/>
  <c r="E32" i="82"/>
  <c r="H32" i="82" s="1"/>
  <c r="K31" i="82"/>
  <c r="L31" i="82" s="1"/>
  <c r="M31" i="82" s="1"/>
  <c r="H31" i="82"/>
  <c r="F31" i="82"/>
  <c r="E31" i="82"/>
  <c r="F30" i="82"/>
  <c r="E30" i="82"/>
  <c r="H30" i="82" s="1"/>
  <c r="K29" i="82"/>
  <c r="L29" i="82" s="1"/>
  <c r="M29" i="82" s="1"/>
  <c r="H29" i="82"/>
  <c r="F29" i="82"/>
  <c r="E29" i="82"/>
  <c r="H28" i="82"/>
  <c r="F28" i="82"/>
  <c r="E28" i="82"/>
  <c r="F27" i="82"/>
  <c r="E27" i="82"/>
  <c r="H27" i="82" s="1"/>
  <c r="F26" i="82"/>
  <c r="E26" i="82"/>
  <c r="H26" i="82" s="1"/>
  <c r="H25" i="82"/>
  <c r="F25" i="82"/>
  <c r="E25" i="82"/>
  <c r="H24" i="82"/>
  <c r="F24" i="82"/>
  <c r="E24" i="82"/>
  <c r="K23" i="82"/>
  <c r="L23" i="82" s="1"/>
  <c r="M23" i="82" s="1"/>
  <c r="F23" i="82"/>
  <c r="E23" i="82"/>
  <c r="H23" i="82" s="1"/>
  <c r="H22" i="82"/>
  <c r="F22" i="82"/>
  <c r="E22" i="82"/>
  <c r="H21" i="82"/>
  <c r="F21" i="82"/>
  <c r="E21" i="82"/>
  <c r="F20" i="82"/>
  <c r="E20" i="82"/>
  <c r="H20" i="82" s="1"/>
  <c r="K19" i="82"/>
  <c r="L19" i="82" s="1"/>
  <c r="M19" i="82" s="1"/>
  <c r="J19" i="82"/>
  <c r="F19" i="82"/>
  <c r="E19" i="82"/>
  <c r="H19" i="82" s="1"/>
  <c r="H18" i="82"/>
  <c r="F18" i="82"/>
  <c r="E18" i="82"/>
  <c r="L17" i="82"/>
  <c r="M17" i="82" s="1"/>
  <c r="K17" i="82"/>
  <c r="F17" i="82"/>
  <c r="E17" i="82"/>
  <c r="H17" i="82" s="1"/>
  <c r="F16" i="82"/>
  <c r="E16" i="82"/>
  <c r="H16" i="82" s="1"/>
  <c r="H15" i="82"/>
  <c r="F15" i="82"/>
  <c r="E15" i="82"/>
  <c r="H14" i="82"/>
  <c r="F14" i="82"/>
  <c r="E14" i="82"/>
  <c r="F13" i="82"/>
  <c r="E13" i="82"/>
  <c r="H13" i="82" s="1"/>
  <c r="K12" i="82"/>
  <c r="L12" i="82" s="1"/>
  <c r="M12" i="82" s="1"/>
  <c r="H12" i="82"/>
  <c r="F12" i="82"/>
  <c r="E12" i="82"/>
  <c r="H11" i="82"/>
  <c r="F11" i="82"/>
  <c r="E11" i="82"/>
  <c r="F10" i="82"/>
  <c r="E10" i="82"/>
  <c r="H10" i="82" s="1"/>
  <c r="F9" i="82"/>
  <c r="E9" i="82"/>
  <c r="H9" i="82" s="1"/>
  <c r="H8" i="82"/>
  <c r="F8" i="82"/>
  <c r="E8" i="82"/>
  <c r="L7" i="82"/>
  <c r="M7" i="82" s="1"/>
  <c r="K7" i="82"/>
  <c r="F7" i="82"/>
  <c r="E7" i="82"/>
  <c r="H7" i="82" s="1"/>
  <c r="G48" i="82" l="1"/>
  <c r="M44" i="82"/>
  <c r="M48" i="81" l="1"/>
  <c r="L48" i="81"/>
  <c r="J48" i="81"/>
  <c r="R20" i="17"/>
  <c r="N47" i="19" s="1"/>
  <c r="V45" i="79"/>
  <c r="U45" i="79"/>
  <c r="T45" i="79"/>
  <c r="Q45" i="79"/>
  <c r="P45" i="79"/>
  <c r="O45" i="79"/>
  <c r="L45" i="79"/>
  <c r="K45" i="79"/>
  <c r="P20" i="17"/>
  <c r="N20" i="17"/>
  <c r="M47" i="19" s="1"/>
  <c r="E32" i="81"/>
  <c r="L44" i="81"/>
  <c r="M44" i="81" s="1"/>
  <c r="K44" i="81"/>
  <c r="J44" i="81"/>
  <c r="L45" i="81"/>
  <c r="K45" i="81"/>
  <c r="J45" i="81"/>
  <c r="T20" i="17"/>
  <c r="M45" i="81"/>
  <c r="G46" i="81"/>
  <c r="H46" i="81" s="1"/>
  <c r="H48" i="81" s="1"/>
  <c r="F46" i="81"/>
  <c r="E46" i="81"/>
  <c r="G45" i="81"/>
  <c r="H45" i="81" s="1"/>
  <c r="F45" i="81"/>
  <c r="E45" i="81"/>
  <c r="G44" i="81"/>
  <c r="H44" i="81" s="1"/>
  <c r="F44" i="81"/>
  <c r="E44" i="81"/>
  <c r="E48" i="81" s="1"/>
  <c r="H42" i="81"/>
  <c r="F42" i="81"/>
  <c r="E42" i="81"/>
  <c r="H41" i="81"/>
  <c r="F41" i="81"/>
  <c r="E41" i="81"/>
  <c r="F40" i="81"/>
  <c r="E40" i="81"/>
  <c r="H40" i="81" s="1"/>
  <c r="F39" i="81"/>
  <c r="E39" i="81"/>
  <c r="H39" i="81" s="1"/>
  <c r="H38" i="81"/>
  <c r="F38" i="81"/>
  <c r="E38" i="81"/>
  <c r="H37" i="81"/>
  <c r="F37" i="81"/>
  <c r="E37" i="81"/>
  <c r="F36" i="81"/>
  <c r="E36" i="81"/>
  <c r="H36" i="81" s="1"/>
  <c r="F35" i="81"/>
  <c r="E35" i="81"/>
  <c r="H35" i="81" s="1"/>
  <c r="H34" i="81"/>
  <c r="F34" i="81"/>
  <c r="E34" i="81"/>
  <c r="H33" i="81"/>
  <c r="F33" i="81"/>
  <c r="E33" i="81"/>
  <c r="F32" i="81"/>
  <c r="H32" i="81"/>
  <c r="F31" i="81"/>
  <c r="E31" i="81"/>
  <c r="H31" i="81" s="1"/>
  <c r="H30" i="81"/>
  <c r="F30" i="81"/>
  <c r="E30" i="81"/>
  <c r="H29" i="81"/>
  <c r="F29" i="81"/>
  <c r="E29" i="81"/>
  <c r="F28" i="81"/>
  <c r="E28" i="81"/>
  <c r="H28" i="81" s="1"/>
  <c r="F27" i="81"/>
  <c r="E27" i="81"/>
  <c r="H27" i="81" s="1"/>
  <c r="H26" i="81"/>
  <c r="F26" i="81"/>
  <c r="E26" i="81"/>
  <c r="H25" i="81"/>
  <c r="F25" i="81"/>
  <c r="E25" i="81"/>
  <c r="F24" i="81"/>
  <c r="E24" i="81"/>
  <c r="H24" i="81" s="1"/>
  <c r="F23" i="81"/>
  <c r="E23" i="81"/>
  <c r="H23" i="81" s="1"/>
  <c r="H22" i="81"/>
  <c r="F22" i="81"/>
  <c r="E22" i="81"/>
  <c r="H21" i="81"/>
  <c r="F21" i="81"/>
  <c r="E21" i="81"/>
  <c r="M20" i="81"/>
  <c r="H20" i="81"/>
  <c r="F20" i="81"/>
  <c r="E20" i="81"/>
  <c r="M19" i="81"/>
  <c r="H19" i="81"/>
  <c r="F19" i="81"/>
  <c r="E19" i="81"/>
  <c r="G18" i="81"/>
  <c r="H18" i="81" s="1"/>
  <c r="E18" i="81"/>
  <c r="G17" i="81"/>
  <c r="E17" i="81"/>
  <c r="H17" i="81" s="1"/>
  <c r="H16" i="81"/>
  <c r="G16" i="81"/>
  <c r="E16" i="81"/>
  <c r="G15" i="81"/>
  <c r="H15" i="81" s="1"/>
  <c r="E15" i="81"/>
  <c r="G14" i="81"/>
  <c r="H14" i="81" s="1"/>
  <c r="E14" i="81"/>
  <c r="G13" i="81"/>
  <c r="E13" i="81"/>
  <c r="H13" i="81" s="1"/>
  <c r="H12" i="81"/>
  <c r="G12" i="81"/>
  <c r="E12" i="81"/>
  <c r="M11" i="81"/>
  <c r="H11" i="81"/>
  <c r="G11" i="81"/>
  <c r="E11" i="81"/>
  <c r="G10" i="81"/>
  <c r="H10" i="81" s="1"/>
  <c r="E10" i="81"/>
  <c r="G9" i="81"/>
  <c r="H9" i="81" s="1"/>
  <c r="E9" i="81"/>
  <c r="M8" i="81"/>
  <c r="G8" i="81"/>
  <c r="H8" i="81" s="1"/>
  <c r="E8" i="81"/>
  <c r="M7" i="81"/>
  <c r="G7" i="81"/>
  <c r="H7" i="81" s="1"/>
  <c r="E7" i="81"/>
  <c r="G48" i="81" l="1"/>
  <c r="Z19" i="17" l="1"/>
  <c r="AJ48" i="80"/>
  <c r="AE48" i="80"/>
  <c r="R14" i="17"/>
  <c r="P14" i="17"/>
  <c r="N14" i="17"/>
  <c r="G23" i="17"/>
  <c r="T23" i="17"/>
  <c r="P23" i="17"/>
  <c r="L23" i="17"/>
  <c r="G29" i="17"/>
  <c r="F15" i="17"/>
  <c r="F16" i="17"/>
  <c r="F17" i="17"/>
  <c r="F20" i="17"/>
  <c r="F18" i="17"/>
  <c r="E14" i="17"/>
  <c r="G14" i="17"/>
  <c r="G21" i="17" s="1"/>
  <c r="T48" i="79"/>
  <c r="R17" i="17" s="1"/>
  <c r="N44" i="19" s="1"/>
  <c r="E45" i="79"/>
  <c r="D45" i="79"/>
  <c r="C45" i="79"/>
  <c r="W45" i="79"/>
  <c r="R45" i="79"/>
  <c r="C46" i="79"/>
  <c r="C48" i="79" s="1"/>
  <c r="D46" i="79"/>
  <c r="E46" i="79"/>
  <c r="K46" i="79"/>
  <c r="L46" i="79"/>
  <c r="O46" i="79"/>
  <c r="O48" i="79" s="1"/>
  <c r="P46" i="79"/>
  <c r="Q46" i="79"/>
  <c r="R46" i="79"/>
  <c r="R48" i="79" s="1"/>
  <c r="T46" i="79"/>
  <c r="U46" i="79"/>
  <c r="V46" i="79"/>
  <c r="W46" i="79"/>
  <c r="W48" i="79" s="1"/>
  <c r="V48" i="79" s="1"/>
  <c r="T17" i="17" s="1"/>
  <c r="AG48" i="80"/>
  <c r="AB48" i="80"/>
  <c r="W48" i="80"/>
  <c r="R48" i="80"/>
  <c r="M48" i="80"/>
  <c r="H48" i="80"/>
  <c r="AI46" i="80"/>
  <c r="AH46" i="80"/>
  <c r="AG46" i="80"/>
  <c r="AJ46" i="80" s="1"/>
  <c r="AI48" i="80" s="1"/>
  <c r="AI45" i="80"/>
  <c r="AJ45" i="80" s="1"/>
  <c r="AH45" i="80"/>
  <c r="AG45" i="80"/>
  <c r="AI44" i="80"/>
  <c r="AJ44" i="80" s="1"/>
  <c r="AH44" i="80"/>
  <c r="AG44" i="80"/>
  <c r="AD46" i="80"/>
  <c r="AC46" i="80"/>
  <c r="AB46" i="80"/>
  <c r="AD45" i="80"/>
  <c r="AE45" i="80" s="1"/>
  <c r="AC45" i="80"/>
  <c r="AB45" i="80"/>
  <c r="AD44" i="80"/>
  <c r="AC44" i="80"/>
  <c r="AB44" i="80"/>
  <c r="Y46" i="80"/>
  <c r="X46" i="80"/>
  <c r="W46" i="80"/>
  <c r="Y45" i="80"/>
  <c r="X45" i="80"/>
  <c r="W45" i="80"/>
  <c r="Y44" i="80"/>
  <c r="Z44" i="80" s="1"/>
  <c r="X44" i="80"/>
  <c r="W44" i="80"/>
  <c r="T46" i="80"/>
  <c r="S46" i="80"/>
  <c r="R46" i="80"/>
  <c r="T45" i="80"/>
  <c r="S45" i="80"/>
  <c r="R45" i="80"/>
  <c r="T44" i="80"/>
  <c r="S44" i="80"/>
  <c r="R44" i="80"/>
  <c r="O46" i="80"/>
  <c r="N46" i="80"/>
  <c r="M46" i="80"/>
  <c r="O45" i="80"/>
  <c r="P45" i="80" s="1"/>
  <c r="N45" i="80"/>
  <c r="M45" i="80"/>
  <c r="O44" i="80"/>
  <c r="N44" i="80"/>
  <c r="M44" i="80"/>
  <c r="J46" i="80"/>
  <c r="I46" i="80"/>
  <c r="H46" i="80"/>
  <c r="J45" i="80"/>
  <c r="I45" i="80"/>
  <c r="H45" i="80"/>
  <c r="J44" i="80"/>
  <c r="I44" i="80"/>
  <c r="H44" i="80"/>
  <c r="E45" i="80"/>
  <c r="D45" i="80"/>
  <c r="C45" i="80"/>
  <c r="E44" i="80"/>
  <c r="F44" i="80" s="1"/>
  <c r="D44" i="80"/>
  <c r="C44" i="80"/>
  <c r="AE44" i="80"/>
  <c r="U44" i="80"/>
  <c r="P44" i="80"/>
  <c r="K44" i="80"/>
  <c r="Z45" i="80"/>
  <c r="U45" i="80"/>
  <c r="K45" i="80"/>
  <c r="F45" i="80"/>
  <c r="C46" i="80"/>
  <c r="AE46" i="80"/>
  <c r="AD48" i="80" s="1"/>
  <c r="T14" i="17" s="1"/>
  <c r="T21" i="17" s="1"/>
  <c r="Z46" i="80"/>
  <c r="Z48" i="80" s="1"/>
  <c r="Y48" i="80" s="1"/>
  <c r="U46" i="80"/>
  <c r="U48" i="80" s="1"/>
  <c r="T48" i="80" s="1"/>
  <c r="P46" i="80"/>
  <c r="P48" i="80" s="1"/>
  <c r="O48" i="80" s="1"/>
  <c r="K46" i="80"/>
  <c r="K48" i="80" s="1"/>
  <c r="J48" i="80" s="1"/>
  <c r="E46" i="80"/>
  <c r="F46" i="80" s="1"/>
  <c r="E48" i="80" s="1"/>
  <c r="D46" i="80"/>
  <c r="AE42" i="80"/>
  <c r="Z42" i="80"/>
  <c r="U42" i="80"/>
  <c r="P42" i="80"/>
  <c r="K42" i="80"/>
  <c r="F42" i="80"/>
  <c r="AE41" i="80"/>
  <c r="Z41" i="80"/>
  <c r="U41" i="80"/>
  <c r="P41" i="80"/>
  <c r="K41" i="80"/>
  <c r="F41" i="80"/>
  <c r="AE40" i="80"/>
  <c r="Z40" i="80"/>
  <c r="U40" i="80"/>
  <c r="P40" i="80"/>
  <c r="K40" i="80"/>
  <c r="F40" i="80"/>
  <c r="AJ39" i="80"/>
  <c r="AE39" i="80"/>
  <c r="Z39" i="80"/>
  <c r="U39" i="80"/>
  <c r="P39" i="80"/>
  <c r="K39" i="80"/>
  <c r="F39" i="80"/>
  <c r="AE38" i="80"/>
  <c r="Z38" i="80"/>
  <c r="U38" i="80"/>
  <c r="P38" i="80"/>
  <c r="K38" i="80"/>
  <c r="F38" i="80"/>
  <c r="AE37" i="80"/>
  <c r="Z37" i="80"/>
  <c r="U37" i="80"/>
  <c r="P37" i="80"/>
  <c r="K37" i="80"/>
  <c r="F37" i="80"/>
  <c r="AE36" i="80"/>
  <c r="Z36" i="80"/>
  <c r="U36" i="80"/>
  <c r="P36" i="80"/>
  <c r="K36" i="80"/>
  <c r="F36" i="80"/>
  <c r="AE35" i="80"/>
  <c r="Z35" i="80"/>
  <c r="U35" i="80"/>
  <c r="P35" i="80"/>
  <c r="K35" i="80"/>
  <c r="F35" i="80"/>
  <c r="AE34" i="80"/>
  <c r="Z34" i="80"/>
  <c r="U34" i="80"/>
  <c r="P34" i="80"/>
  <c r="K34" i="80"/>
  <c r="F34" i="80"/>
  <c r="AE33" i="80"/>
  <c r="Z33" i="80"/>
  <c r="U33" i="80"/>
  <c r="P33" i="80"/>
  <c r="K33" i="80"/>
  <c r="F33" i="80"/>
  <c r="AE32" i="80"/>
  <c r="Z32" i="80"/>
  <c r="U32" i="80"/>
  <c r="P32" i="80"/>
  <c r="K32" i="80"/>
  <c r="F32" i="80"/>
  <c r="AJ31" i="80"/>
  <c r="AE31" i="80"/>
  <c r="Z31" i="80"/>
  <c r="U31" i="80"/>
  <c r="P31" i="80"/>
  <c r="K31" i="80"/>
  <c r="F31" i="80"/>
  <c r="AJ30" i="80"/>
  <c r="AE30" i="80"/>
  <c r="AD30" i="80"/>
  <c r="Z30" i="80"/>
  <c r="U30" i="80"/>
  <c r="P30" i="80"/>
  <c r="K30" i="80"/>
  <c r="I30" i="80"/>
  <c r="F30" i="80"/>
  <c r="D30" i="80"/>
  <c r="AJ29" i="80"/>
  <c r="AD29" i="80"/>
  <c r="AE29" i="80" s="1"/>
  <c r="Z29" i="80"/>
  <c r="U29" i="80"/>
  <c r="P29" i="80"/>
  <c r="K29" i="80"/>
  <c r="I29" i="80"/>
  <c r="F29" i="80"/>
  <c r="D29" i="80"/>
  <c r="AJ28" i="80"/>
  <c r="AE28" i="80"/>
  <c r="AD28" i="80"/>
  <c r="Z28" i="80"/>
  <c r="U28" i="80"/>
  <c r="P28" i="80"/>
  <c r="K28" i="80"/>
  <c r="I28" i="80"/>
  <c r="F28" i="80"/>
  <c r="D28" i="80"/>
  <c r="AJ27" i="80"/>
  <c r="AD27" i="80"/>
  <c r="AE27" i="80" s="1"/>
  <c r="Z27" i="80"/>
  <c r="U27" i="80"/>
  <c r="P27" i="80"/>
  <c r="K27" i="80"/>
  <c r="I27" i="80"/>
  <c r="F27" i="80"/>
  <c r="D27" i="80"/>
  <c r="AJ26" i="80"/>
  <c r="AE26" i="80"/>
  <c r="AD26" i="80"/>
  <c r="Z26" i="80"/>
  <c r="U26" i="80"/>
  <c r="P26" i="80"/>
  <c r="K26" i="80"/>
  <c r="I26" i="80"/>
  <c r="F26" i="80"/>
  <c r="D26" i="80"/>
  <c r="AJ25" i="80"/>
  <c r="AD25" i="80"/>
  <c r="AE25" i="80" s="1"/>
  <c r="Z25" i="80"/>
  <c r="U25" i="80"/>
  <c r="P25" i="80"/>
  <c r="K25" i="80"/>
  <c r="I25" i="80"/>
  <c r="F25" i="80"/>
  <c r="D25" i="80"/>
  <c r="AJ24" i="80"/>
  <c r="AE24" i="80"/>
  <c r="AD24" i="80"/>
  <c r="Z24" i="80"/>
  <c r="U24" i="80"/>
  <c r="P24" i="80"/>
  <c r="K24" i="80"/>
  <c r="I24" i="80"/>
  <c r="F24" i="80"/>
  <c r="D24" i="80"/>
  <c r="AJ23" i="80"/>
  <c r="AD23" i="80"/>
  <c r="AE23" i="80" s="1"/>
  <c r="Z23" i="80"/>
  <c r="U23" i="80"/>
  <c r="P23" i="80"/>
  <c r="K23" i="80"/>
  <c r="I23" i="80"/>
  <c r="F23" i="80"/>
  <c r="D23" i="80"/>
  <c r="AJ22" i="80"/>
  <c r="AE22" i="80"/>
  <c r="Z22" i="80"/>
  <c r="U22" i="80"/>
  <c r="P22" i="80"/>
  <c r="K22" i="80"/>
  <c r="I22" i="80"/>
  <c r="F22" i="80"/>
  <c r="D22" i="80"/>
  <c r="AJ21" i="80"/>
  <c r="AD21" i="80"/>
  <c r="AE21" i="80" s="1"/>
  <c r="Z21" i="80"/>
  <c r="U21" i="80"/>
  <c r="P21" i="80"/>
  <c r="K21" i="80"/>
  <c r="I21" i="80"/>
  <c r="F21" i="80"/>
  <c r="D21" i="80"/>
  <c r="AJ20" i="80"/>
  <c r="AD20" i="80"/>
  <c r="AE20" i="80" s="1"/>
  <c r="Z20" i="80"/>
  <c r="U20" i="80"/>
  <c r="P20" i="80"/>
  <c r="K20" i="80"/>
  <c r="I20" i="80"/>
  <c r="F20" i="80"/>
  <c r="D20" i="80"/>
  <c r="AJ19" i="80"/>
  <c r="AE19" i="80"/>
  <c r="Z19" i="80"/>
  <c r="X19" i="80"/>
  <c r="U19" i="80"/>
  <c r="S19" i="80"/>
  <c r="P19" i="80"/>
  <c r="N19" i="80"/>
  <c r="K19" i="80"/>
  <c r="I19" i="80"/>
  <c r="F19" i="80"/>
  <c r="D19" i="80"/>
  <c r="AE18" i="80"/>
  <c r="AD18" i="80"/>
  <c r="K18" i="80"/>
  <c r="I18" i="80"/>
  <c r="F18" i="80"/>
  <c r="D18" i="80"/>
  <c r="AD17" i="80"/>
  <c r="AE17" i="80" s="1"/>
  <c r="K17" i="80"/>
  <c r="I17" i="80"/>
  <c r="F17" i="80"/>
  <c r="D17" i="80"/>
  <c r="AE16" i="80"/>
  <c r="AD16" i="80"/>
  <c r="K16" i="80"/>
  <c r="I16" i="80"/>
  <c r="F16" i="80"/>
  <c r="D16" i="80"/>
  <c r="AD15" i="80"/>
  <c r="AE15" i="80" s="1"/>
  <c r="K15" i="80"/>
  <c r="I15" i="80"/>
  <c r="F15" i="80"/>
  <c r="D15" i="80"/>
  <c r="AE14" i="80"/>
  <c r="AD14" i="80"/>
  <c r="K14" i="80"/>
  <c r="I14" i="80"/>
  <c r="F14" i="80"/>
  <c r="D14" i="80"/>
  <c r="AJ13" i="80"/>
  <c r="AD13" i="80"/>
  <c r="AE13" i="80" s="1"/>
  <c r="K13" i="80"/>
  <c r="I13" i="80"/>
  <c r="F13" i="80"/>
  <c r="D13" i="80"/>
  <c r="AD12" i="80"/>
  <c r="AE12" i="80" s="1"/>
  <c r="K12" i="80"/>
  <c r="I12" i="80"/>
  <c r="F12" i="80"/>
  <c r="D12" i="80"/>
  <c r="AD11" i="80"/>
  <c r="AE11" i="80" s="1"/>
  <c r="K11" i="80"/>
  <c r="I11" i="80"/>
  <c r="F11" i="80"/>
  <c r="D11" i="80"/>
  <c r="AE10" i="80"/>
  <c r="K10" i="80"/>
  <c r="I10" i="80"/>
  <c r="F10" i="80"/>
  <c r="D10" i="80"/>
  <c r="AD9" i="80"/>
  <c r="AE9" i="80" s="1"/>
  <c r="K9" i="80"/>
  <c r="I9" i="80"/>
  <c r="F9" i="80"/>
  <c r="D9" i="80"/>
  <c r="AE8" i="80"/>
  <c r="AD8" i="80"/>
  <c r="K8" i="80"/>
  <c r="I8" i="80"/>
  <c r="F8" i="80"/>
  <c r="D8" i="80"/>
  <c r="AJ7" i="80"/>
  <c r="AE7" i="80"/>
  <c r="Z7" i="80"/>
  <c r="X7" i="80"/>
  <c r="U7" i="80"/>
  <c r="S7" i="80"/>
  <c r="P7" i="80"/>
  <c r="N7" i="80"/>
  <c r="K7" i="80"/>
  <c r="I7" i="80"/>
  <c r="F7" i="80"/>
  <c r="D7" i="80"/>
  <c r="W42" i="79"/>
  <c r="R42" i="79"/>
  <c r="J42" i="79"/>
  <c r="M42" i="79" s="1"/>
  <c r="W41" i="79"/>
  <c r="R41" i="79"/>
  <c r="J41" i="79"/>
  <c r="M41" i="79" s="1"/>
  <c r="W40" i="79"/>
  <c r="R40" i="79"/>
  <c r="J40" i="79"/>
  <c r="M40" i="79" s="1"/>
  <c r="W39" i="79"/>
  <c r="R39" i="79"/>
  <c r="J39" i="79"/>
  <c r="M39" i="79" s="1"/>
  <c r="W38" i="79"/>
  <c r="R38" i="79"/>
  <c r="J38" i="79"/>
  <c r="M38" i="79" s="1"/>
  <c r="W37" i="79"/>
  <c r="R37" i="79"/>
  <c r="J37" i="79"/>
  <c r="M37" i="79" s="1"/>
  <c r="W36" i="79"/>
  <c r="R36" i="79"/>
  <c r="J36" i="79"/>
  <c r="M36" i="79" s="1"/>
  <c r="W35" i="79"/>
  <c r="R35" i="79"/>
  <c r="J35" i="79"/>
  <c r="M35" i="79" s="1"/>
  <c r="W34" i="79"/>
  <c r="R34" i="79"/>
  <c r="J34" i="79"/>
  <c r="M34" i="79" s="1"/>
  <c r="W33" i="79"/>
  <c r="R33" i="79"/>
  <c r="J33" i="79"/>
  <c r="M33" i="79" s="1"/>
  <c r="W32" i="79"/>
  <c r="R32" i="79"/>
  <c r="J32" i="79"/>
  <c r="M32" i="79" s="1"/>
  <c r="W31" i="79"/>
  <c r="R31" i="79"/>
  <c r="J31" i="79"/>
  <c r="M31" i="79" s="1"/>
  <c r="F31" i="79"/>
  <c r="W30" i="79"/>
  <c r="R30" i="79"/>
  <c r="J30" i="79"/>
  <c r="M30" i="79" s="1"/>
  <c r="W29" i="79"/>
  <c r="R29" i="79"/>
  <c r="J29" i="79"/>
  <c r="M29" i="79" s="1"/>
  <c r="W28" i="79"/>
  <c r="R28" i="79"/>
  <c r="J28" i="79"/>
  <c r="M28" i="79" s="1"/>
  <c r="W27" i="79"/>
  <c r="R27" i="79"/>
  <c r="J27" i="79"/>
  <c r="M27" i="79" s="1"/>
  <c r="W26" i="79"/>
  <c r="R26" i="79"/>
  <c r="J26" i="79"/>
  <c r="M26" i="79" s="1"/>
  <c r="W25" i="79"/>
  <c r="R25" i="79"/>
  <c r="J25" i="79"/>
  <c r="M25" i="79" s="1"/>
  <c r="W24" i="79"/>
  <c r="R24" i="79"/>
  <c r="J24" i="79"/>
  <c r="M24" i="79" s="1"/>
  <c r="W23" i="79"/>
  <c r="R23" i="79"/>
  <c r="J23" i="79"/>
  <c r="M23" i="79" s="1"/>
  <c r="W22" i="79"/>
  <c r="R22" i="79"/>
  <c r="J22" i="79"/>
  <c r="M22" i="79" s="1"/>
  <c r="W21" i="79"/>
  <c r="R21" i="79"/>
  <c r="J21" i="79"/>
  <c r="M21" i="79" s="1"/>
  <c r="W20" i="79"/>
  <c r="R20" i="79"/>
  <c r="J20" i="79"/>
  <c r="M20" i="79" s="1"/>
  <c r="W19" i="79"/>
  <c r="R19" i="79"/>
  <c r="J19" i="79"/>
  <c r="F19" i="79"/>
  <c r="J18" i="79"/>
  <c r="J17" i="79"/>
  <c r="J16" i="79"/>
  <c r="J15" i="79"/>
  <c r="J14" i="79"/>
  <c r="J13" i="79"/>
  <c r="J12" i="79"/>
  <c r="J11" i="79"/>
  <c r="J10" i="79"/>
  <c r="J9" i="79"/>
  <c r="J8" i="79"/>
  <c r="J7" i="79"/>
  <c r="N41" i="19" l="1"/>
  <c r="R21" i="17"/>
  <c r="M41" i="19"/>
  <c r="K41" i="19"/>
  <c r="E21" i="17"/>
  <c r="P25" i="17"/>
  <c r="Z14" i="17"/>
  <c r="T25" i="17"/>
  <c r="F14" i="17"/>
  <c r="G25" i="17"/>
  <c r="F46" i="79"/>
  <c r="E48" i="79" s="1"/>
  <c r="F45" i="79"/>
  <c r="Q48" i="79"/>
  <c r="M19" i="79"/>
  <c r="J45" i="79"/>
  <c r="M45" i="79" s="1"/>
  <c r="J46" i="79"/>
  <c r="B26" i="17"/>
  <c r="B27" i="17"/>
  <c r="B28" i="17"/>
  <c r="B31" i="17"/>
  <c r="B29" i="17"/>
  <c r="B30" i="17"/>
  <c r="B25" i="17"/>
  <c r="L18" i="17"/>
  <c r="L20" i="17"/>
  <c r="L16" i="17"/>
  <c r="L15" i="17"/>
  <c r="C14" i="17"/>
  <c r="C25" i="17" s="1"/>
  <c r="C15" i="17"/>
  <c r="C26" i="17" s="1"/>
  <c r="C16" i="17"/>
  <c r="C27" i="17" s="1"/>
  <c r="C17" i="17"/>
  <c r="C28" i="17" s="1"/>
  <c r="C20" i="17"/>
  <c r="C31" i="17" s="1"/>
  <c r="C18" i="17"/>
  <c r="C29" i="17" s="1"/>
  <c r="C19" i="17"/>
  <c r="C30" i="17" s="1"/>
  <c r="L21" i="17" l="1"/>
  <c r="K18" i="17"/>
  <c r="Z18" i="17"/>
  <c r="K15" i="17"/>
  <c r="Z15" i="17"/>
  <c r="K16" i="17"/>
  <c r="Z16" i="17"/>
  <c r="K20" i="17"/>
  <c r="Z20" i="17"/>
  <c r="M46" i="79"/>
  <c r="M48" i="79" s="1"/>
  <c r="J48" i="79"/>
  <c r="S20" i="17"/>
  <c r="T31" i="17"/>
  <c r="S15" i="17"/>
  <c r="T26" i="17"/>
  <c r="S17" i="17"/>
  <c r="T28" i="17"/>
  <c r="S18" i="17"/>
  <c r="T29" i="17"/>
  <c r="O16" i="17"/>
  <c r="P27" i="17"/>
  <c r="O20" i="17"/>
  <c r="P31" i="17"/>
  <c r="S16" i="17"/>
  <c r="T27" i="17"/>
  <c r="K17" i="17"/>
  <c r="O15" i="17"/>
  <c r="P26" i="17"/>
  <c r="O18" i="17"/>
  <c r="P29" i="17"/>
  <c r="K14" i="17"/>
  <c r="K19" i="17"/>
  <c r="K21" i="17" l="1"/>
  <c r="Y20" i="17"/>
  <c r="L48" i="79"/>
  <c r="P17" i="17" s="1"/>
  <c r="P21" i="17" s="1"/>
  <c r="N17" i="17"/>
  <c r="Y18" i="17"/>
  <c r="Y15" i="17"/>
  <c r="Y16" i="17"/>
  <c r="D10" i="20"/>
  <c r="M44" i="19" l="1"/>
  <c r="N21" i="17"/>
  <c r="Z17" i="17"/>
  <c r="Z21" i="17" s="1"/>
  <c r="O17" i="17"/>
  <c r="Y17" i="17" s="1"/>
  <c r="P28" i="17"/>
  <c r="P34" i="20"/>
  <c r="P30" i="20"/>
  <c r="P22" i="20"/>
  <c r="B22" i="20"/>
  <c r="B34" i="20" s="1"/>
  <c r="B18" i="20"/>
  <c r="B30" i="20" s="1"/>
  <c r="L10" i="20"/>
  <c r="L6" i="20"/>
  <c r="P18" i="20"/>
  <c r="M62" i="19"/>
  <c r="M59" i="19"/>
  <c r="D59" i="19"/>
  <c r="M61" i="19"/>
  <c r="D61" i="19"/>
  <c r="M58" i="19"/>
  <c r="D58" i="19"/>
  <c r="M57" i="19"/>
  <c r="D57" i="19"/>
  <c r="M56" i="19"/>
  <c r="D56" i="19"/>
  <c r="M55" i="19"/>
  <c r="D55" i="19"/>
  <c r="G53" i="19"/>
  <c r="L48" i="19"/>
  <c r="B27" i="19"/>
  <c r="B41" i="19" s="1"/>
  <c r="B55" i="19" s="1"/>
  <c r="B28" i="19"/>
  <c r="B42" i="19" s="1"/>
  <c r="B56" i="19" s="1"/>
  <c r="B29" i="19"/>
  <c r="B43" i="19" s="1"/>
  <c r="B57" i="19" s="1"/>
  <c r="B30" i="19"/>
  <c r="B44" i="19" s="1"/>
  <c r="B58" i="19" s="1"/>
  <c r="B33" i="19"/>
  <c r="B47" i="19" s="1"/>
  <c r="B61" i="19" s="1"/>
  <c r="B31" i="19"/>
  <c r="B45" i="19" s="1"/>
  <c r="B59" i="19" s="1"/>
  <c r="D31" i="19"/>
  <c r="C31" i="19"/>
  <c r="C45" i="19" s="1"/>
  <c r="C59" i="19" s="1"/>
  <c r="D33" i="19"/>
  <c r="C33" i="19"/>
  <c r="C47" i="19" s="1"/>
  <c r="C61" i="19" s="1"/>
  <c r="D30" i="19"/>
  <c r="C30" i="19"/>
  <c r="C44" i="19" s="1"/>
  <c r="C58" i="19" s="1"/>
  <c r="D29" i="19"/>
  <c r="C29" i="19"/>
  <c r="C43" i="19" s="1"/>
  <c r="C57" i="19" s="1"/>
  <c r="D28" i="19"/>
  <c r="C28" i="19"/>
  <c r="C42" i="19" s="1"/>
  <c r="C56" i="19" s="1"/>
  <c r="D27" i="19"/>
  <c r="C27" i="19"/>
  <c r="C41" i="19" s="1"/>
  <c r="C55" i="19" s="1"/>
  <c r="D13" i="19"/>
  <c r="D15" i="19"/>
  <c r="D12" i="19"/>
  <c r="D11" i="19"/>
  <c r="D10" i="19"/>
  <c r="D9" i="19"/>
  <c r="L57" i="19" l="1"/>
  <c r="L58" i="19"/>
  <c r="L61" i="19"/>
  <c r="L56" i="19"/>
  <c r="L55" i="19"/>
  <c r="L59" i="19"/>
  <c r="K6" i="20"/>
  <c r="F6" i="20"/>
  <c r="E10" i="20"/>
  <c r="E22" i="20" s="1"/>
  <c r="E34" i="20" s="1"/>
  <c r="G6" i="20"/>
  <c r="I10" i="20"/>
  <c r="M6" i="20"/>
  <c r="M10" i="20"/>
  <c r="I6" i="20"/>
  <c r="N6" i="20"/>
  <c r="F10" i="20"/>
  <c r="J10" i="20"/>
  <c r="N10" i="20"/>
  <c r="E6" i="20"/>
  <c r="J6" i="20"/>
  <c r="O6" i="20"/>
  <c r="G10" i="20"/>
  <c r="K10" i="20"/>
  <c r="O10" i="20"/>
  <c r="H10" i="20"/>
  <c r="H6" i="20"/>
  <c r="D60" i="19"/>
  <c r="P10" i="20" l="1"/>
  <c r="Q22" i="20" s="1"/>
  <c r="S22" i="20" s="1"/>
  <c r="P6" i="20"/>
  <c r="S14" i="17" l="1"/>
  <c r="H25" i="21"/>
  <c r="O14" i="17" l="1"/>
  <c r="P33" i="20"/>
  <c r="P29" i="20"/>
  <c r="P21" i="20"/>
  <c r="P17" i="20"/>
  <c r="Y14" i="17" l="1"/>
  <c r="T30" i="17"/>
  <c r="S19" i="17" l="1"/>
  <c r="S21" i="17" s="1"/>
  <c r="B25" i="20" l="1"/>
  <c r="B37" i="20" s="1"/>
  <c r="B21" i="20"/>
  <c r="B33" i="20" s="1"/>
  <c r="B23" i="20"/>
  <c r="B35" i="20" s="1"/>
  <c r="B24" i="20"/>
  <c r="B36" i="20" s="1"/>
  <c r="B17" i="20"/>
  <c r="B29" i="20" s="1"/>
  <c r="B19" i="20"/>
  <c r="B31" i="20" s="1"/>
  <c r="B20" i="20"/>
  <c r="B32" i="20" s="1"/>
  <c r="D13" i="20" l="1"/>
  <c r="D5" i="20" l="1"/>
  <c r="K5" i="20" s="1"/>
  <c r="F65" i="19"/>
  <c r="G5" i="20"/>
  <c r="M5" i="20"/>
  <c r="I5" i="20"/>
  <c r="F5" i="20"/>
  <c r="L5" i="20"/>
  <c r="H5" i="20"/>
  <c r="I65" i="19"/>
  <c r="H65" i="19"/>
  <c r="O5" i="20" l="1"/>
  <c r="N5" i="20"/>
  <c r="J5" i="20"/>
  <c r="E5" i="20"/>
  <c r="E17" i="20" s="1"/>
  <c r="E29" i="20" s="1"/>
  <c r="C30" i="20"/>
  <c r="C31" i="20" s="1"/>
  <c r="C32" i="20" s="1"/>
  <c r="C34" i="20" s="1"/>
  <c r="C35" i="20" s="1"/>
  <c r="C36" i="20" s="1"/>
  <c r="C37" i="20" s="1"/>
  <c r="D7" i="20"/>
  <c r="D8" i="20"/>
  <c r="P5" i="20"/>
  <c r="Q17" i="20" s="1"/>
  <c r="S17" i="20" s="1"/>
  <c r="M48" i="19" l="1"/>
  <c r="N48" i="19"/>
  <c r="K48" i="19"/>
  <c r="I53" i="19"/>
  <c r="H53" i="19"/>
  <c r="F53" i="19"/>
  <c r="N45" i="20"/>
  <c r="N26" i="20"/>
  <c r="M60" i="19"/>
  <c r="B32" i="19"/>
  <c r="B46" i="19" s="1"/>
  <c r="B60" i="19" s="1"/>
  <c r="C32" i="19"/>
  <c r="D32" i="19"/>
  <c r="D14" i="19"/>
  <c r="D62" i="19" l="1"/>
  <c r="C46" i="19"/>
  <c r="C60" i="19" s="1"/>
  <c r="L60" i="19"/>
  <c r="L62" i="19" l="1"/>
  <c r="N13" i="20"/>
  <c r="N7" i="20" l="1"/>
  <c r="E45" i="20" l="1"/>
  <c r="F45" i="20"/>
  <c r="G45" i="20"/>
  <c r="H45" i="20"/>
  <c r="I45" i="20"/>
  <c r="J45" i="20"/>
  <c r="K45" i="20"/>
  <c r="M45" i="20"/>
  <c r="O45" i="20"/>
  <c r="L45" i="20"/>
  <c r="P37" i="20"/>
  <c r="P36" i="20"/>
  <c r="P35" i="20"/>
  <c r="P32" i="20"/>
  <c r="P31" i="20"/>
  <c r="N8" i="20" l="1"/>
  <c r="P44" i="20"/>
  <c r="I17" i="21" s="1"/>
  <c r="P43" i="20"/>
  <c r="I16" i="21" s="1"/>
  <c r="P42" i="20"/>
  <c r="P25" i="20"/>
  <c r="Y22" i="19"/>
  <c r="X22" i="19"/>
  <c r="W22" i="19"/>
  <c r="V22" i="19"/>
  <c r="U22" i="19"/>
  <c r="T22" i="19"/>
  <c r="S22" i="19"/>
  <c r="R22" i="19"/>
  <c r="Q22" i="19"/>
  <c r="P22" i="19"/>
  <c r="O22" i="19"/>
  <c r="N22" i="19"/>
  <c r="M22" i="19"/>
  <c r="L22" i="19"/>
  <c r="K22" i="19"/>
  <c r="J22" i="19"/>
  <c r="I22" i="19"/>
  <c r="H22" i="19"/>
  <c r="G22" i="19"/>
  <c r="F22" i="19"/>
  <c r="Y21" i="19"/>
  <c r="X21" i="19"/>
  <c r="W21" i="19"/>
  <c r="V21" i="19"/>
  <c r="U21" i="19"/>
  <c r="T21" i="19"/>
  <c r="S21" i="19"/>
  <c r="R21" i="19"/>
  <c r="Q21" i="19"/>
  <c r="P21" i="19"/>
  <c r="O21" i="19"/>
  <c r="N21" i="19"/>
  <c r="M21" i="19"/>
  <c r="L21" i="19"/>
  <c r="K21" i="19"/>
  <c r="J21" i="19"/>
  <c r="I21" i="19"/>
  <c r="H21" i="19"/>
  <c r="G21" i="19"/>
  <c r="F21" i="19"/>
  <c r="P19" i="20"/>
  <c r="P20" i="20"/>
  <c r="P23" i="20"/>
  <c r="P24" i="20"/>
  <c r="M26" i="20"/>
  <c r="I26" i="20"/>
  <c r="J26" i="20"/>
  <c r="L26" i="20"/>
  <c r="K26" i="20"/>
  <c r="F26" i="20"/>
  <c r="H26" i="20"/>
  <c r="G26" i="20"/>
  <c r="O26" i="20"/>
  <c r="I8" i="21" l="1"/>
  <c r="V42" i="20"/>
  <c r="P45" i="20"/>
  <c r="I18" i="21"/>
  <c r="I19" i="21" s="1"/>
  <c r="I20" i="21" s="1"/>
  <c r="P26" i="20"/>
  <c r="I9" i="21" l="1"/>
  <c r="I25" i="21" s="1"/>
  <c r="I24" i="21"/>
  <c r="I26" i="21" s="1"/>
  <c r="C42" i="20"/>
  <c r="M13" i="20"/>
  <c r="J13" i="20"/>
  <c r="O13" i="20"/>
  <c r="E13" i="20"/>
  <c r="E25" i="20" s="1"/>
  <c r="E37" i="20" s="1"/>
  <c r="F13" i="20"/>
  <c r="K13" i="20"/>
  <c r="L13" i="20"/>
  <c r="G13" i="20"/>
  <c r="I13" i="20"/>
  <c r="H13" i="20"/>
  <c r="C43" i="20" l="1"/>
  <c r="C44" i="20" s="1"/>
  <c r="P13" i="20"/>
  <c r="Q25" i="20" s="1"/>
  <c r="I10" i="21"/>
  <c r="K8" i="20" l="1"/>
  <c r="M8" i="20"/>
  <c r="E8" i="20"/>
  <c r="E20" i="20" s="1"/>
  <c r="E32" i="20" s="1"/>
  <c r="H8" i="20"/>
  <c r="G8" i="20"/>
  <c r="O8" i="20"/>
  <c r="I8" i="20"/>
  <c r="J8" i="20"/>
  <c r="L8" i="20"/>
  <c r="F8" i="20"/>
  <c r="F7" i="20"/>
  <c r="L7" i="20"/>
  <c r="O7" i="20"/>
  <c r="J7" i="20"/>
  <c r="E7" i="20"/>
  <c r="G7" i="20"/>
  <c r="M7" i="20"/>
  <c r="K7" i="20"/>
  <c r="I7" i="20"/>
  <c r="H7" i="20"/>
  <c r="E19" i="20" l="1"/>
  <c r="E31" i="20" s="1"/>
  <c r="E18" i="20"/>
  <c r="E30" i="20" s="1"/>
  <c r="P8" i="20"/>
  <c r="Q20" i="20" s="1"/>
  <c r="S20" i="20" s="1"/>
  <c r="P7" i="20"/>
  <c r="Q19" i="20" l="1"/>
  <c r="S19" i="20" s="1"/>
  <c r="Q18" i="20"/>
  <c r="S18" i="20" s="1"/>
  <c r="D12" i="20" l="1"/>
  <c r="I12" i="20" l="1"/>
  <c r="K12" i="20"/>
  <c r="L12" i="20"/>
  <c r="J12" i="20"/>
  <c r="O12" i="20"/>
  <c r="N12" i="20"/>
  <c r="M12" i="20"/>
  <c r="F12" i="20"/>
  <c r="G12" i="20"/>
  <c r="H12" i="20"/>
  <c r="E12" i="20"/>
  <c r="E24" i="20" l="1"/>
  <c r="P12" i="20"/>
  <c r="Q24" i="20" s="1"/>
  <c r="S24" i="20" s="1"/>
  <c r="E36" i="20" l="1"/>
  <c r="F19" i="17" l="1"/>
  <c r="F21" i="17" s="1"/>
  <c r="G30" i="17"/>
  <c r="D9" i="20" l="1"/>
  <c r="J9" i="20" l="1"/>
  <c r="G9" i="20"/>
  <c r="F9" i="20"/>
  <c r="O9" i="20"/>
  <c r="I9" i="20"/>
  <c r="E9" i="20"/>
  <c r="K9" i="20"/>
  <c r="H9" i="20"/>
  <c r="M9" i="20"/>
  <c r="L9" i="20"/>
  <c r="N9" i="20"/>
  <c r="E21" i="20" l="1"/>
  <c r="P9" i="20"/>
  <c r="Q21" i="20" s="1"/>
  <c r="S21" i="20" s="1"/>
  <c r="D11" i="20"/>
  <c r="D14" i="20" s="1"/>
  <c r="E33" i="20" l="1"/>
  <c r="H11" i="20"/>
  <c r="H14" i="20" s="1"/>
  <c r="H38" i="20" s="1"/>
  <c r="O11" i="20"/>
  <c r="O14" i="20" s="1"/>
  <c r="O38" i="20" s="1"/>
  <c r="M11" i="20"/>
  <c r="M14" i="20" s="1"/>
  <c r="M38" i="20" s="1"/>
  <c r="N11" i="20"/>
  <c r="N14" i="20" s="1"/>
  <c r="N38" i="20" s="1"/>
  <c r="L11" i="20"/>
  <c r="L14" i="20" s="1"/>
  <c r="L38" i="20" s="1"/>
  <c r="F11" i="20"/>
  <c r="F14" i="20" s="1"/>
  <c r="I11" i="20"/>
  <c r="I14" i="20" s="1"/>
  <c r="I38" i="20" s="1"/>
  <c r="J11" i="20"/>
  <c r="J14" i="20" s="1"/>
  <c r="J38" i="20" s="1"/>
  <c r="K11" i="20"/>
  <c r="K14" i="20" s="1"/>
  <c r="K38" i="20" s="1"/>
  <c r="G11" i="20"/>
  <c r="G14" i="20" s="1"/>
  <c r="G38" i="20" s="1"/>
  <c r="E11" i="20"/>
  <c r="O19" i="17"/>
  <c r="O21" i="17" s="1"/>
  <c r="P30" i="17"/>
  <c r="E23" i="20" l="1"/>
  <c r="E14" i="20"/>
  <c r="I49" i="20"/>
  <c r="I39" i="20"/>
  <c r="M49" i="20"/>
  <c r="M39" i="20"/>
  <c r="N49" i="20"/>
  <c r="N39" i="20"/>
  <c r="G49" i="20"/>
  <c r="G39" i="20"/>
  <c r="P14" i="20"/>
  <c r="Q26" i="20" s="1"/>
  <c r="S26" i="20" s="1"/>
  <c r="F38" i="20"/>
  <c r="O49" i="20"/>
  <c r="O39" i="20"/>
  <c r="J39" i="20"/>
  <c r="J49" i="20"/>
  <c r="K39" i="20"/>
  <c r="K49" i="20"/>
  <c r="L49" i="20"/>
  <c r="L39" i="20"/>
  <c r="H39" i="20"/>
  <c r="H49" i="20"/>
  <c r="Y19" i="17"/>
  <c r="Y21" i="17" s="1"/>
  <c r="P11" i="20"/>
  <c r="Q23" i="20" s="1"/>
  <c r="S23" i="20" s="1"/>
  <c r="E35" i="20" l="1"/>
  <c r="E26" i="20"/>
  <c r="E38" i="20" s="1"/>
  <c r="E49" i="20" s="1"/>
  <c r="F49" i="20"/>
  <c r="P38" i="20"/>
  <c r="F39" i="20"/>
  <c r="P49" i="20" l="1"/>
  <c r="P39" i="20"/>
</calcChain>
</file>

<file path=xl/comments1.xml><?xml version="1.0" encoding="utf-8"?>
<comments xmlns="http://schemas.openxmlformats.org/spreadsheetml/2006/main">
  <authors>
    <author>Jiří Mazáček</author>
  </authors>
  <commentList>
    <comment ref="R15" authorId="0" shapeId="0">
      <text>
        <r>
          <rPr>
            <b/>
            <sz val="9"/>
            <color indexed="81"/>
            <rFont val="Tahoma"/>
            <charset val="1"/>
          </rPr>
          <t>Jiří Mazáček:</t>
        </r>
        <r>
          <rPr>
            <sz val="9"/>
            <color indexed="81"/>
            <rFont val="Tahoma"/>
            <charset val="1"/>
          </rPr>
          <t xml:space="preserve">
stanoveno odhadem jako 30 % celkové spotřeby areálu</t>
        </r>
      </text>
    </comment>
    <comment ref="P31" authorId="0" shapeId="0">
      <text>
        <r>
          <rPr>
            <b/>
            <sz val="9"/>
            <color indexed="81"/>
            <rFont val="Tahoma"/>
            <charset val="1"/>
          </rPr>
          <t>Jiří Mazáček:</t>
        </r>
        <r>
          <rPr>
            <sz val="9"/>
            <color indexed="81"/>
            <rFont val="Tahoma"/>
            <charset val="1"/>
          </rPr>
          <t xml:space="preserve">
velkoodběr</t>
        </r>
      </text>
    </comment>
  </commentList>
</comments>
</file>

<file path=xl/comments2.xml><?xml version="1.0" encoding="utf-8"?>
<comments xmlns="http://schemas.openxmlformats.org/spreadsheetml/2006/main">
  <authors>
    <author>Autor</author>
    <author>Jiří Mazáček</author>
  </authors>
  <commentList>
    <comment ref="AC5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pouze vodné a stočné, nikoliv srážkovou vodu</t>
        </r>
      </text>
    </comment>
    <comment ref="AH5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pouze vodné a stočné, nikoliv srážkovou vodu</t>
        </r>
      </text>
    </comment>
    <comment ref="AJ48" authorId="1" shapeId="0">
      <text>
        <r>
          <rPr>
            <b/>
            <sz val="9"/>
            <color indexed="81"/>
            <rFont val="Tahoma"/>
            <family val="2"/>
            <charset val="238"/>
          </rPr>
          <t>Jiří Mazáček:</t>
        </r>
        <r>
          <rPr>
            <sz val="9"/>
            <color indexed="81"/>
            <rFont val="Tahoma"/>
            <family val="2"/>
            <charset val="238"/>
          </rPr>
          <t xml:space="preserve">
vzhledem k nulovému odběru v r. 2021 nereálná cena vody</t>
        </r>
      </text>
    </comment>
  </commentList>
</comments>
</file>

<file path=xl/comments3.xml><?xml version="1.0" encoding="utf-8"?>
<comments xmlns="http://schemas.openxmlformats.org/spreadsheetml/2006/main">
  <authors>
    <author>Jan Klimša</author>
    <author>Autor</author>
  </authors>
  <commentList>
    <comment ref="H4" authorId="0" shapeId="0">
      <text>
        <r>
          <rPr>
            <b/>
            <sz val="9"/>
            <color indexed="81"/>
            <rFont val="Tahoma"/>
            <family val="2"/>
            <charset val="238"/>
          </rPr>
          <t>CEIS:</t>
        </r>
        <r>
          <rPr>
            <sz val="9"/>
            <color indexed="81"/>
            <rFont val="Tahoma"/>
            <family val="2"/>
            <charset val="238"/>
          </rPr>
          <t xml:space="preserve">
od 1.1.2019 - do 2.7.2020</t>
        </r>
      </text>
    </comment>
    <comment ref="M4" authorId="0" shapeId="0">
      <text>
        <r>
          <rPr>
            <b/>
            <sz val="9"/>
            <color indexed="81"/>
            <rFont val="Tahoma"/>
            <family val="2"/>
            <charset val="238"/>
          </rPr>
          <t>CEIS:</t>
        </r>
        <r>
          <rPr>
            <sz val="9"/>
            <color indexed="81"/>
            <rFont val="Tahoma"/>
            <family val="2"/>
            <charset val="238"/>
          </rPr>
          <t xml:space="preserve">
od 2.7.2020 - do 31.12.2021</t>
        </r>
      </text>
    </comment>
    <comment ref="S5" authorId="1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pouze vodné a stočné, nikoliv srážkovou vodu</t>
        </r>
      </text>
    </comment>
    <comment ref="X5" authorId="1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pouze vodné a stočné, nikoliv srážkovou vodu</t>
        </r>
      </text>
    </comment>
  </commentList>
</comments>
</file>

<file path=xl/comments4.xml><?xml version="1.0" encoding="utf-8"?>
<comments xmlns="http://schemas.openxmlformats.org/spreadsheetml/2006/main">
  <authors>
    <author>Jan Klimša</author>
    <author>Autor</author>
  </authors>
  <commentList>
    <comment ref="H5" authorId="0" shapeId="0">
      <text>
        <r>
          <rPr>
            <b/>
            <sz val="9"/>
            <color indexed="81"/>
            <rFont val="Tahoma"/>
            <family val="2"/>
            <charset val="238"/>
          </rPr>
          <t>CEIS:</t>
        </r>
        <r>
          <rPr>
            <sz val="9"/>
            <color indexed="81"/>
            <rFont val="Tahoma"/>
            <family val="2"/>
            <charset val="238"/>
          </rPr>
          <t xml:space="preserve">
od 1.1.2019 - do 2.7.2020</t>
        </r>
      </text>
    </comment>
    <comment ref="H6" authorId="0" shapeId="0">
      <text>
        <r>
          <rPr>
            <b/>
            <sz val="9"/>
            <color indexed="81"/>
            <rFont val="Tahoma"/>
            <family val="2"/>
            <charset val="238"/>
          </rPr>
          <t>CEIS:</t>
        </r>
        <r>
          <rPr>
            <sz val="9"/>
            <color indexed="81"/>
            <rFont val="Tahoma"/>
            <family val="2"/>
            <charset val="238"/>
          </rPr>
          <t xml:space="preserve">
od 2.7.2020 - do 31.12.2021</t>
        </r>
      </text>
    </comment>
    <comment ref="N7" authorId="1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pouze vodné a stočné, nikoliv srážkovou vodu</t>
        </r>
      </text>
    </comment>
    <comment ref="S7" authorId="1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pouze vodné a stočné, nikoliv srážkovou vodu</t>
        </r>
      </text>
    </comment>
  </commentList>
</comments>
</file>

<file path=xl/comments5.xml><?xml version="1.0" encoding="utf-8"?>
<comments xmlns="http://schemas.openxmlformats.org/spreadsheetml/2006/main">
  <authors>
    <author>Autor</author>
  </authors>
  <commentList>
    <comment ref="K5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pouze vodné a stočné, nikoliv srážkovou vodu</t>
        </r>
      </text>
    </comment>
  </commentList>
</comments>
</file>

<file path=xl/comments6.xml><?xml version="1.0" encoding="utf-8"?>
<comments xmlns="http://schemas.openxmlformats.org/spreadsheetml/2006/main">
  <authors>
    <author>Autor</author>
  </authors>
  <commentList>
    <comment ref="P5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pouze vodné a stočné, nikoliv srážkovou vodu</t>
        </r>
      </text>
    </comment>
    <comment ref="U5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pouze vodné a stočné, nikoliv srážkovou vodu</t>
        </r>
      </text>
    </comment>
  </commentList>
</comments>
</file>

<file path=xl/comments7.xml><?xml version="1.0" encoding="utf-8"?>
<comments xmlns="http://schemas.openxmlformats.org/spreadsheetml/2006/main">
  <authors>
    <author>Autor</author>
  </authors>
  <commentList>
    <comment ref="W5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pouze vodné a stočné, nikoliv srážkovou vodu</t>
        </r>
      </text>
    </comment>
  </commentList>
</comments>
</file>

<file path=xl/comments8.xml><?xml version="1.0" encoding="utf-8"?>
<comments xmlns="http://schemas.openxmlformats.org/spreadsheetml/2006/main">
  <authors>
    <author>Autor</author>
    <author>Jiří Mazáček</author>
  </authors>
  <commentList>
    <comment ref="Z5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pouze vodné a stočné, nikoliv srážkovou vodu</t>
        </r>
      </text>
    </comment>
    <comment ref="AD48" authorId="1" shapeId="0">
      <text>
        <r>
          <rPr>
            <b/>
            <sz val="9"/>
            <color indexed="81"/>
            <rFont val="Tahoma"/>
            <family val="2"/>
            <charset val="238"/>
          </rPr>
          <t>Jiří Mazáček:</t>
        </r>
        <r>
          <rPr>
            <sz val="9"/>
            <color indexed="81"/>
            <rFont val="Tahoma"/>
            <family val="2"/>
            <charset val="238"/>
          </rPr>
          <t xml:space="preserve">
vzhledem k nulovému odběru v r. 2021 nereálná cena vody</t>
        </r>
      </text>
    </comment>
  </commentList>
</comments>
</file>

<file path=xl/comments9.xml><?xml version="1.0" encoding="utf-8"?>
<comments xmlns="http://schemas.openxmlformats.org/spreadsheetml/2006/main">
  <authors>
    <author>Autor</author>
  </authors>
  <commentList>
    <comment ref="K5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pouze vodné a stočné, nikoliv srážkovou vodu</t>
        </r>
      </text>
    </comment>
  </commentList>
</comments>
</file>

<file path=xl/sharedStrings.xml><?xml version="1.0" encoding="utf-8"?>
<sst xmlns="http://schemas.openxmlformats.org/spreadsheetml/2006/main" count="1245" uniqueCount="233">
  <si>
    <t>Kč</t>
  </si>
  <si>
    <t>m3</t>
  </si>
  <si>
    <t>ELEKTŘINA</t>
  </si>
  <si>
    <t>Kč bez DPH</t>
  </si>
  <si>
    <t>Kč vč. DPH</t>
  </si>
  <si>
    <t>VODA</t>
  </si>
  <si>
    <r>
      <t>m</t>
    </r>
    <r>
      <rPr>
        <b/>
        <vertAlign val="superscript"/>
        <sz val="10"/>
        <color theme="1"/>
        <rFont val="Calibri"/>
        <family val="2"/>
        <charset val="238"/>
        <scheme val="minor"/>
      </rPr>
      <t>3</t>
    </r>
  </si>
  <si>
    <t>platba</t>
  </si>
  <si>
    <t>OSTATNÍ PROVOZNÍ NÁKLADY</t>
  </si>
  <si>
    <t>DPH</t>
  </si>
  <si>
    <t>CELKEM</t>
  </si>
  <si>
    <t>-</t>
  </si>
  <si>
    <t>Tabulka 1</t>
  </si>
  <si>
    <t>objekt č.</t>
  </si>
  <si>
    <t>název</t>
  </si>
  <si>
    <t>název opatření</t>
  </si>
  <si>
    <t>Opatření 1</t>
  </si>
  <si>
    <t>Opatření 2</t>
  </si>
  <si>
    <t>Opatření 3</t>
  </si>
  <si>
    <t>Opatření 4</t>
  </si>
  <si>
    <t>Opatření 5</t>
  </si>
  <si>
    <t>Opatření 6</t>
  </si>
  <si>
    <t>Opatření 7</t>
  </si>
  <si>
    <t>Opatření 8</t>
  </si>
  <si>
    <t>Opatření 9</t>
  </si>
  <si>
    <t>Opatření 10</t>
  </si>
  <si>
    <t>Opatření 11</t>
  </si>
  <si>
    <t>Opatření 12</t>
  </si>
  <si>
    <t>Opatření 13</t>
  </si>
  <si>
    <t>Opatření 14</t>
  </si>
  <si>
    <t>Opatření 15</t>
  </si>
  <si>
    <t>Opatření 16</t>
  </si>
  <si>
    <t>Opatření 17</t>
  </si>
  <si>
    <t>Opatření 18</t>
  </si>
  <si>
    <t>Opatření 19</t>
  </si>
  <si>
    <t>Opatření 20</t>
  </si>
  <si>
    <t>vyplnit --&gt;</t>
  </si>
  <si>
    <t>Tabulka 2</t>
  </si>
  <si>
    <t>Ostatní provozní náklady</t>
  </si>
  <si>
    <t>Tabulka 3</t>
  </si>
  <si>
    <t xml:space="preserve">název </t>
  </si>
  <si>
    <t>Zemní plyn</t>
  </si>
  <si>
    <t>Elektřina</t>
  </si>
  <si>
    <t>Voda</t>
  </si>
  <si>
    <t>Tabulka 4</t>
  </si>
  <si>
    <t>Ost. náklady</t>
  </si>
  <si>
    <t>kontrola</t>
  </si>
  <si>
    <r>
      <t>(m</t>
    </r>
    <r>
      <rPr>
        <b/>
        <vertAlign val="superscript"/>
        <sz val="10"/>
        <color theme="1"/>
        <rFont val="Calibri"/>
        <family val="2"/>
        <charset val="238"/>
        <scheme val="minor"/>
      </rPr>
      <t>3</t>
    </r>
    <r>
      <rPr>
        <b/>
        <sz val="10"/>
        <color theme="1"/>
        <rFont val="Calibri"/>
        <family val="2"/>
        <charset val="238"/>
        <scheme val="minor"/>
      </rPr>
      <t>/rok)</t>
    </r>
  </si>
  <si>
    <t>Roky poskytnuté záruky</t>
  </si>
  <si>
    <t>celkem za počet let hodnocení</t>
  </si>
  <si>
    <t>řádek</t>
  </si>
  <si>
    <t>A</t>
  </si>
  <si>
    <t>po realizaci</t>
  </si>
  <si>
    <t>úspora</t>
  </si>
  <si>
    <t>B</t>
  </si>
  <si>
    <t>C = A - B</t>
  </si>
  <si>
    <t>C</t>
  </si>
  <si>
    <t>D</t>
  </si>
  <si>
    <t>kontrola (musí souhlasit s Tabulkou 1 v předchozím listu)</t>
  </si>
  <si>
    <t>energetický management</t>
  </si>
  <si>
    <t>ostatní služby</t>
  </si>
  <si>
    <t>E</t>
  </si>
  <si>
    <t xml:space="preserve">(v případě kladné hodnoty se jedná o "spoluúčast zadavatele") </t>
  </si>
  <si>
    <t xml:space="preserve">(v případě záporné hodnoty se jedná o "nadúsporu") </t>
  </si>
  <si>
    <t xml:space="preserve">Kč </t>
  </si>
  <si>
    <t>Cena celkem (včetně DPH)</t>
  </si>
  <si>
    <t>Cena celkem (bez DPH)</t>
  </si>
  <si>
    <t>Cena za další služby celkem (včetně DPH)</t>
  </si>
  <si>
    <t>Cena za další služby celkem (bez DPH)</t>
  </si>
  <si>
    <t>cena za výkon energetického managementu (bez DPH)</t>
  </si>
  <si>
    <t>Cena za realizaci úsporných opatření celkem (včetně DPH)</t>
  </si>
  <si>
    <t>Cena za realizaci úsporných opatření celkem (bez DPH)</t>
  </si>
  <si>
    <t>1. CENA ZA REALIZACI ÚSPORNÝCH OPATŘENÍ</t>
  </si>
  <si>
    <r>
      <t>Voda [m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>]</t>
    </r>
  </si>
  <si>
    <t>POVINNÁ CENOVÁ PŘÍLOHA - PODKLAD PRO VYPLNĚNÍ</t>
  </si>
  <si>
    <t>oblast:</t>
  </si>
  <si>
    <t>ti:</t>
  </si>
  <si>
    <t>°C</t>
  </si>
  <si>
    <t>te</t>
  </si>
  <si>
    <t>d</t>
  </si>
  <si>
    <t>%</t>
  </si>
  <si>
    <t>náklady na realizaci opatření</t>
  </si>
  <si>
    <t>Rozdíl celkové nabídkové ceny a celkových zaručených úspor</t>
  </si>
  <si>
    <t>Výše investičních nákladů</t>
  </si>
  <si>
    <t>spotřeba</t>
  </si>
  <si>
    <t>úspora (vyplnit)</t>
  </si>
  <si>
    <t>Úspora z jednotlivých opatření v technických jednotkách (modelový rok)</t>
  </si>
  <si>
    <t>Úspora z jednotlivých opatření ve finančních nákladech (modelový rok)</t>
  </si>
  <si>
    <t>(Kč/rok)</t>
  </si>
  <si>
    <t>Referenční rok</t>
  </si>
  <si>
    <t>E = D - C</t>
  </si>
  <si>
    <t>včetně DPH</t>
  </si>
  <si>
    <t>REFERENČNÍ SPOTŘEBY A NÁKLADY</t>
  </si>
  <si>
    <t>MWh</t>
  </si>
  <si>
    <t>Kč/MWh</t>
  </si>
  <si>
    <t>REFERENČNÍ CENY ENERGIE A VODY</t>
  </si>
  <si>
    <t>(pro vyčíslení a vyhodnocení úspor)</t>
  </si>
  <si>
    <t>REFERENČNÍ NÁKLADY CELKEM</t>
  </si>
  <si>
    <t>REFERENČNÍ ÚDAJE</t>
  </si>
  <si>
    <t>Voda [Kč vč. DPH]</t>
  </si>
  <si>
    <t>Ostatní provozní náklady [Kč vč. DPH]</t>
  </si>
  <si>
    <t xml:space="preserve">Cena za výkon eneregtického managementu </t>
  </si>
  <si>
    <t>Celková nabídková cena (hodnocení  - kritérium 1)</t>
  </si>
  <si>
    <t>E - CashFlow projektu = Rozdíl celkové nabídkové ceny a celkových zaručených úspor [Kč vč. DPH]</t>
  </si>
  <si>
    <t>D – Nabídková cena [Kč vč. DPH]</t>
  </si>
  <si>
    <t>(MWh/rok)</t>
  </si>
  <si>
    <t>Úspora celkem        (Kč/rok vč. DPH)</t>
  </si>
  <si>
    <t>Úspora celkem        
(v technických jednotkách)</t>
  </si>
  <si>
    <t>Elektřina [MWh]</t>
  </si>
  <si>
    <t>Zemní plyn [Kč vč. DPH]</t>
  </si>
  <si>
    <t>Elektřina [Kč vč. DPH]</t>
  </si>
  <si>
    <t>ZEMNÍ PLYN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</si>
  <si>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</si>
  <si>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</si>
  <si>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</si>
  <si>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</si>
  <si>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</si>
  <si>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</si>
  <si>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</si>
  <si>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</si>
  <si>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</si>
  <si>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</si>
  <si>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</si>
  <si>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</si>
  <si>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r>
      <t>Kč/m</t>
    </r>
    <r>
      <rPr>
        <b/>
        <vertAlign val="superscript"/>
        <sz val="10"/>
        <rFont val="Calibri"/>
        <family val="2"/>
        <charset val="238"/>
        <scheme val="minor"/>
      </rPr>
      <t>3</t>
    </r>
  </si>
  <si>
    <t>Období - rok 2019</t>
  </si>
  <si>
    <t>cena za další služby (bez DPH)</t>
  </si>
  <si>
    <t xml:space="preserve">Cena za další služby </t>
  </si>
  <si>
    <t>Referenční náklady jsou stanoveny jako součin referenčních spotřeb a referenčních jednotkových cen.</t>
  </si>
  <si>
    <t>Celkový objem zaručených úspor (hodnocení - kritérium 2)</t>
  </si>
  <si>
    <r>
      <t xml:space="preserve">Cena za realizaci jednotlivých opatření v Kč </t>
    </r>
    <r>
      <rPr>
        <b/>
        <sz val="10"/>
        <color rgb="FFFF0000"/>
        <rFont val="Calibri"/>
        <family val="2"/>
        <charset val="238"/>
        <scheme val="minor"/>
      </rPr>
      <t>vč. DPH</t>
    </r>
  </si>
  <si>
    <r>
      <t>Úspora z jednotlivých opatření v Kč/rok</t>
    </r>
    <r>
      <rPr>
        <b/>
        <sz val="10"/>
        <color rgb="FFFF0000"/>
        <rFont val="Calibri"/>
        <family val="2"/>
        <charset val="238"/>
        <scheme val="minor"/>
      </rPr>
      <t xml:space="preserve"> vč. DPH</t>
    </r>
    <r>
      <rPr>
        <b/>
        <sz val="10"/>
        <rFont val="Calibri"/>
        <family val="2"/>
        <charset val="238"/>
        <scheme val="minor"/>
      </rPr>
      <t xml:space="preserve"> (modelový rok)</t>
    </r>
  </si>
  <si>
    <r>
      <t xml:space="preserve">Úspora celkem        (Kč/rok </t>
    </r>
    <r>
      <rPr>
        <b/>
        <sz val="10"/>
        <color rgb="FFFF0000"/>
        <rFont val="Calibri"/>
        <family val="2"/>
        <charset val="238"/>
        <scheme val="minor"/>
      </rPr>
      <t>vč. DPH</t>
    </r>
    <r>
      <rPr>
        <b/>
        <sz val="10"/>
        <rFont val="Calibri"/>
        <family val="2"/>
        <charset val="238"/>
        <scheme val="minor"/>
      </rPr>
      <t>)</t>
    </r>
  </si>
  <si>
    <r>
      <t xml:space="preserve">Investice celkem       
</t>
    </r>
    <r>
      <rPr>
        <b/>
        <sz val="10"/>
        <color rgb="FFFF0000"/>
        <rFont val="Calibri"/>
        <family val="2"/>
        <charset val="238"/>
        <scheme val="minor"/>
      </rPr>
      <t xml:space="preserve"> (Kč vč. DPH)</t>
    </r>
  </si>
  <si>
    <t>rok z období garance</t>
  </si>
  <si>
    <t>- referenční ceny vody odpovídají cenám vodného a stočného, resp. nezahrnují paušální platbu za srážkovou vodu.</t>
  </si>
  <si>
    <r>
      <rPr>
        <b/>
        <sz val="10"/>
        <color theme="1"/>
        <rFont val="Calibri"/>
        <family val="2"/>
        <charset val="238"/>
        <scheme val="minor"/>
      </rPr>
      <t>Referenční spotřeby</t>
    </r>
    <r>
      <rPr>
        <sz val="10"/>
        <color theme="1"/>
        <rFont val="Calibri"/>
        <family val="2"/>
        <charset val="238"/>
        <scheme val="minor"/>
      </rPr>
      <t xml:space="preserve"> budov odpovídají spotřebám z kalendářního </t>
    </r>
    <r>
      <rPr>
        <b/>
        <sz val="10"/>
        <color theme="1"/>
        <rFont val="Calibri"/>
        <family val="2"/>
        <charset val="238"/>
        <scheme val="minor"/>
      </rPr>
      <t xml:space="preserve">roku 2019 </t>
    </r>
    <r>
      <rPr>
        <sz val="10"/>
        <color theme="1"/>
        <rFont val="Calibri"/>
        <family val="2"/>
        <charset val="238"/>
        <scheme val="minor"/>
      </rPr>
      <t>- viz detail každé budovy.</t>
    </r>
  </si>
  <si>
    <t>náklady</t>
  </si>
  <si>
    <t>Propan</t>
  </si>
  <si>
    <t>Zemní plyn [MWh]</t>
  </si>
  <si>
    <t>Propan [MWh]</t>
  </si>
  <si>
    <t>Propan [Kč vč. DPH]</t>
  </si>
  <si>
    <t>D = 34 + 35 + 36</t>
  </si>
  <si>
    <t>2. CENA ZA DALŠÍ SLUŽBY</t>
  </si>
  <si>
    <t>3. CELKOVÁ CENA</t>
  </si>
  <si>
    <t>PROPAN</t>
  </si>
  <si>
    <t>OM1</t>
  </si>
  <si>
    <t>OM1 - 859182400601739809</t>
  </si>
  <si>
    <t>OM1 - 7001 - 12712</t>
  </si>
  <si>
    <t>OM2 - 7001 - 12711</t>
  </si>
  <si>
    <t>VT</t>
  </si>
  <si>
    <t>NT</t>
  </si>
  <si>
    <t>MWh VT+NT</t>
  </si>
  <si>
    <t>Kč/m3</t>
  </si>
  <si>
    <t>OM1 -Plynoměr 27ZG200Z02362313 (OA, měřidlo č. 1209000506/5732/77086396)</t>
  </si>
  <si>
    <t>OM2 -Plynoměr 27ZG200Z0000427B (SPgŠ)</t>
  </si>
  <si>
    <t>OM1 - 859182400601181103 (OA)</t>
  </si>
  <si>
    <t>OM2 - 859182400601181509 (SPgŠ)</t>
  </si>
  <si>
    <t>OM3 - 859182400601181097 (tělocvična + bazén)</t>
  </si>
  <si>
    <r>
      <t xml:space="preserve">OM1 - 137 - 17607 (škola + </t>
    </r>
    <r>
      <rPr>
        <sz val="11"/>
        <color rgb="FFFF0000"/>
        <rFont val="Calibri"/>
        <family val="2"/>
        <charset val="238"/>
        <scheme val="minor"/>
      </rPr>
      <t>internát</t>
    </r>
    <r>
      <rPr>
        <sz val="11"/>
        <color theme="1"/>
        <rFont val="Calibri"/>
        <family val="2"/>
        <scheme val="minor"/>
      </rPr>
      <t>)</t>
    </r>
  </si>
  <si>
    <t>OM2 - 101 - 17611 (tělocvična + bazén)</t>
  </si>
  <si>
    <t>ref. stav</t>
  </si>
  <si>
    <t>Domov Kytín</t>
  </si>
  <si>
    <t>OA, SPgŠ a JŠ Beroun</t>
  </si>
  <si>
    <t>Regionální muzeum Jílové</t>
  </si>
  <si>
    <t>SOU Sedlčany - DDM</t>
  </si>
  <si>
    <t>ZŠ a DD Sedlec-Prčice, Přestavlky</t>
  </si>
  <si>
    <t>DS Nové strašecí - Domov Pohoda</t>
  </si>
  <si>
    <t>2021+70%</t>
  </si>
  <si>
    <t>2021+20%</t>
  </si>
  <si>
    <t>Období - rok 2020</t>
  </si>
  <si>
    <t>,</t>
  </si>
  <si>
    <t>Období - rok 2021</t>
  </si>
  <si>
    <t>Dlouhodobý průměr (normál)</t>
  </si>
  <si>
    <t>U budov, kde nejsou spotřeby za rok 2019 k dispozici, odpovídají referenční spotřeby spotřebám roku 2021.</t>
  </si>
  <si>
    <t>SPOTŘEBY Sedlčany domov mládeže</t>
  </si>
  <si>
    <t>Voda + stočné</t>
  </si>
  <si>
    <t>OM1 - 859182400600022322</t>
  </si>
  <si>
    <t>OM1 - 803112-93</t>
  </si>
  <si>
    <t>VT (MWh)</t>
  </si>
  <si>
    <t>NT (MWh)</t>
  </si>
  <si>
    <t xml:space="preserve">MWh </t>
  </si>
  <si>
    <t>2019+20%</t>
  </si>
  <si>
    <t>SPOTŘEBY Muzeum</t>
  </si>
  <si>
    <t>OM1 - 859182400601632834</t>
  </si>
  <si>
    <t>OM1 - 9647970 (I15JA204699)</t>
  </si>
  <si>
    <t>SPOTŘEBY CELÉHO AREÁLU</t>
  </si>
  <si>
    <t xml:space="preserve">OM1 -Plynoměr </t>
  </si>
  <si>
    <t>OM1 - 859182400600013603</t>
  </si>
  <si>
    <t>OM1 - 859182400610575535</t>
  </si>
  <si>
    <t>OM1 - 07152834</t>
  </si>
  <si>
    <t>OM2 - 9585426</t>
  </si>
  <si>
    <t>SPOTŘEBY JEN OBJEKTU JÍDELNA, SE KTERÝMI SE UVAŽUJE V POSUDKU OPŽP</t>
  </si>
  <si>
    <t>Plyn není v objektu spotřebováván</t>
  </si>
  <si>
    <t>Vodné stočné není relevantní pro OPŽP</t>
  </si>
  <si>
    <t>viz samostatná budova Jídelny</t>
  </si>
  <si>
    <t>2019+70%</t>
  </si>
  <si>
    <t>VT+NT</t>
  </si>
  <si>
    <t>Vodoměr č. 24010428</t>
  </si>
  <si>
    <t>EAN 859 182 400 601 633 329</t>
  </si>
  <si>
    <t>Plynoměr 27ZG200Z00024417 (plynoměr č. 5044522)</t>
  </si>
  <si>
    <t>vaření</t>
  </si>
  <si>
    <t>kotelna</t>
  </si>
  <si>
    <t>zámek</t>
  </si>
  <si>
    <t>Zemní plyn - upraveno dle EP</t>
  </si>
  <si>
    <t>---</t>
  </si>
  <si>
    <t>Zemní plyn - kuchyně</t>
  </si>
  <si>
    <t>Zemní plyn - kotelna pro hl. budovu a domov Pohoda</t>
  </si>
  <si>
    <t>Zemní plyn - kotelna jen v hl. budově (upraveno dle EP)</t>
  </si>
  <si>
    <t>Vodné</t>
  </si>
  <si>
    <t>Stočné</t>
  </si>
  <si>
    <t>EAN 859182400601709727</t>
  </si>
  <si>
    <t>dodavatel je SERVIS MEA, s.r.o.</t>
  </si>
  <si>
    <t>Vodoměr č. 42011950687, stočné placeno solo (vodoměr pochopitelně není</t>
  </si>
  <si>
    <t>kg</t>
  </si>
  <si>
    <t>Kč/kg</t>
  </si>
  <si>
    <t>nákupy v roce 2021</t>
  </si>
  <si>
    <t>nákupy v roce 2020</t>
  </si>
  <si>
    <t>Upozornění: v případě zemního plynu jsou měsíční údaje irelevantní, neboť dodavatel bezmyšlenkovitě ve spotřebě letních měsíců zohledňuje rozdíl za celý rok. Důležité jsou tudíž roční souhrny.</t>
  </si>
  <si>
    <r>
      <t xml:space="preserve">- </t>
    </r>
    <r>
      <rPr>
        <b/>
        <sz val="10"/>
        <rFont val="Calibri"/>
        <family val="2"/>
        <charset val="238"/>
        <scheme val="minor"/>
      </rPr>
      <t xml:space="preserve">referenční ceny </t>
    </r>
    <r>
      <rPr>
        <sz val="10"/>
        <rFont val="Calibri"/>
        <family val="2"/>
        <charset val="238"/>
        <scheme val="minor"/>
      </rPr>
      <t>byly jsou stanoveny zadavatelem s ohledem na aktuální trend vývoje cen.</t>
    </r>
  </si>
  <si>
    <t>REFERENČNÍ KLIMADATA - loklita Praha - Karlov</t>
  </si>
  <si>
    <t>Praha-Karlov</t>
  </si>
  <si>
    <t>https://vytapeni.tzb-info.cz/tabulky-a-vypocty/103-vypocet-denostupnu?stanice=18&amp;action=1&amp;otopne_obdobi=&amp;start_day=01&amp;start_month=01&amp;start_year=2021&amp;end_day=31&amp;end_month=12&amp;end_year=2021&amp;ti=19.0&amp;tem=13.0&amp;chkbox_sumtbl=1&amp;chkbox_deg=1&amp;chkbox_dnu=1&amp;chkbox_prumerne_teploty=1&amp;deg_x=740&amp;deg_y=270&amp;otop_dny_x=740&amp;otop_dny_y=270&amp;prum_teploty_x=740&amp;prum_teploty_y=270</t>
  </si>
  <si>
    <t>A =  5 + 6 + 7 + 8 + 9</t>
  </si>
  <si>
    <t>B = 14 + 15 + 16 + 17 + 18</t>
  </si>
  <si>
    <t>B - Zaručená spotřeba energie v technických jednotkách a náklady na spotřebu energie a ostatní náklady po dobu trvání kontraktu [MWh, m3, Kč vč. DPH]</t>
  </si>
  <si>
    <r>
      <t>A - Výchozí spotřeba energie v technických jednotkách a náklady na spotřebu energie po dobu trvání kontraktu [MWh, m</t>
    </r>
    <r>
      <rPr>
        <b/>
        <i/>
        <vertAlign val="superscript"/>
        <sz val="10"/>
        <rFont val="Calibri"/>
        <family val="2"/>
        <charset val="238"/>
        <scheme val="minor"/>
      </rPr>
      <t>3</t>
    </r>
    <r>
      <rPr>
        <b/>
        <i/>
        <sz val="10"/>
        <rFont val="Calibri"/>
        <family val="2"/>
        <charset val="238"/>
        <scheme val="minor"/>
      </rPr>
      <t>, Kč vč. DPH]</t>
    </r>
  </si>
  <si>
    <t>C - Výše zaručených úspor [MWh, m3, Kč vč. DPH]</t>
  </si>
  <si>
    <t>SOŠ a SOU Jílové u Prahy - jídelna</t>
  </si>
  <si>
    <t>*)</t>
  </si>
  <si>
    <t>*) ref. ceny stanoveny jako ceny z roku 2021 (příp. 2019) + 70 % (u vody +20 %)</t>
  </si>
  <si>
    <t>**) ref. cena propanu je stanovena jako cena z roku 2021 + 30 %</t>
  </si>
  <si>
    <t>**)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</si>
</sst>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%"/>
    <numFmt numFmtId="165" formatCode="0.0"/>
    <numFmt numFmtId="166" formatCode="#,##0.0"/>
    <numFmt numFmtId="167" formatCode="#,##0.000"/>
    <numFmt numFmtId="168" formatCode="0.000"/>
    <numFmt numFmtId="169" formatCode="??0.???"/>
  </numFmts>
  <fonts count="71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0"/>
      <name val="Calibri"/>
      <family val="2"/>
      <charset val="238"/>
      <scheme val="minor"/>
    </font>
    <font>
      <vertAlign val="superscript"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color rgb="FFC00000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vertAlign val="superscript"/>
      <sz val="10"/>
      <color theme="1"/>
      <name val="Calibri"/>
      <family val="2"/>
      <charset val="238"/>
      <scheme val="minor"/>
    </font>
    <font>
      <i/>
      <sz val="10"/>
      <color theme="0" tint="-0.34998626667073579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sz val="10"/>
      <name val="Arial CE"/>
      <charset val="238"/>
    </font>
    <font>
      <b/>
      <sz val="10"/>
      <color rgb="FFFF0000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i/>
      <sz val="10"/>
      <color rgb="FFFF0000"/>
      <name val="Calibri"/>
      <family val="2"/>
      <charset val="238"/>
      <scheme val="minor"/>
    </font>
    <font>
      <b/>
      <sz val="10"/>
      <color theme="1" tint="0.34998626667073579"/>
      <name val="Calibri"/>
      <family val="2"/>
      <charset val="238"/>
      <scheme val="minor"/>
    </font>
    <font>
      <b/>
      <sz val="10"/>
      <color theme="0" tint="-0.499984740745262"/>
      <name val="Calibri"/>
      <family val="2"/>
      <charset val="238"/>
      <scheme val="minor"/>
    </font>
    <font>
      <sz val="10"/>
      <color theme="0" tint="-0.499984740745262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sz val="10"/>
      <color theme="0" tint="-0.249977111117893"/>
      <name val="Calibri"/>
      <family val="2"/>
      <charset val="238"/>
      <scheme val="minor"/>
    </font>
    <font>
      <b/>
      <sz val="10"/>
      <color theme="0" tint="-0.249977111117893"/>
      <name val="Calibri"/>
      <family val="2"/>
      <charset val="238"/>
      <scheme val="minor"/>
    </font>
    <font>
      <b/>
      <sz val="10"/>
      <color rgb="FF00B050"/>
      <name val="Calibri"/>
      <family val="2"/>
      <charset val="238"/>
      <scheme val="minor"/>
    </font>
    <font>
      <b/>
      <i/>
      <sz val="10"/>
      <color theme="0" tint="-0.249977111117893"/>
      <name val="Calibri"/>
      <family val="2"/>
      <charset val="238"/>
      <scheme val="minor"/>
    </font>
    <font>
      <b/>
      <sz val="14"/>
      <color rgb="FF0070C0"/>
      <name val="Calibri"/>
      <family val="2"/>
      <charset val="238"/>
      <scheme val="minor"/>
    </font>
    <font>
      <b/>
      <i/>
      <vertAlign val="superscript"/>
      <sz val="10"/>
      <name val="Calibri"/>
      <family val="2"/>
      <charset val="238"/>
      <scheme val="minor"/>
    </font>
    <font>
      <b/>
      <i/>
      <sz val="9"/>
      <color rgb="FFFF0000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i/>
      <sz val="10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2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vertAlign val="superscript"/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sz val="11"/>
      <color rgb="FF000000"/>
      <name val="Calibri"/>
      <family val="2"/>
      <charset val="238"/>
    </font>
    <font>
      <sz val="16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sz val="11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0"/>
      <name val="Calibri"/>
      <family val="2"/>
      <scheme val="minor"/>
    </font>
    <font>
      <sz val="10"/>
      <color indexed="8"/>
      <name val="Calibri"/>
      <family val="2"/>
      <charset val="238"/>
      <scheme val="minor"/>
    </font>
    <font>
      <b/>
      <u/>
      <sz val="2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1"/>
      <color theme="0" tint="-0.34998626667073579"/>
      <name val="Calibri"/>
      <family val="2"/>
      <charset val="238"/>
      <scheme val="minor"/>
    </font>
    <font>
      <b/>
      <sz val="11"/>
      <color theme="0" tint="-0.34998626667073579"/>
      <name val="Calibri"/>
      <family val="2"/>
      <charset val="238"/>
      <scheme val="minor"/>
    </font>
    <font>
      <b/>
      <sz val="11"/>
      <color theme="0" tint="-0.249977111117893"/>
      <name val="Calibri"/>
      <family val="2"/>
      <charset val="238"/>
      <scheme val="minor"/>
    </font>
    <font>
      <sz val="11"/>
      <color theme="0" tint="-0.249977111117893"/>
      <name val="Calibri"/>
      <family val="2"/>
      <charset val="238"/>
      <scheme val="minor"/>
    </font>
    <font>
      <b/>
      <sz val="10"/>
      <color rgb="FFFF0000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ABFBE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</fills>
  <borders count="7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dotted">
        <color theme="0" tint="-0.499984740745262"/>
      </bottom>
      <diagonal/>
    </border>
    <border>
      <left/>
      <right/>
      <top/>
      <bottom style="dotted">
        <color theme="1" tint="0.499984740745262"/>
      </bottom>
      <diagonal/>
    </border>
    <border>
      <left/>
      <right/>
      <top style="dotted">
        <color theme="1" tint="0.499984740745262"/>
      </top>
      <bottom style="dotted">
        <color theme="1" tint="0.499984740745262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theme="0" tint="-0.249977111117893"/>
      </right>
      <top/>
      <bottom/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medium">
        <color theme="1"/>
      </right>
      <top/>
      <bottom style="thin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medium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medium">
        <color theme="1"/>
      </right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indexed="64"/>
      </bottom>
      <diagonal/>
    </border>
    <border>
      <left style="thin">
        <color theme="0" tint="-0.249977111117893"/>
      </left>
      <right/>
      <top/>
      <bottom style="thin">
        <color indexed="64"/>
      </bottom>
      <diagonal/>
    </border>
  </borders>
  <cellStyleXfs count="28">
    <xf numFmtId="0" fontId="0" fillId="0" borderId="0"/>
    <xf numFmtId="0" fontId="3" fillId="0" borderId="0"/>
    <xf numFmtId="9" fontId="2" fillId="0" borderId="0" applyFont="0" applyFill="0" applyBorder="0" applyAlignment="0" applyProtection="0"/>
    <xf numFmtId="0" fontId="20" fillId="0" borderId="0"/>
    <xf numFmtId="0" fontId="23" fillId="0" borderId="0"/>
    <xf numFmtId="9" fontId="20" fillId="0" borderId="0" applyFont="0" applyFill="0" applyBorder="0" applyAlignment="0" applyProtection="0"/>
    <xf numFmtId="0" fontId="38" fillId="0" borderId="0"/>
    <xf numFmtId="0" fontId="38" fillId="0" borderId="0"/>
    <xf numFmtId="0" fontId="38" fillId="0" borderId="0"/>
    <xf numFmtId="0" fontId="23" fillId="0" borderId="0"/>
    <xf numFmtId="0" fontId="49" fillId="0" borderId="0" applyNumberFormat="0" applyFont="0" applyBorder="0" applyProtection="0"/>
    <xf numFmtId="0" fontId="2" fillId="0" borderId="0"/>
    <xf numFmtId="0" fontId="51" fillId="0" borderId="0"/>
    <xf numFmtId="0" fontId="20" fillId="0" borderId="0"/>
    <xf numFmtId="0" fontId="20" fillId="0" borderId="0"/>
    <xf numFmtId="0" fontId="51" fillId="0" borderId="0"/>
    <xf numFmtId="0" fontId="38" fillId="0" borderId="0"/>
    <xf numFmtId="0" fontId="20" fillId="0" borderId="0"/>
    <xf numFmtId="0" fontId="20" fillId="0" borderId="0"/>
    <xf numFmtId="0" fontId="51" fillId="0" borderId="0"/>
    <xf numFmtId="0" fontId="20" fillId="0" borderId="0"/>
    <xf numFmtId="0" fontId="51" fillId="0" borderId="0"/>
    <xf numFmtId="0" fontId="20" fillId="0" borderId="0"/>
    <xf numFmtId="0" fontId="20" fillId="0" borderId="0"/>
    <xf numFmtId="0" fontId="23" fillId="0" borderId="0"/>
    <xf numFmtId="0" fontId="2" fillId="0" borderId="0"/>
    <xf numFmtId="0" fontId="40" fillId="0" borderId="0" applyNumberFormat="0" applyFill="0" applyBorder="0" applyAlignment="0" applyProtection="0"/>
    <xf numFmtId="0" fontId="2" fillId="0" borderId="0"/>
  </cellStyleXfs>
  <cellXfs count="596">
    <xf numFmtId="0" fontId="0" fillId="0" borderId="0" xfId="0"/>
    <xf numFmtId="0" fontId="8" fillId="0" borderId="0" xfId="0" applyFont="1"/>
    <xf numFmtId="0" fontId="1" fillId="3" borderId="0" xfId="0" applyFont="1" applyFill="1" applyAlignment="1">
      <alignment vertical="center"/>
    </xf>
    <xf numFmtId="0" fontId="11" fillId="3" borderId="0" xfId="0" applyFont="1" applyFill="1" applyAlignment="1">
      <alignment vertical="center"/>
    </xf>
    <xf numFmtId="0" fontId="11" fillId="6" borderId="0" xfId="0" applyFont="1" applyFill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3" fontId="12" fillId="6" borderId="17" xfId="0" applyNumberFormat="1" applyFont="1" applyFill="1" applyBorder="1" applyAlignment="1">
      <alignment horizontal="right" vertical="center"/>
    </xf>
    <xf numFmtId="0" fontId="12" fillId="6" borderId="17" xfId="0" applyFont="1" applyFill="1" applyBorder="1" applyAlignment="1">
      <alignment horizontal="right" vertical="center"/>
    </xf>
    <xf numFmtId="3" fontId="12" fillId="4" borderId="17" xfId="0" applyNumberFormat="1" applyFont="1" applyFill="1" applyBorder="1" applyAlignment="1">
      <alignment horizontal="right" vertical="center"/>
    </xf>
    <xf numFmtId="0" fontId="12" fillId="4" borderId="17" xfId="0" applyFont="1" applyFill="1" applyBorder="1" applyAlignment="1">
      <alignment horizontal="right" vertical="center"/>
    </xf>
    <xf numFmtId="0" fontId="12" fillId="7" borderId="17" xfId="0" applyFont="1" applyFill="1" applyBorder="1" applyAlignment="1">
      <alignment horizontal="right" vertical="center"/>
    </xf>
    <xf numFmtId="9" fontId="13" fillId="3" borderId="0" xfId="2" applyFont="1" applyFill="1" applyAlignment="1">
      <alignment vertical="center"/>
    </xf>
    <xf numFmtId="0" fontId="10" fillId="3" borderId="0" xfId="0" applyFont="1" applyFill="1" applyAlignment="1">
      <alignment vertical="center"/>
    </xf>
    <xf numFmtId="3" fontId="11" fillId="3" borderId="0" xfId="0" applyNumberFormat="1" applyFont="1" applyFill="1" applyAlignment="1">
      <alignment vertical="center"/>
    </xf>
    <xf numFmtId="9" fontId="15" fillId="3" borderId="17" xfId="2" applyFont="1" applyFill="1" applyBorder="1" applyAlignment="1">
      <alignment vertical="center"/>
    </xf>
    <xf numFmtId="0" fontId="15" fillId="3" borderId="17" xfId="0" applyFont="1" applyFill="1" applyBorder="1" applyAlignment="1">
      <alignment vertical="center"/>
    </xf>
    <xf numFmtId="0" fontId="16" fillId="3" borderId="0" xfId="1" applyFont="1" applyFill="1" applyAlignment="1">
      <alignment vertical="center"/>
    </xf>
    <xf numFmtId="0" fontId="18" fillId="3" borderId="0" xfId="0" applyFont="1" applyFill="1" applyAlignment="1">
      <alignment horizontal="right" vertical="center"/>
    </xf>
    <xf numFmtId="0" fontId="13" fillId="0" borderId="0" xfId="0" applyFont="1"/>
    <xf numFmtId="0" fontId="12" fillId="0" borderId="18" xfId="0" applyFont="1" applyBorder="1"/>
    <xf numFmtId="0" fontId="12" fillId="0" borderId="14" xfId="0" applyFont="1" applyBorder="1"/>
    <xf numFmtId="0" fontId="11" fillId="0" borderId="19" xfId="0" applyFont="1" applyBorder="1"/>
    <xf numFmtId="0" fontId="11" fillId="0" borderId="0" xfId="0" applyFont="1"/>
    <xf numFmtId="0" fontId="12" fillId="0" borderId="25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24" fillId="0" borderId="0" xfId="0" applyFont="1" applyAlignment="1">
      <alignment horizontal="left"/>
    </xf>
    <xf numFmtId="3" fontId="11" fillId="0" borderId="0" xfId="0" applyNumberFormat="1" applyFont="1"/>
    <xf numFmtId="0" fontId="12" fillId="0" borderId="22" xfId="0" applyFont="1" applyBorder="1"/>
    <xf numFmtId="0" fontId="12" fillId="0" borderId="24" xfId="0" applyFont="1" applyBorder="1"/>
    <xf numFmtId="0" fontId="13" fillId="0" borderId="0" xfId="0" applyFont="1" applyAlignment="1">
      <alignment horizontal="center"/>
    </xf>
    <xf numFmtId="0" fontId="28" fillId="0" borderId="0" xfId="0" applyFont="1" applyAlignment="1">
      <alignment horizontal="center"/>
    </xf>
    <xf numFmtId="0" fontId="9" fillId="3" borderId="0" xfId="3" applyFont="1" applyFill="1"/>
    <xf numFmtId="0" fontId="4" fillId="3" borderId="0" xfId="3" quotePrefix="1" applyFont="1" applyFill="1" applyAlignment="1" applyProtection="1">
      <alignment horizontal="center"/>
      <protection locked="0"/>
    </xf>
    <xf numFmtId="0" fontId="9" fillId="3" borderId="0" xfId="3" applyFont="1" applyFill="1" applyAlignment="1">
      <alignment horizontal="left" wrapText="1"/>
    </xf>
    <xf numFmtId="0" fontId="9" fillId="3" borderId="0" xfId="3" applyFont="1" applyFill="1" applyAlignment="1">
      <alignment horizontal="center"/>
    </xf>
    <xf numFmtId="0" fontId="9" fillId="3" borderId="0" xfId="3" quotePrefix="1" applyFont="1" applyFill="1" applyAlignment="1">
      <alignment horizontal="center"/>
    </xf>
    <xf numFmtId="3" fontId="9" fillId="8" borderId="1" xfId="3" applyNumberFormat="1" applyFont="1" applyFill="1" applyBorder="1" applyProtection="1">
      <protection locked="0"/>
    </xf>
    <xf numFmtId="3" fontId="30" fillId="0" borderId="1" xfId="3" applyNumberFormat="1" applyFont="1" applyBorder="1" applyProtection="1">
      <protection locked="0"/>
    </xf>
    <xf numFmtId="3" fontId="30" fillId="0" borderId="11" xfId="3" applyNumberFormat="1" applyFont="1" applyBorder="1" applyProtection="1">
      <protection locked="0"/>
    </xf>
    <xf numFmtId="0" fontId="9" fillId="0" borderId="37" xfId="3" applyFont="1" applyBorder="1"/>
    <xf numFmtId="0" fontId="9" fillId="0" borderId="0" xfId="3" applyFont="1" applyAlignment="1">
      <alignment horizontal="center"/>
    </xf>
    <xf numFmtId="0" fontId="9" fillId="0" borderId="38" xfId="3" applyFont="1" applyBorder="1"/>
    <xf numFmtId="0" fontId="9" fillId="0" borderId="27" xfId="3" applyFont="1" applyBorder="1" applyAlignment="1">
      <alignment horizontal="center"/>
    </xf>
    <xf numFmtId="3" fontId="9" fillId="8" borderId="26" xfId="3" applyNumberFormat="1" applyFont="1" applyFill="1" applyBorder="1" applyProtection="1">
      <protection locked="0"/>
    </xf>
    <xf numFmtId="3" fontId="30" fillId="0" borderId="26" xfId="3" applyNumberFormat="1" applyFont="1" applyBorder="1" applyProtection="1">
      <protection locked="0"/>
    </xf>
    <xf numFmtId="3" fontId="30" fillId="0" borderId="13" xfId="3" applyNumberFormat="1" applyFont="1" applyBorder="1" applyProtection="1">
      <protection locked="0"/>
    </xf>
    <xf numFmtId="0" fontId="9" fillId="0" borderId="38" xfId="3" quotePrefix="1" applyFont="1" applyBorder="1" applyAlignment="1">
      <alignment horizontal="left"/>
    </xf>
    <xf numFmtId="0" fontId="4" fillId="0" borderId="33" xfId="3" applyFont="1" applyBorder="1"/>
    <xf numFmtId="0" fontId="4" fillId="0" borderId="32" xfId="3" applyFont="1" applyBorder="1" applyAlignment="1">
      <alignment horizontal="center"/>
    </xf>
    <xf numFmtId="3" fontId="4" fillId="8" borderId="34" xfId="3" applyNumberFormat="1" applyFont="1" applyFill="1" applyBorder="1" applyProtection="1">
      <protection locked="0"/>
    </xf>
    <xf numFmtId="3" fontId="26" fillId="8" borderId="34" xfId="3" applyNumberFormat="1" applyFont="1" applyFill="1" applyBorder="1" applyProtection="1">
      <protection locked="0"/>
    </xf>
    <xf numFmtId="3" fontId="4" fillId="8" borderId="35" xfId="3" applyNumberFormat="1" applyFont="1" applyFill="1" applyBorder="1" applyProtection="1">
      <protection locked="0"/>
    </xf>
    <xf numFmtId="0" fontId="11" fillId="0" borderId="0" xfId="0" applyFont="1" applyAlignment="1">
      <alignment horizontal="center"/>
    </xf>
    <xf numFmtId="3" fontId="30" fillId="3" borderId="1" xfId="3" applyNumberFormat="1" applyFont="1" applyFill="1" applyBorder="1" applyAlignment="1" applyProtection="1">
      <alignment horizontal="right"/>
      <protection locked="0"/>
    </xf>
    <xf numFmtId="3" fontId="9" fillId="5" borderId="1" xfId="3" applyNumberFormat="1" applyFont="1" applyFill="1" applyBorder="1" applyProtection="1">
      <protection locked="0"/>
    </xf>
    <xf numFmtId="3" fontId="9" fillId="5" borderId="5" xfId="3" applyNumberFormat="1" applyFont="1" applyFill="1" applyBorder="1" applyProtection="1">
      <protection locked="0"/>
    </xf>
    <xf numFmtId="3" fontId="9" fillId="5" borderId="11" xfId="3" applyNumberFormat="1" applyFont="1" applyFill="1" applyBorder="1" applyProtection="1">
      <protection locked="0"/>
    </xf>
    <xf numFmtId="164" fontId="13" fillId="0" borderId="0" xfId="2" applyNumberFormat="1" applyFont="1"/>
    <xf numFmtId="0" fontId="9" fillId="0" borderId="3" xfId="3" applyFont="1" applyBorder="1" applyAlignment="1">
      <alignment horizontal="center"/>
    </xf>
    <xf numFmtId="3" fontId="21" fillId="0" borderId="15" xfId="3" applyNumberFormat="1" applyFont="1" applyBorder="1" applyAlignment="1" applyProtection="1">
      <alignment horizontal="center"/>
      <protection locked="0"/>
    </xf>
    <xf numFmtId="0" fontId="9" fillId="0" borderId="40" xfId="3" applyFont="1" applyBorder="1" applyAlignment="1">
      <alignment horizontal="center"/>
    </xf>
    <xf numFmtId="3" fontId="21" fillId="0" borderId="41" xfId="3" applyNumberFormat="1" applyFont="1" applyBorder="1" applyAlignment="1" applyProtection="1">
      <alignment horizontal="center"/>
      <protection locked="0"/>
    </xf>
    <xf numFmtId="3" fontId="30" fillId="3" borderId="26" xfId="3" applyNumberFormat="1" applyFont="1" applyFill="1" applyBorder="1" applyAlignment="1" applyProtection="1">
      <alignment horizontal="right"/>
      <protection locked="0"/>
    </xf>
    <xf numFmtId="3" fontId="9" fillId="5" borderId="26" xfId="3" applyNumberFormat="1" applyFont="1" applyFill="1" applyBorder="1" applyProtection="1">
      <protection locked="0"/>
    </xf>
    <xf numFmtId="3" fontId="9" fillId="5" borderId="22" xfId="3" applyNumberFormat="1" applyFont="1" applyFill="1" applyBorder="1" applyProtection="1">
      <protection locked="0"/>
    </xf>
    <xf numFmtId="3" fontId="9" fillId="5" borderId="13" xfId="3" applyNumberFormat="1" applyFont="1" applyFill="1" applyBorder="1" applyProtection="1">
      <protection locked="0"/>
    </xf>
    <xf numFmtId="0" fontId="9" fillId="0" borderId="28" xfId="3" applyFont="1" applyBorder="1" applyAlignment="1">
      <alignment horizontal="center"/>
    </xf>
    <xf numFmtId="3" fontId="9" fillId="5" borderId="25" xfId="3" applyNumberFormat="1" applyFont="1" applyFill="1" applyBorder="1" applyProtection="1">
      <protection locked="0"/>
    </xf>
    <xf numFmtId="3" fontId="9" fillId="5" borderId="9" xfId="3" applyNumberFormat="1" applyFont="1" applyFill="1" applyBorder="1" applyProtection="1">
      <protection locked="0"/>
    </xf>
    <xf numFmtId="3" fontId="21" fillId="0" borderId="27" xfId="3" applyNumberFormat="1" applyFont="1" applyBorder="1" applyAlignment="1" applyProtection="1">
      <alignment horizontal="center"/>
      <protection locked="0"/>
    </xf>
    <xf numFmtId="3" fontId="9" fillId="0" borderId="0" xfId="3" applyNumberFormat="1" applyFont="1" applyProtection="1">
      <protection locked="0"/>
    </xf>
    <xf numFmtId="0" fontId="4" fillId="0" borderId="0" xfId="3" applyFont="1"/>
    <xf numFmtId="0" fontId="4" fillId="0" borderId="0" xfId="3" applyFont="1" applyAlignment="1">
      <alignment horizontal="center"/>
    </xf>
    <xf numFmtId="3" fontId="4" fillId="0" borderId="0" xfId="3" applyNumberFormat="1" applyFont="1"/>
    <xf numFmtId="3" fontId="32" fillId="3" borderId="0" xfId="3" applyNumberFormat="1" applyFont="1" applyFill="1"/>
    <xf numFmtId="3" fontId="11" fillId="3" borderId="0" xfId="0" applyNumberFormat="1" applyFont="1" applyFill="1"/>
    <xf numFmtId="3" fontId="4" fillId="3" borderId="0" xfId="3" applyNumberFormat="1" applyFont="1" applyFill="1"/>
    <xf numFmtId="3" fontId="4" fillId="3" borderId="0" xfId="3" applyNumberFormat="1" applyFont="1" applyFill="1" applyAlignment="1">
      <alignment horizontal="left" indent="1"/>
    </xf>
    <xf numFmtId="0" fontId="9" fillId="0" borderId="0" xfId="3" applyFont="1" applyAlignment="1">
      <alignment horizontal="left" indent="1"/>
    </xf>
    <xf numFmtId="9" fontId="27" fillId="0" borderId="0" xfId="3" applyNumberFormat="1" applyFont="1" applyAlignment="1">
      <alignment horizontal="right" indent="1"/>
    </xf>
    <xf numFmtId="0" fontId="4" fillId="0" borderId="0" xfId="0" applyFont="1" applyAlignment="1">
      <alignment horizontal="left" indent="1"/>
    </xf>
    <xf numFmtId="0" fontId="19" fillId="0" borderId="0" xfId="0" applyFont="1"/>
    <xf numFmtId="0" fontId="9" fillId="0" borderId="0" xfId="3" applyFont="1" applyProtection="1">
      <protection locked="0"/>
    </xf>
    <xf numFmtId="3" fontId="21" fillId="0" borderId="0" xfId="3" applyNumberFormat="1" applyFont="1" applyAlignment="1" applyProtection="1">
      <alignment horizontal="center"/>
      <protection locked="0"/>
    </xf>
    <xf numFmtId="3" fontId="9" fillId="3" borderId="0" xfId="3" applyNumberFormat="1" applyFont="1" applyFill="1" applyProtection="1">
      <protection locked="0"/>
    </xf>
    <xf numFmtId="0" fontId="17" fillId="0" borderId="0" xfId="0" applyFont="1"/>
    <xf numFmtId="0" fontId="12" fillId="0" borderId="0" xfId="0" applyFont="1" applyAlignment="1">
      <alignment horizontal="left" indent="1"/>
    </xf>
    <xf numFmtId="3" fontId="33" fillId="0" borderId="0" xfId="3" applyNumberFormat="1" applyFont="1"/>
    <xf numFmtId="164" fontId="29" fillId="0" borderId="0" xfId="2" applyNumberFormat="1" applyFont="1" applyAlignment="1">
      <alignment horizontal="right"/>
    </xf>
    <xf numFmtId="0" fontId="0" fillId="3" borderId="0" xfId="0" applyFill="1"/>
    <xf numFmtId="0" fontId="10" fillId="3" borderId="16" xfId="0" applyFont="1" applyFill="1" applyBorder="1"/>
    <xf numFmtId="3" fontId="10" fillId="3" borderId="17" xfId="0" applyNumberFormat="1" applyFont="1" applyFill="1" applyBorder="1"/>
    <xf numFmtId="0" fontId="0" fillId="3" borderId="17" xfId="0" applyFill="1" applyBorder="1"/>
    <xf numFmtId="0" fontId="10" fillId="3" borderId="20" xfId="0" applyFont="1" applyFill="1" applyBorder="1"/>
    <xf numFmtId="0" fontId="10" fillId="3" borderId="15" xfId="0" applyFont="1" applyFill="1" applyBorder="1"/>
    <xf numFmtId="3" fontId="10" fillId="3" borderId="0" xfId="0" applyNumberFormat="1" applyFont="1" applyFill="1"/>
    <xf numFmtId="0" fontId="10" fillId="3" borderId="19" xfId="0" applyFont="1" applyFill="1" applyBorder="1"/>
    <xf numFmtId="0" fontId="10" fillId="3" borderId="14" xfId="0" applyFont="1" applyFill="1" applyBorder="1"/>
    <xf numFmtId="3" fontId="10" fillId="3" borderId="21" xfId="0" applyNumberFormat="1" applyFont="1" applyFill="1" applyBorder="1"/>
    <xf numFmtId="0" fontId="0" fillId="3" borderId="21" xfId="0" applyFill="1" applyBorder="1"/>
    <xf numFmtId="0" fontId="10" fillId="3" borderId="18" xfId="0" applyFont="1" applyFill="1" applyBorder="1"/>
    <xf numFmtId="0" fontId="8" fillId="3" borderId="0" xfId="0" applyFont="1" applyFill="1"/>
    <xf numFmtId="0" fontId="10" fillId="2" borderId="16" xfId="0" applyFont="1" applyFill="1" applyBorder="1"/>
    <xf numFmtId="3" fontId="10" fillId="2" borderId="17" xfId="0" applyNumberFormat="1" applyFont="1" applyFill="1" applyBorder="1"/>
    <xf numFmtId="0" fontId="0" fillId="2" borderId="17" xfId="0" applyFill="1" applyBorder="1"/>
    <xf numFmtId="0" fontId="0" fillId="2" borderId="20" xfId="0" applyFill="1" applyBorder="1"/>
    <xf numFmtId="0" fontId="10" fillId="2" borderId="15" xfId="0" applyFont="1" applyFill="1" applyBorder="1"/>
    <xf numFmtId="3" fontId="10" fillId="2" borderId="0" xfId="0" applyNumberFormat="1" applyFont="1" applyFill="1"/>
    <xf numFmtId="9" fontId="0" fillId="2" borderId="0" xfId="0" applyNumberFormat="1" applyFill="1"/>
    <xf numFmtId="0" fontId="0" fillId="2" borderId="0" xfId="0" applyFill="1"/>
    <xf numFmtId="0" fontId="0" fillId="2" borderId="19" xfId="0" applyFill="1" applyBorder="1"/>
    <xf numFmtId="0" fontId="10" fillId="2" borderId="14" xfId="0" applyFont="1" applyFill="1" applyBorder="1"/>
    <xf numFmtId="3" fontId="10" fillId="2" borderId="21" xfId="0" applyNumberFormat="1" applyFont="1" applyFill="1" applyBorder="1"/>
    <xf numFmtId="0" fontId="0" fillId="2" borderId="21" xfId="0" applyFill="1" applyBorder="1"/>
    <xf numFmtId="0" fontId="0" fillId="2" borderId="18" xfId="0" applyFill="1" applyBorder="1"/>
    <xf numFmtId="0" fontId="0" fillId="3" borderId="16" xfId="0" applyFill="1" applyBorder="1"/>
    <xf numFmtId="3" fontId="0" fillId="3" borderId="17" xfId="0" applyNumberFormat="1" applyFill="1" applyBorder="1"/>
    <xf numFmtId="0" fontId="0" fillId="3" borderId="20" xfId="0" applyFill="1" applyBorder="1"/>
    <xf numFmtId="0" fontId="0" fillId="3" borderId="14" xfId="0" applyFill="1" applyBorder="1"/>
    <xf numFmtId="3" fontId="0" fillId="3" borderId="21" xfId="0" applyNumberFormat="1" applyFill="1" applyBorder="1"/>
    <xf numFmtId="0" fontId="0" fillId="3" borderId="18" xfId="0" applyFill="1" applyBorder="1"/>
    <xf numFmtId="0" fontId="10" fillId="3" borderId="0" xfId="0" applyFont="1" applyFill="1"/>
    <xf numFmtId="0" fontId="10" fillId="3" borderId="0" xfId="0" applyFont="1" applyFill="1" applyAlignment="1">
      <alignment horizontal="right"/>
    </xf>
    <xf numFmtId="0" fontId="21" fillId="3" borderId="0" xfId="0" applyFont="1" applyFill="1"/>
    <xf numFmtId="3" fontId="36" fillId="0" borderId="0" xfId="0" applyNumberFormat="1" applyFont="1" applyAlignment="1">
      <alignment horizontal="center"/>
    </xf>
    <xf numFmtId="9" fontId="0" fillId="3" borderId="0" xfId="0" applyNumberFormat="1" applyFill="1"/>
    <xf numFmtId="0" fontId="29" fillId="3" borderId="0" xfId="1" applyFont="1" applyFill="1" applyAlignment="1">
      <alignment vertical="center"/>
    </xf>
    <xf numFmtId="3" fontId="0" fillId="0" borderId="0" xfId="0" applyNumberFormat="1"/>
    <xf numFmtId="165" fontId="11" fillId="3" borderId="0" xfId="0" applyNumberFormat="1" applyFont="1" applyFill="1" applyAlignment="1">
      <alignment vertical="center"/>
    </xf>
    <xf numFmtId="0" fontId="11" fillId="3" borderId="0" xfId="0" applyFont="1" applyFill="1" applyAlignment="1">
      <alignment horizontal="right" vertical="center"/>
    </xf>
    <xf numFmtId="0" fontId="27" fillId="3" borderId="0" xfId="0" applyFont="1" applyFill="1" applyAlignment="1">
      <alignment vertical="center"/>
    </xf>
    <xf numFmtId="165" fontId="27" fillId="3" borderId="0" xfId="0" applyNumberFormat="1" applyFont="1" applyFill="1" applyAlignment="1">
      <alignment vertical="center"/>
    </xf>
    <xf numFmtId="0" fontId="11" fillId="5" borderId="0" xfId="0" applyFont="1" applyFill="1" applyAlignment="1">
      <alignment vertical="center"/>
    </xf>
    <xf numFmtId="0" fontId="11" fillId="3" borderId="17" xfId="0" applyFont="1" applyFill="1" applyBorder="1" applyAlignment="1">
      <alignment horizontal="center" vertical="center"/>
    </xf>
    <xf numFmtId="0" fontId="11" fillId="3" borderId="43" xfId="0" applyFont="1" applyFill="1" applyBorder="1" applyAlignment="1">
      <alignment horizontal="center" vertical="center"/>
    </xf>
    <xf numFmtId="9" fontId="11" fillId="3" borderId="44" xfId="2" applyFont="1" applyFill="1" applyBorder="1" applyAlignment="1">
      <alignment vertical="center"/>
    </xf>
    <xf numFmtId="9" fontId="11" fillId="3" borderId="42" xfId="2" applyFont="1" applyFill="1" applyBorder="1" applyAlignment="1">
      <alignment vertical="center"/>
    </xf>
    <xf numFmtId="9" fontId="11" fillId="3" borderId="43" xfId="2" applyFont="1" applyFill="1" applyBorder="1" applyAlignment="1">
      <alignment vertical="center"/>
    </xf>
    <xf numFmtId="3" fontId="10" fillId="3" borderId="0" xfId="0" applyNumberFormat="1" applyFont="1" applyFill="1" applyAlignment="1">
      <alignment vertical="center"/>
    </xf>
    <xf numFmtId="9" fontId="10" fillId="3" borderId="42" xfId="2" applyFont="1" applyFill="1" applyBorder="1" applyAlignment="1">
      <alignment vertical="center"/>
    </xf>
    <xf numFmtId="166" fontId="10" fillId="3" borderId="0" xfId="0" applyNumberFormat="1" applyFont="1" applyFill="1" applyAlignment="1">
      <alignment vertical="center"/>
    </xf>
    <xf numFmtId="0" fontId="21" fillId="3" borderId="0" xfId="0" applyFont="1" applyFill="1" applyAlignment="1">
      <alignment horizontal="left" vertical="center"/>
    </xf>
    <xf numFmtId="0" fontId="12" fillId="12" borderId="17" xfId="0" applyFont="1" applyFill="1" applyBorder="1" applyAlignment="1">
      <alignment horizontal="right" vertical="center"/>
    </xf>
    <xf numFmtId="0" fontId="12" fillId="3" borderId="26" xfId="0" applyFont="1" applyFill="1" applyBorder="1" applyAlignment="1">
      <alignment horizontal="center" wrapText="1"/>
    </xf>
    <xf numFmtId="0" fontId="12" fillId="3" borderId="13" xfId="0" applyFont="1" applyFill="1" applyBorder="1" applyAlignment="1">
      <alignment horizontal="center" wrapText="1"/>
    </xf>
    <xf numFmtId="0" fontId="11" fillId="0" borderId="14" xfId="0" applyFont="1" applyBorder="1"/>
    <xf numFmtId="0" fontId="4" fillId="3" borderId="0" xfId="3" applyFont="1" applyFill="1" applyAlignment="1">
      <alignment horizontal="center"/>
    </xf>
    <xf numFmtId="0" fontId="4" fillId="0" borderId="34" xfId="3" applyFont="1" applyBorder="1" applyAlignment="1">
      <alignment horizontal="center"/>
    </xf>
    <xf numFmtId="3" fontId="9" fillId="0" borderId="34" xfId="3" applyNumberFormat="1" applyFont="1" applyBorder="1" applyProtection="1">
      <protection locked="0"/>
    </xf>
    <xf numFmtId="3" fontId="31" fillId="0" borderId="34" xfId="3" applyNumberFormat="1" applyFont="1" applyBorder="1"/>
    <xf numFmtId="3" fontId="4" fillId="0" borderId="34" xfId="3" applyNumberFormat="1" applyFont="1" applyBorder="1"/>
    <xf numFmtId="3" fontId="4" fillId="0" borderId="35" xfId="3" applyNumberFormat="1" applyFont="1" applyBorder="1"/>
    <xf numFmtId="0" fontId="9" fillId="0" borderId="45" xfId="3" applyFont="1" applyBorder="1"/>
    <xf numFmtId="3" fontId="9" fillId="8" borderId="4" xfId="3" applyNumberFormat="1" applyFont="1" applyFill="1" applyBorder="1" applyProtection="1">
      <protection locked="0"/>
    </xf>
    <xf numFmtId="3" fontId="30" fillId="0" borderId="4" xfId="3" applyNumberFormat="1" applyFont="1" applyBorder="1" applyProtection="1">
      <protection locked="0"/>
    </xf>
    <xf numFmtId="3" fontId="30" fillId="0" borderId="30" xfId="3" applyNumberFormat="1" applyFont="1" applyBorder="1" applyProtection="1">
      <protection locked="0"/>
    </xf>
    <xf numFmtId="3" fontId="12" fillId="10" borderId="7" xfId="0" applyNumberFormat="1" applyFont="1" applyFill="1" applyBorder="1"/>
    <xf numFmtId="0" fontId="4" fillId="3" borderId="31" xfId="3" applyFont="1" applyFill="1" applyBorder="1"/>
    <xf numFmtId="0" fontId="4" fillId="3" borderId="34" xfId="3" applyFont="1" applyFill="1" applyBorder="1" applyAlignment="1">
      <alignment horizontal="center"/>
    </xf>
    <xf numFmtId="3" fontId="4" fillId="3" borderId="32" xfId="3" applyNumberFormat="1" applyFont="1" applyFill="1" applyBorder="1"/>
    <xf numFmtId="3" fontId="4" fillId="3" borderId="34" xfId="3" applyNumberFormat="1" applyFont="1" applyFill="1" applyBorder="1"/>
    <xf numFmtId="3" fontId="4" fillId="3" borderId="35" xfId="3" applyNumberFormat="1" applyFont="1" applyFill="1" applyBorder="1"/>
    <xf numFmtId="3" fontId="39" fillId="3" borderId="0" xfId="3" applyNumberFormat="1" applyFont="1" applyFill="1" applyAlignment="1">
      <alignment horizontal="center"/>
    </xf>
    <xf numFmtId="0" fontId="16" fillId="3" borderId="0" xfId="3" applyFont="1" applyFill="1" applyAlignment="1">
      <alignment horizontal="center"/>
    </xf>
    <xf numFmtId="0" fontId="4" fillId="0" borderId="0" xfId="0" applyFont="1" applyAlignment="1">
      <alignment horizontal="left" vertical="center" indent="1"/>
    </xf>
    <xf numFmtId="0" fontId="42" fillId="0" borderId="0" xfId="0" applyFont="1"/>
    <xf numFmtId="0" fontId="29" fillId="0" borderId="0" xfId="3" applyFont="1" applyAlignment="1">
      <alignment horizontal="center"/>
    </xf>
    <xf numFmtId="3" fontId="29" fillId="0" borderId="0" xfId="3" applyNumberFormat="1" applyFont="1"/>
    <xf numFmtId="0" fontId="29" fillId="0" borderId="0" xfId="3" applyFont="1"/>
    <xf numFmtId="0" fontId="9" fillId="0" borderId="39" xfId="3" applyFont="1" applyBorder="1" applyProtection="1">
      <protection locked="0"/>
    </xf>
    <xf numFmtId="3" fontId="21" fillId="0" borderId="46" xfId="3" applyNumberFormat="1" applyFont="1" applyBorder="1" applyAlignment="1" applyProtection="1">
      <alignment horizontal="center"/>
      <protection locked="0"/>
    </xf>
    <xf numFmtId="3" fontId="9" fillId="5" borderId="26" xfId="3" applyNumberFormat="1" applyFont="1" applyFill="1" applyBorder="1"/>
    <xf numFmtId="3" fontId="9" fillId="5" borderId="13" xfId="3" applyNumberFormat="1" applyFont="1" applyFill="1" applyBorder="1"/>
    <xf numFmtId="3" fontId="4" fillId="0" borderId="32" xfId="3" applyNumberFormat="1" applyFont="1" applyBorder="1"/>
    <xf numFmtId="3" fontId="9" fillId="0" borderId="34" xfId="3" applyNumberFormat="1" applyFont="1" applyBorder="1"/>
    <xf numFmtId="3" fontId="9" fillId="0" borderId="35" xfId="3" applyNumberFormat="1" applyFont="1" applyBorder="1"/>
    <xf numFmtId="0" fontId="29" fillId="11" borderId="31" xfId="3" applyFont="1" applyFill="1" applyBorder="1"/>
    <xf numFmtId="0" fontId="29" fillId="11" borderId="32" xfId="3" applyFont="1" applyFill="1" applyBorder="1"/>
    <xf numFmtId="0" fontId="6" fillId="11" borderId="32" xfId="0" applyFont="1" applyFill="1" applyBorder="1"/>
    <xf numFmtId="0" fontId="22" fillId="11" borderId="32" xfId="0" applyFont="1" applyFill="1" applyBorder="1"/>
    <xf numFmtId="0" fontId="22" fillId="11" borderId="36" xfId="0" applyFont="1" applyFill="1" applyBorder="1"/>
    <xf numFmtId="3" fontId="4" fillId="3" borderId="7" xfId="0" applyNumberFormat="1" applyFont="1" applyFill="1" applyBorder="1" applyAlignment="1">
      <alignment vertical="center"/>
    </xf>
    <xf numFmtId="0" fontId="29" fillId="0" borderId="34" xfId="3" applyFont="1" applyBorder="1" applyAlignment="1">
      <alignment horizontal="center" vertical="center"/>
    </xf>
    <xf numFmtId="3" fontId="9" fillId="3" borderId="34" xfId="0" applyNumberFormat="1" applyFont="1" applyFill="1" applyBorder="1" applyAlignment="1">
      <alignment vertical="center"/>
    </xf>
    <xf numFmtId="3" fontId="9" fillId="3" borderId="35" xfId="0" applyNumberFormat="1" applyFont="1" applyFill="1" applyBorder="1" applyAlignment="1">
      <alignment vertical="center"/>
    </xf>
    <xf numFmtId="0" fontId="16" fillId="0" borderId="0" xfId="0" applyFont="1" applyAlignment="1">
      <alignment horizontal="left" vertical="center" indent="1"/>
    </xf>
    <xf numFmtId="0" fontId="11" fillId="12" borderId="17" xfId="0" applyFont="1" applyFill="1" applyBorder="1" applyAlignment="1">
      <alignment horizontal="right" vertical="center"/>
    </xf>
    <xf numFmtId="0" fontId="12" fillId="5" borderId="0" xfId="0" applyFont="1" applyFill="1" applyAlignment="1">
      <alignment vertical="center"/>
    </xf>
    <xf numFmtId="0" fontId="15" fillId="3" borderId="17" xfId="0" applyFont="1" applyFill="1" applyBorder="1" applyAlignment="1">
      <alignment horizontal="center" vertical="center"/>
    </xf>
    <xf numFmtId="0" fontId="6" fillId="3" borderId="0" xfId="0" applyFont="1" applyFill="1" applyAlignment="1">
      <alignment vertical="center"/>
    </xf>
    <xf numFmtId="0" fontId="45" fillId="3" borderId="0" xfId="0" applyFont="1" applyFill="1" applyAlignment="1">
      <alignment vertical="center"/>
    </xf>
    <xf numFmtId="0" fontId="9" fillId="3" borderId="0" xfId="0" applyFont="1" applyFill="1" applyAlignment="1">
      <alignment vertical="center"/>
    </xf>
    <xf numFmtId="0" fontId="6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46" fillId="3" borderId="0" xfId="0" applyFont="1" applyFill="1" applyAlignment="1">
      <alignment vertical="center"/>
    </xf>
    <xf numFmtId="0" fontId="8" fillId="3" borderId="0" xfId="0" applyFont="1" applyFill="1" applyAlignment="1">
      <alignment horizontal="left" vertical="center"/>
    </xf>
    <xf numFmtId="3" fontId="29" fillId="0" borderId="47" xfId="3" applyNumberFormat="1" applyFont="1" applyBorder="1" applyAlignment="1">
      <alignment horizontal="center"/>
    </xf>
    <xf numFmtId="0" fontId="11" fillId="0" borderId="10" xfId="0" applyFont="1" applyBorder="1" applyAlignment="1">
      <alignment horizontal="center" vertical="center"/>
    </xf>
    <xf numFmtId="0" fontId="11" fillId="0" borderId="38" xfId="0" applyFont="1" applyBorder="1" applyAlignment="1">
      <alignment horizontal="center" vertical="center"/>
    </xf>
    <xf numFmtId="0" fontId="12" fillId="0" borderId="40" xfId="0" applyFont="1" applyBorder="1" applyAlignment="1">
      <alignment horizontal="left" vertical="center"/>
    </xf>
    <xf numFmtId="3" fontId="11" fillId="5" borderId="40" xfId="0" applyNumberFormat="1" applyFont="1" applyFill="1" applyBorder="1" applyAlignment="1">
      <alignment horizontal="right" vertical="center"/>
    </xf>
    <xf numFmtId="3" fontId="11" fillId="5" borderId="1" xfId="0" applyNumberFormat="1" applyFont="1" applyFill="1" applyBorder="1" applyAlignment="1">
      <alignment horizontal="right" vertical="center"/>
    </xf>
    <xf numFmtId="0" fontId="12" fillId="0" borderId="49" xfId="0" applyFont="1" applyBorder="1" applyAlignment="1">
      <alignment horizontal="center"/>
    </xf>
    <xf numFmtId="3" fontId="11" fillId="5" borderId="11" xfId="0" applyNumberFormat="1" applyFont="1" applyFill="1" applyBorder="1" applyAlignment="1">
      <alignment horizontal="right" vertical="center"/>
    </xf>
    <xf numFmtId="3" fontId="11" fillId="3" borderId="40" xfId="0" applyNumberFormat="1" applyFont="1" applyFill="1" applyBorder="1" applyAlignment="1">
      <alignment horizontal="right" vertical="center"/>
    </xf>
    <xf numFmtId="3" fontId="11" fillId="5" borderId="48" xfId="0" applyNumberFormat="1" applyFont="1" applyFill="1" applyBorder="1" applyAlignment="1">
      <alignment horizontal="right" vertical="center"/>
    </xf>
    <xf numFmtId="3" fontId="25" fillId="7" borderId="40" xfId="0" applyNumberFormat="1" applyFont="1" applyFill="1" applyBorder="1" applyAlignment="1">
      <alignment horizontal="right" vertical="center"/>
    </xf>
    <xf numFmtId="3" fontId="25" fillId="7" borderId="1" xfId="0" applyNumberFormat="1" applyFont="1" applyFill="1" applyBorder="1" applyAlignment="1">
      <alignment horizontal="right" vertical="center"/>
    </xf>
    <xf numFmtId="3" fontId="11" fillId="3" borderId="48" xfId="0" applyNumberFormat="1" applyFont="1" applyFill="1" applyBorder="1" applyAlignment="1">
      <alignment horizontal="right" vertical="center"/>
    </xf>
    <xf numFmtId="0" fontId="11" fillId="0" borderId="33" xfId="0" applyFont="1" applyBorder="1" applyAlignment="1">
      <alignment horizontal="center" vertical="center"/>
    </xf>
    <xf numFmtId="0" fontId="12" fillId="0" borderId="34" xfId="0" applyFont="1" applyBorder="1" applyAlignment="1">
      <alignment horizontal="left" vertical="center"/>
    </xf>
    <xf numFmtId="3" fontId="27" fillId="0" borderId="34" xfId="0" applyNumberFormat="1" applyFont="1" applyBorder="1" applyAlignment="1">
      <alignment horizontal="center" vertical="center"/>
    </xf>
    <xf numFmtId="3" fontId="9" fillId="7" borderId="34" xfId="0" applyNumberFormat="1" applyFont="1" applyFill="1" applyBorder="1" applyAlignment="1">
      <alignment vertical="center"/>
    </xf>
    <xf numFmtId="0" fontId="11" fillId="10" borderId="0" xfId="0" applyFont="1" applyFill="1" applyAlignment="1">
      <alignment horizontal="center" vertical="center"/>
    </xf>
    <xf numFmtId="3" fontId="12" fillId="10" borderId="17" xfId="0" applyNumberFormat="1" applyFont="1" applyFill="1" applyBorder="1" applyAlignment="1">
      <alignment horizontal="right" vertical="center"/>
    </xf>
    <xf numFmtId="0" fontId="12" fillId="10" borderId="17" xfId="0" applyFont="1" applyFill="1" applyBorder="1" applyAlignment="1">
      <alignment horizontal="right" vertical="center"/>
    </xf>
    <xf numFmtId="166" fontId="9" fillId="3" borderId="0" xfId="0" applyNumberFormat="1" applyFont="1" applyFill="1" applyAlignment="1">
      <alignment horizontal="right" vertical="center"/>
    </xf>
    <xf numFmtId="4" fontId="41" fillId="3" borderId="0" xfId="0" applyNumberFormat="1" applyFont="1" applyFill="1" applyAlignment="1">
      <alignment horizontal="right" vertical="center"/>
    </xf>
    <xf numFmtId="166" fontId="21" fillId="3" borderId="0" xfId="0" applyNumberFormat="1" applyFont="1" applyFill="1" applyAlignment="1">
      <alignment horizontal="right" vertical="center"/>
    </xf>
    <xf numFmtId="166" fontId="6" fillId="3" borderId="0" xfId="0" applyNumberFormat="1" applyFont="1" applyFill="1" applyAlignment="1">
      <alignment horizontal="right" vertical="center"/>
    </xf>
    <xf numFmtId="0" fontId="6" fillId="3" borderId="50" xfId="0" applyFont="1" applyFill="1" applyBorder="1" applyAlignment="1">
      <alignment horizontal="center" vertical="center"/>
    </xf>
    <xf numFmtId="0" fontId="6" fillId="3" borderId="50" xfId="0" applyFont="1" applyFill="1" applyBorder="1" applyAlignment="1">
      <alignment vertical="center"/>
    </xf>
    <xf numFmtId="0" fontId="9" fillId="3" borderId="50" xfId="0" applyFont="1" applyFill="1" applyBorder="1" applyAlignment="1">
      <alignment vertical="center"/>
    </xf>
    <xf numFmtId="166" fontId="9" fillId="3" borderId="50" xfId="0" applyNumberFormat="1" applyFont="1" applyFill="1" applyBorder="1" applyAlignment="1">
      <alignment horizontal="right" vertical="center"/>
    </xf>
    <xf numFmtId="166" fontId="6" fillId="3" borderId="50" xfId="0" applyNumberFormat="1" applyFont="1" applyFill="1" applyBorder="1" applyAlignment="1">
      <alignment horizontal="right" vertical="center"/>
    </xf>
    <xf numFmtId="0" fontId="10" fillId="3" borderId="51" xfId="0" applyFont="1" applyFill="1" applyBorder="1" applyAlignment="1">
      <alignment vertical="center"/>
    </xf>
    <xf numFmtId="3" fontId="10" fillId="3" borderId="51" xfId="0" applyNumberFormat="1" applyFont="1" applyFill="1" applyBorder="1" applyAlignment="1">
      <alignment vertical="center"/>
    </xf>
    <xf numFmtId="3" fontId="0" fillId="3" borderId="51" xfId="0" applyNumberFormat="1" applyFill="1" applyBorder="1" applyAlignment="1">
      <alignment vertical="center"/>
    </xf>
    <xf numFmtId="0" fontId="10" fillId="3" borderId="52" xfId="0" applyFont="1" applyFill="1" applyBorder="1" applyAlignment="1">
      <alignment horizontal="right" vertical="center" indent="1"/>
    </xf>
    <xf numFmtId="0" fontId="10" fillId="3" borderId="52" xfId="0" applyFont="1" applyFill="1" applyBorder="1" applyAlignment="1">
      <alignment vertical="center"/>
    </xf>
    <xf numFmtId="0" fontId="10" fillId="3" borderId="0" xfId="0" applyFont="1" applyFill="1" applyAlignment="1">
      <alignment horizontal="left" vertical="center"/>
    </xf>
    <xf numFmtId="167" fontId="10" fillId="10" borderId="0" xfId="0" applyNumberFormat="1" applyFont="1" applyFill="1" applyAlignment="1">
      <alignment horizontal="right" vertical="center"/>
    </xf>
    <xf numFmtId="3" fontId="10" fillId="10" borderId="0" xfId="0" applyNumberFormat="1" applyFont="1" applyFill="1" applyAlignment="1">
      <alignment horizontal="right" vertical="center"/>
    </xf>
    <xf numFmtId="167" fontId="10" fillId="6" borderId="0" xfId="0" applyNumberFormat="1" applyFont="1" applyFill="1" applyAlignment="1">
      <alignment horizontal="right" vertical="center"/>
    </xf>
    <xf numFmtId="3" fontId="10" fillId="6" borderId="0" xfId="0" applyNumberFormat="1" applyFont="1" applyFill="1" applyAlignment="1">
      <alignment horizontal="right" vertical="center"/>
    </xf>
    <xf numFmtId="3" fontId="10" fillId="4" borderId="0" xfId="0" applyNumberFormat="1" applyFont="1" applyFill="1" applyAlignment="1">
      <alignment horizontal="right" vertical="center"/>
    </xf>
    <xf numFmtId="0" fontId="10" fillId="7" borderId="0" xfId="0" applyFont="1" applyFill="1" applyAlignment="1">
      <alignment horizontal="left" vertical="center"/>
    </xf>
    <xf numFmtId="3" fontId="10" fillId="11" borderId="0" xfId="0" applyNumberFormat="1" applyFont="1" applyFill="1" applyAlignment="1">
      <alignment horizontal="right" vertical="center"/>
    </xf>
    <xf numFmtId="1" fontId="11" fillId="3" borderId="44" xfId="2" applyNumberFormat="1" applyFont="1" applyFill="1" applyBorder="1" applyAlignment="1">
      <alignment vertical="center"/>
    </xf>
    <xf numFmtId="1" fontId="11" fillId="3" borderId="42" xfId="2" applyNumberFormat="1" applyFont="1" applyFill="1" applyBorder="1" applyAlignment="1">
      <alignment vertical="center"/>
    </xf>
    <xf numFmtId="1" fontId="11" fillId="3" borderId="43" xfId="2" applyNumberFormat="1" applyFont="1" applyFill="1" applyBorder="1" applyAlignment="1">
      <alignment vertical="center"/>
    </xf>
    <xf numFmtId="1" fontId="10" fillId="3" borderId="42" xfId="2" applyNumberFormat="1" applyFont="1" applyFill="1" applyBorder="1" applyAlignment="1">
      <alignment vertical="center"/>
    </xf>
    <xf numFmtId="0" fontId="12" fillId="3" borderId="17" xfId="0" applyFont="1" applyFill="1" applyBorder="1" applyAlignment="1">
      <alignment vertical="center"/>
    </xf>
    <xf numFmtId="0" fontId="4" fillId="3" borderId="24" xfId="0" applyFont="1" applyFill="1" applyBorder="1" applyAlignment="1">
      <alignment horizontal="center" wrapText="1"/>
    </xf>
    <xf numFmtId="9" fontId="11" fillId="0" borderId="0" xfId="2" applyFont="1"/>
    <xf numFmtId="0" fontId="12" fillId="0" borderId="29" xfId="0" applyFont="1" applyBorder="1" applyAlignment="1">
      <alignment horizontal="center" vertical="center"/>
    </xf>
    <xf numFmtId="0" fontId="12" fillId="3" borderId="28" xfId="0" applyFont="1" applyFill="1" applyBorder="1" applyAlignment="1">
      <alignment horizontal="center" vertical="center"/>
    </xf>
    <xf numFmtId="0" fontId="12" fillId="3" borderId="28" xfId="0" applyFont="1" applyFill="1" applyBorder="1" applyAlignment="1">
      <alignment horizontal="center" vertical="center" wrapText="1"/>
    </xf>
    <xf numFmtId="0" fontId="12" fillId="3" borderId="49" xfId="0" applyFont="1" applyFill="1" applyBorder="1" applyAlignment="1">
      <alignment horizontal="center" vertical="center"/>
    </xf>
    <xf numFmtId="0" fontId="12" fillId="3" borderId="29" xfId="0" applyFont="1" applyFill="1" applyBorder="1" applyAlignment="1">
      <alignment horizontal="center" vertical="center"/>
    </xf>
    <xf numFmtId="3" fontId="0" fillId="6" borderId="0" xfId="0" applyNumberFormat="1" applyFill="1" applyAlignment="1">
      <alignment horizontal="right" vertical="center"/>
    </xf>
    <xf numFmtId="3" fontId="0" fillId="4" borderId="0" xfId="0" applyNumberFormat="1" applyFill="1" applyAlignment="1">
      <alignment horizontal="right" vertical="center"/>
    </xf>
    <xf numFmtId="3" fontId="0" fillId="10" borderId="0" xfId="0" applyNumberFormat="1" applyFill="1" applyAlignment="1">
      <alignment horizontal="right" vertical="center"/>
    </xf>
    <xf numFmtId="3" fontId="7" fillId="0" borderId="34" xfId="3" applyNumberFormat="1" applyFont="1" applyBorder="1" applyAlignment="1" applyProtection="1">
      <alignment horizontal="center"/>
      <protection locked="0"/>
    </xf>
    <xf numFmtId="0" fontId="16" fillId="3" borderId="17" xfId="0" applyFont="1" applyFill="1" applyBorder="1" applyAlignment="1">
      <alignment vertical="center"/>
    </xf>
    <xf numFmtId="0" fontId="10" fillId="11" borderId="0" xfId="0" applyFont="1" applyFill="1" applyAlignment="1">
      <alignment horizontal="left" vertical="center"/>
    </xf>
    <xf numFmtId="0" fontId="9" fillId="3" borderId="17" xfId="0" applyFont="1" applyFill="1" applyBorder="1" applyAlignment="1">
      <alignment vertical="center"/>
    </xf>
    <xf numFmtId="0" fontId="4" fillId="3" borderId="17" xfId="0" applyFont="1" applyFill="1" applyBorder="1" applyAlignment="1">
      <alignment vertical="center"/>
    </xf>
    <xf numFmtId="0" fontId="6" fillId="3" borderId="17" xfId="0" applyFont="1" applyFill="1" applyBorder="1" applyAlignment="1">
      <alignment vertical="center"/>
    </xf>
    <xf numFmtId="165" fontId="9" fillId="5" borderId="0" xfId="0" applyNumberFormat="1" applyFont="1" applyFill="1" applyAlignment="1">
      <alignment vertical="center"/>
    </xf>
    <xf numFmtId="3" fontId="9" fillId="5" borderId="0" xfId="0" applyNumberFormat="1" applyFont="1" applyFill="1" applyAlignment="1">
      <alignment vertical="center"/>
    </xf>
    <xf numFmtId="165" fontId="9" fillId="5" borderId="0" xfId="0" applyNumberFormat="1" applyFont="1" applyFill="1" applyAlignment="1">
      <alignment horizontal="right" vertical="center"/>
    </xf>
    <xf numFmtId="165" fontId="9" fillId="5" borderId="17" xfId="0" applyNumberFormat="1" applyFont="1" applyFill="1" applyBorder="1" applyAlignment="1">
      <alignment vertical="center"/>
    </xf>
    <xf numFmtId="3" fontId="9" fillId="5" borderId="17" xfId="0" applyNumberFormat="1" applyFont="1" applyFill="1" applyBorder="1" applyAlignment="1">
      <alignment vertical="center"/>
    </xf>
    <xf numFmtId="0" fontId="48" fillId="14" borderId="0" xfId="0" applyFont="1" applyFill="1" applyAlignment="1">
      <alignment horizontal="right" vertical="center"/>
    </xf>
    <xf numFmtId="0" fontId="48" fillId="14" borderId="17" xfId="0" applyFont="1" applyFill="1" applyBorder="1" applyAlignment="1">
      <alignment horizontal="right" vertical="center"/>
    </xf>
    <xf numFmtId="0" fontId="28" fillId="3" borderId="0" xfId="0" applyFont="1" applyFill="1" applyAlignment="1">
      <alignment vertical="center"/>
    </xf>
    <xf numFmtId="0" fontId="50" fillId="3" borderId="0" xfId="0" applyFont="1" applyFill="1" applyAlignment="1">
      <alignment vertical="center"/>
    </xf>
    <xf numFmtId="3" fontId="4" fillId="10" borderId="7" xfId="3" applyNumberFormat="1" applyFont="1" applyFill="1" applyBorder="1"/>
    <xf numFmtId="3" fontId="12" fillId="3" borderId="7" xfId="0" applyNumberFormat="1" applyFont="1" applyFill="1" applyBorder="1"/>
    <xf numFmtId="0" fontId="37" fillId="3" borderId="0" xfId="0" applyFont="1" applyFill="1" applyAlignment="1">
      <alignment horizontal="left"/>
    </xf>
    <xf numFmtId="9" fontId="13" fillId="3" borderId="17" xfId="2" applyFont="1" applyFill="1" applyBorder="1" applyAlignment="1">
      <alignment vertical="center"/>
    </xf>
    <xf numFmtId="166" fontId="21" fillId="3" borderId="50" xfId="0" applyNumberFormat="1" applyFont="1" applyFill="1" applyBorder="1" applyAlignment="1">
      <alignment horizontal="right" vertical="center"/>
    </xf>
    <xf numFmtId="0" fontId="4" fillId="10" borderId="0" xfId="0" applyFont="1" applyFill="1" applyAlignment="1">
      <alignment horizontal="center" vertical="center"/>
    </xf>
    <xf numFmtId="0" fontId="4" fillId="13" borderId="0" xfId="0" applyFont="1" applyFill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4" fillId="10" borderId="17" xfId="0" applyFont="1" applyFill="1" applyBorder="1" applyAlignment="1">
      <alignment horizontal="center" vertical="center"/>
    </xf>
    <xf numFmtId="0" fontId="4" fillId="4" borderId="17" xfId="0" applyFont="1" applyFill="1" applyBorder="1" applyAlignment="1">
      <alignment horizontal="center" vertical="center"/>
    </xf>
    <xf numFmtId="0" fontId="4" fillId="13" borderId="17" xfId="0" applyFont="1" applyFill="1" applyBorder="1" applyAlignment="1">
      <alignment horizontal="center" vertical="center"/>
    </xf>
    <xf numFmtId="3" fontId="21" fillId="3" borderId="1" xfId="3" applyNumberFormat="1" applyFont="1" applyFill="1" applyBorder="1" applyAlignment="1" applyProtection="1">
      <alignment horizontal="center"/>
      <protection locked="0"/>
    </xf>
    <xf numFmtId="0" fontId="4" fillId="3" borderId="2" xfId="3" quotePrefix="1" applyFont="1" applyFill="1" applyBorder="1" applyAlignment="1" applyProtection="1">
      <alignment horizontal="center"/>
      <protection locked="0"/>
    </xf>
    <xf numFmtId="3" fontId="4" fillId="3" borderId="2" xfId="3" quotePrefix="1" applyNumberFormat="1" applyFont="1" applyFill="1" applyBorder="1" applyAlignment="1" applyProtection="1">
      <alignment horizontal="center"/>
      <protection locked="0"/>
    </xf>
    <xf numFmtId="166" fontId="11" fillId="0" borderId="0" xfId="0" applyNumberFormat="1" applyFont="1" applyAlignment="1">
      <alignment horizontal="right" indent="1"/>
    </xf>
    <xf numFmtId="166" fontId="11" fillId="3" borderId="47" xfId="0" applyNumberFormat="1" applyFont="1" applyFill="1" applyBorder="1" applyAlignment="1">
      <alignment horizontal="right" indent="1"/>
    </xf>
    <xf numFmtId="166" fontId="11" fillId="3" borderId="35" xfId="0" applyNumberFormat="1" applyFont="1" applyFill="1" applyBorder="1" applyAlignment="1">
      <alignment horizontal="right" indent="1"/>
    </xf>
    <xf numFmtId="3" fontId="11" fillId="3" borderId="47" xfId="0" applyNumberFormat="1" applyFont="1" applyFill="1" applyBorder="1" applyAlignment="1">
      <alignment horizontal="right" indent="1"/>
    </xf>
    <xf numFmtId="3" fontId="11" fillId="3" borderId="35" xfId="0" applyNumberFormat="1" applyFont="1" applyFill="1" applyBorder="1" applyAlignment="1">
      <alignment horizontal="right" indent="1"/>
    </xf>
    <xf numFmtId="3" fontId="11" fillId="0" borderId="0" xfId="0" applyNumberFormat="1" applyFont="1" applyAlignment="1">
      <alignment horizontal="right" indent="1"/>
    </xf>
    <xf numFmtId="3" fontId="11" fillId="0" borderId="0" xfId="0" applyNumberFormat="1" applyFont="1" applyAlignment="1">
      <alignment horizontal="right"/>
    </xf>
    <xf numFmtId="0" fontId="11" fillId="0" borderId="53" xfId="0" applyFont="1" applyBorder="1" applyAlignment="1">
      <alignment horizontal="center" vertical="center"/>
    </xf>
    <xf numFmtId="3" fontId="27" fillId="0" borderId="4" xfId="0" applyNumberFormat="1" applyFont="1" applyBorder="1" applyAlignment="1">
      <alignment horizontal="center" vertical="center"/>
    </xf>
    <xf numFmtId="3" fontId="7" fillId="0" borderId="4" xfId="3" applyNumberFormat="1" applyFont="1" applyBorder="1" applyAlignment="1" applyProtection="1">
      <alignment horizontal="center"/>
      <protection locked="0"/>
    </xf>
    <xf numFmtId="166" fontId="11" fillId="5" borderId="16" xfId="0" applyNumberFormat="1" applyFont="1" applyFill="1" applyBorder="1" applyAlignment="1">
      <alignment horizontal="right" indent="1"/>
    </xf>
    <xf numFmtId="166" fontId="11" fillId="5" borderId="4" xfId="0" applyNumberFormat="1" applyFont="1" applyFill="1" applyBorder="1" applyAlignment="1">
      <alignment horizontal="right" indent="1"/>
    </xf>
    <xf numFmtId="166" fontId="11" fillId="5" borderId="30" xfId="0" applyNumberFormat="1" applyFont="1" applyFill="1" applyBorder="1" applyAlignment="1">
      <alignment horizontal="right" indent="1"/>
    </xf>
    <xf numFmtId="3" fontId="9" fillId="7" borderId="4" xfId="0" applyNumberFormat="1" applyFont="1" applyFill="1" applyBorder="1" applyAlignment="1">
      <alignment vertical="center"/>
    </xf>
    <xf numFmtId="3" fontId="11" fillId="5" borderId="16" xfId="0" applyNumberFormat="1" applyFont="1" applyFill="1" applyBorder="1" applyAlignment="1">
      <alignment horizontal="right" indent="1"/>
    </xf>
    <xf numFmtId="3" fontId="11" fillId="5" borderId="4" xfId="0" applyNumberFormat="1" applyFont="1" applyFill="1" applyBorder="1" applyAlignment="1">
      <alignment horizontal="right" indent="1"/>
    </xf>
    <xf numFmtId="3" fontId="11" fillId="5" borderId="30" xfId="0" applyNumberFormat="1" applyFont="1" applyFill="1" applyBorder="1" applyAlignment="1">
      <alignment horizontal="right" indent="1"/>
    </xf>
    <xf numFmtId="0" fontId="12" fillId="15" borderId="17" xfId="0" applyFont="1" applyFill="1" applyBorder="1" applyAlignment="1">
      <alignment horizontal="right" vertical="center"/>
    </xf>
    <xf numFmtId="3" fontId="0" fillId="15" borderId="0" xfId="0" applyNumberFormat="1" applyFill="1" applyAlignment="1">
      <alignment horizontal="right" vertical="center"/>
    </xf>
    <xf numFmtId="3" fontId="10" fillId="15" borderId="0" xfId="0" applyNumberFormat="1" applyFont="1" applyFill="1" applyAlignment="1">
      <alignment horizontal="right" vertical="center"/>
    </xf>
    <xf numFmtId="0" fontId="4" fillId="15" borderId="0" xfId="0" applyFont="1" applyFill="1" applyAlignment="1">
      <alignment horizontal="center" vertical="center"/>
    </xf>
    <xf numFmtId="0" fontId="23" fillId="0" borderId="0" xfId="9"/>
    <xf numFmtId="0" fontId="54" fillId="0" borderId="0" xfId="9" applyFont="1"/>
    <xf numFmtId="0" fontId="55" fillId="0" borderId="0" xfId="9" applyFont="1"/>
    <xf numFmtId="0" fontId="10" fillId="0" borderId="0" xfId="9" applyFont="1"/>
    <xf numFmtId="3" fontId="56" fillId="10" borderId="17" xfId="9" applyNumberFormat="1" applyFont="1" applyFill="1" applyBorder="1" applyAlignment="1">
      <alignment horizontal="center" vertical="center"/>
    </xf>
    <xf numFmtId="3" fontId="12" fillId="6" borderId="17" xfId="9" applyNumberFormat="1" applyFont="1" applyFill="1" applyBorder="1" applyAlignment="1">
      <alignment horizontal="center" vertical="center"/>
    </xf>
    <xf numFmtId="3" fontId="12" fillId="16" borderId="17" xfId="9" applyNumberFormat="1" applyFont="1" applyFill="1" applyBorder="1" applyAlignment="1">
      <alignment horizontal="center" vertical="center"/>
    </xf>
    <xf numFmtId="0" fontId="23" fillId="0" borderId="0" xfId="9" applyFill="1"/>
    <xf numFmtId="0" fontId="54" fillId="0" borderId="0" xfId="1" applyFont="1" applyFill="1" applyAlignment="1">
      <alignment vertical="center"/>
    </xf>
    <xf numFmtId="0" fontId="57" fillId="0" borderId="0" xfId="1" applyFont="1" applyFill="1" applyAlignment="1">
      <alignment vertical="center"/>
    </xf>
    <xf numFmtId="0" fontId="58" fillId="0" borderId="0" xfId="9" applyFont="1" applyFill="1" applyBorder="1" applyAlignment="1">
      <alignment horizontal="left" vertical="center"/>
    </xf>
    <xf numFmtId="3" fontId="23" fillId="0" borderId="0" xfId="9" applyNumberFormat="1"/>
    <xf numFmtId="3" fontId="11" fillId="5" borderId="56" xfId="1" applyNumberFormat="1" applyFont="1" applyFill="1" applyBorder="1" applyAlignment="1">
      <alignment horizontal="right" vertical="center"/>
    </xf>
    <xf numFmtId="3" fontId="11" fillId="0" borderId="56" xfId="1" applyNumberFormat="1" applyFont="1" applyFill="1" applyBorder="1" applyAlignment="1">
      <alignment horizontal="right" vertical="center"/>
    </xf>
    <xf numFmtId="3" fontId="60" fillId="5" borderId="56" xfId="1" applyNumberFormat="1" applyFont="1" applyFill="1" applyBorder="1" applyAlignment="1">
      <alignment horizontal="right" vertical="center"/>
    </xf>
    <xf numFmtId="3" fontId="60" fillId="0" borderId="56" xfId="1" applyNumberFormat="1" applyFont="1" applyFill="1" applyBorder="1" applyAlignment="1">
      <alignment horizontal="right" vertical="center"/>
    </xf>
    <xf numFmtId="4" fontId="60" fillId="0" borderId="56" xfId="1" applyNumberFormat="1" applyFont="1" applyFill="1" applyBorder="1" applyAlignment="1">
      <alignment horizontal="right" vertical="center"/>
    </xf>
    <xf numFmtId="3" fontId="59" fillId="5" borderId="56" xfId="1" applyNumberFormat="1" applyFont="1" applyFill="1" applyBorder="1" applyAlignment="1">
      <alignment horizontal="center" vertical="center"/>
    </xf>
    <xf numFmtId="3" fontId="59" fillId="0" borderId="56" xfId="1" applyNumberFormat="1" applyFont="1" applyFill="1" applyBorder="1" applyAlignment="1">
      <alignment horizontal="center" vertical="center"/>
    </xf>
    <xf numFmtId="3" fontId="11" fillId="5" borderId="56" xfId="1" applyNumberFormat="1" applyFont="1" applyFill="1" applyBorder="1" applyAlignment="1">
      <alignment horizontal="center" vertical="center"/>
    </xf>
    <xf numFmtId="3" fontId="11" fillId="0" borderId="56" xfId="1" applyNumberFormat="1" applyFont="1" applyFill="1" applyBorder="1" applyAlignment="1">
      <alignment horizontal="center" vertical="center"/>
    </xf>
    <xf numFmtId="4" fontId="0" fillId="0" borderId="0" xfId="0" applyNumberFormat="1"/>
    <xf numFmtId="0" fontId="12" fillId="3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0" fillId="0" borderId="0" xfId="0" quotePrefix="1" applyAlignment="1">
      <alignment horizontal="center"/>
    </xf>
    <xf numFmtId="0" fontId="10" fillId="0" borderId="0" xfId="0" applyFont="1"/>
    <xf numFmtId="0" fontId="10" fillId="17" borderId="0" xfId="0" applyFont="1" applyFill="1"/>
    <xf numFmtId="3" fontId="10" fillId="17" borderId="0" xfId="0" applyNumberFormat="1" applyFont="1" applyFill="1"/>
    <xf numFmtId="0" fontId="10" fillId="5" borderId="0" xfId="0" applyFont="1" applyFill="1"/>
    <xf numFmtId="3" fontId="10" fillId="5" borderId="0" xfId="0" applyNumberFormat="1" applyFont="1" applyFill="1"/>
    <xf numFmtId="0" fontId="0" fillId="5" borderId="0" xfId="0" applyFill="1"/>
    <xf numFmtId="167" fontId="10" fillId="3" borderId="52" xfId="0" applyNumberFormat="1" applyFont="1" applyFill="1" applyBorder="1" applyAlignment="1">
      <alignment vertical="center"/>
    </xf>
    <xf numFmtId="3" fontId="6" fillId="3" borderId="52" xfId="0" applyNumberFormat="1" applyFont="1" applyFill="1" applyBorder="1" applyAlignment="1">
      <alignment vertical="center"/>
    </xf>
    <xf numFmtId="3" fontId="10" fillId="3" borderId="52" xfId="0" applyNumberFormat="1" applyFont="1" applyFill="1" applyBorder="1" applyAlignment="1">
      <alignment vertical="center"/>
    </xf>
    <xf numFmtId="3" fontId="0" fillId="3" borderId="52" xfId="0" applyNumberFormat="1" applyFill="1" applyBorder="1" applyAlignment="1">
      <alignment vertical="center"/>
    </xf>
    <xf numFmtId="3" fontId="6" fillId="3" borderId="51" xfId="0" applyNumberFormat="1" applyFont="1" applyFill="1" applyBorder="1" applyAlignment="1">
      <alignment vertical="center"/>
    </xf>
    <xf numFmtId="3" fontId="41" fillId="5" borderId="0" xfId="0" applyNumberFormat="1" applyFont="1" applyFill="1"/>
    <xf numFmtId="0" fontId="61" fillId="0" borderId="0" xfId="0" applyFont="1"/>
    <xf numFmtId="0" fontId="57" fillId="0" borderId="0" xfId="1" applyFont="1" applyAlignment="1">
      <alignment vertical="center"/>
    </xf>
    <xf numFmtId="0" fontId="58" fillId="0" borderId="0" xfId="9" applyFont="1" applyAlignment="1">
      <alignment horizontal="left" vertical="center"/>
    </xf>
    <xf numFmtId="168" fontId="9" fillId="0" borderId="54" xfId="0" applyNumberFormat="1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169" fontId="11" fillId="5" borderId="2" xfId="0" applyNumberFormat="1" applyFont="1" applyFill="1" applyBorder="1" applyAlignment="1">
      <alignment horizontal="center" vertical="center"/>
    </xf>
    <xf numFmtId="3" fontId="60" fillId="5" borderId="2" xfId="1" applyNumberFormat="1" applyFont="1" applyFill="1" applyBorder="1" applyAlignment="1">
      <alignment horizontal="center" vertical="center"/>
    </xf>
    <xf numFmtId="3" fontId="11" fillId="5" borderId="55" xfId="0" applyNumberFormat="1" applyFont="1" applyFill="1" applyBorder="1" applyAlignment="1">
      <alignment horizontal="center" vertical="center"/>
    </xf>
    <xf numFmtId="3" fontId="60" fillId="0" borderId="0" xfId="1" applyNumberFormat="1" applyFont="1" applyAlignment="1">
      <alignment horizontal="center" vertical="center"/>
    </xf>
    <xf numFmtId="3" fontId="11" fillId="5" borderId="10" xfId="1" applyNumberFormat="1" applyFont="1" applyFill="1" applyBorder="1" applyAlignment="1">
      <alignment horizontal="center" vertical="center"/>
    </xf>
    <xf numFmtId="3" fontId="11" fillId="5" borderId="1" xfId="1" applyNumberFormat="1" applyFont="1" applyFill="1" applyBorder="1" applyAlignment="1">
      <alignment horizontal="center" vertical="center"/>
    </xf>
    <xf numFmtId="3" fontId="11" fillId="0" borderId="11" xfId="1" applyNumberFormat="1" applyFont="1" applyBorder="1" applyAlignment="1">
      <alignment horizontal="center" vertical="center"/>
    </xf>
    <xf numFmtId="168" fontId="9" fillId="0" borderId="37" xfId="0" applyNumberFormat="1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169" fontId="11" fillId="5" borderId="3" xfId="0" applyNumberFormat="1" applyFont="1" applyFill="1" applyBorder="1" applyAlignment="1">
      <alignment horizontal="center" vertical="center"/>
    </xf>
    <xf numFmtId="3" fontId="60" fillId="5" borderId="3" xfId="1" applyNumberFormat="1" applyFont="1" applyFill="1" applyBorder="1" applyAlignment="1">
      <alignment horizontal="center" vertical="center"/>
    </xf>
    <xf numFmtId="3" fontId="11" fillId="5" borderId="57" xfId="0" applyNumberFormat="1" applyFont="1" applyFill="1" applyBorder="1" applyAlignment="1">
      <alignment horizontal="center" vertical="center"/>
    </xf>
    <xf numFmtId="168" fontId="9" fillId="0" borderId="3" xfId="0" applyNumberFormat="1" applyFont="1" applyBorder="1" applyAlignment="1">
      <alignment horizontal="center"/>
    </xf>
    <xf numFmtId="0" fontId="9" fillId="0" borderId="53" xfId="0" applyFont="1" applyBorder="1" applyAlignment="1">
      <alignment horizontal="center"/>
    </xf>
    <xf numFmtId="168" fontId="9" fillId="0" borderId="4" xfId="0" applyNumberFormat="1" applyFont="1" applyBorder="1" applyAlignment="1">
      <alignment horizontal="center"/>
    </xf>
    <xf numFmtId="169" fontId="11" fillId="5" borderId="4" xfId="0" applyNumberFormat="1" applyFont="1" applyFill="1" applyBorder="1" applyAlignment="1">
      <alignment horizontal="center" vertical="center"/>
    </xf>
    <xf numFmtId="3" fontId="60" fillId="5" borderId="4" xfId="1" applyNumberFormat="1" applyFont="1" applyFill="1" applyBorder="1" applyAlignment="1">
      <alignment horizontal="center" vertical="center"/>
    </xf>
    <xf numFmtId="3" fontId="11" fillId="5" borderId="30" xfId="0" applyNumberFormat="1" applyFont="1" applyFill="1" applyBorder="1" applyAlignment="1">
      <alignment horizontal="center" vertical="center"/>
    </xf>
    <xf numFmtId="0" fontId="23" fillId="0" borderId="45" xfId="9" applyBorder="1"/>
    <xf numFmtId="3" fontId="11" fillId="5" borderId="54" xfId="1" applyNumberFormat="1" applyFont="1" applyFill="1" applyBorder="1" applyAlignment="1">
      <alignment vertical="center"/>
    </xf>
    <xf numFmtId="3" fontId="11" fillId="5" borderId="2" xfId="1" applyNumberFormat="1" applyFont="1" applyFill="1" applyBorder="1" applyAlignment="1">
      <alignment vertical="center"/>
    </xf>
    <xf numFmtId="3" fontId="11" fillId="0" borderId="55" xfId="1" applyNumberFormat="1" applyFont="1" applyBorder="1" applyAlignment="1">
      <alignment vertical="center"/>
    </xf>
    <xf numFmtId="3" fontId="11" fillId="5" borderId="37" xfId="1" applyNumberFormat="1" applyFont="1" applyFill="1" applyBorder="1" applyAlignment="1">
      <alignment vertical="center"/>
    </xf>
    <xf numFmtId="3" fontId="11" fillId="5" borderId="3" xfId="1" applyNumberFormat="1" applyFont="1" applyFill="1" applyBorder="1" applyAlignment="1">
      <alignment vertical="center"/>
    </xf>
    <xf numFmtId="3" fontId="11" fillId="0" borderId="57" xfId="1" applyNumberFormat="1" applyFont="1" applyBorder="1" applyAlignment="1">
      <alignment vertical="center"/>
    </xf>
    <xf numFmtId="167" fontId="11" fillId="5" borderId="3" xfId="0" applyNumberFormat="1" applyFont="1" applyFill="1" applyBorder="1" applyAlignment="1">
      <alignment horizontal="center" vertical="center"/>
    </xf>
    <xf numFmtId="168" fontId="9" fillId="0" borderId="53" xfId="0" applyNumberFormat="1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3" fontId="11" fillId="5" borderId="53" xfId="1" applyNumberFormat="1" applyFont="1" applyFill="1" applyBorder="1" applyAlignment="1">
      <alignment horizontal="center" vertical="center"/>
    </xf>
    <xf numFmtId="3" fontId="11" fillId="5" borderId="4" xfId="1" applyNumberFormat="1" applyFont="1" applyFill="1" applyBorder="1" applyAlignment="1">
      <alignment horizontal="center" vertical="center"/>
    </xf>
    <xf numFmtId="3" fontId="11" fillId="0" borderId="30" xfId="1" applyNumberFormat="1" applyFont="1" applyBorder="1" applyAlignment="1">
      <alignment horizontal="center" vertical="center"/>
    </xf>
    <xf numFmtId="4" fontId="10" fillId="5" borderId="0" xfId="0" applyNumberFormat="1" applyFont="1" applyFill="1"/>
    <xf numFmtId="0" fontId="53" fillId="0" borderId="0" xfId="0" quotePrefix="1" applyFont="1" applyAlignment="1">
      <alignment horizontal="center"/>
    </xf>
    <xf numFmtId="0" fontId="53" fillId="0" borderId="0" xfId="0" applyFont="1"/>
    <xf numFmtId="0" fontId="6" fillId="0" borderId="0" xfId="0" quotePrefix="1" applyFont="1" applyAlignment="1">
      <alignment horizontal="center"/>
    </xf>
    <xf numFmtId="3" fontId="9" fillId="5" borderId="57" xfId="0" applyNumberFormat="1" applyFont="1" applyFill="1" applyBorder="1" applyAlignment="1">
      <alignment horizontal="center"/>
    </xf>
    <xf numFmtId="3" fontId="11" fillId="5" borderId="3" xfId="1" applyNumberFormat="1" applyFont="1" applyFill="1" applyBorder="1" applyAlignment="1">
      <alignment horizontal="center" vertical="center"/>
    </xf>
    <xf numFmtId="3" fontId="9" fillId="5" borderId="30" xfId="0" applyNumberFormat="1" applyFont="1" applyFill="1" applyBorder="1" applyAlignment="1">
      <alignment horizontal="center"/>
    </xf>
    <xf numFmtId="3" fontId="11" fillId="5" borderId="2" xfId="1" applyNumberFormat="1" applyFont="1" applyFill="1" applyBorder="1" applyAlignment="1">
      <alignment horizontal="center" vertical="center"/>
    </xf>
    <xf numFmtId="3" fontId="9" fillId="5" borderId="55" xfId="0" applyNumberFormat="1" applyFont="1" applyFill="1" applyBorder="1" applyAlignment="1">
      <alignment horizontal="center"/>
    </xf>
    <xf numFmtId="0" fontId="6" fillId="0" borderId="0" xfId="0" applyFont="1"/>
    <xf numFmtId="0" fontId="54" fillId="0" borderId="0" xfId="1" applyFont="1" applyAlignment="1">
      <alignment vertical="center"/>
    </xf>
    <xf numFmtId="167" fontId="63" fillId="5" borderId="54" xfId="0" applyNumberFormat="1" applyFont="1" applyFill="1" applyBorder="1" applyAlignment="1">
      <alignment horizontal="center" vertical="center"/>
    </xf>
    <xf numFmtId="3" fontId="59" fillId="5" borderId="2" xfId="1" applyNumberFormat="1" applyFont="1" applyFill="1" applyBorder="1" applyAlignment="1">
      <alignment horizontal="center" vertical="center"/>
    </xf>
    <xf numFmtId="3" fontId="63" fillId="5" borderId="55" xfId="0" applyNumberFormat="1" applyFont="1" applyFill="1" applyBorder="1" applyAlignment="1">
      <alignment horizontal="center" vertical="center"/>
    </xf>
    <xf numFmtId="3" fontId="59" fillId="0" borderId="58" xfId="1" applyNumberFormat="1" applyFont="1" applyBorder="1" applyAlignment="1">
      <alignment vertical="center"/>
    </xf>
    <xf numFmtId="169" fontId="11" fillId="5" borderId="54" xfId="0" applyNumberFormat="1" applyFont="1" applyFill="1" applyBorder="1" applyAlignment="1">
      <alignment horizontal="center" vertical="center"/>
    </xf>
    <xf numFmtId="3" fontId="11" fillId="0" borderId="59" xfId="1" applyNumberFormat="1" applyFont="1" applyBorder="1" applyAlignment="1">
      <alignment vertical="center"/>
    </xf>
    <xf numFmtId="3" fontId="11" fillId="0" borderId="60" xfId="1" applyNumberFormat="1" applyFont="1" applyBorder="1" applyAlignment="1">
      <alignment vertical="center"/>
    </xf>
    <xf numFmtId="3" fontId="11" fillId="0" borderId="61" xfId="1" applyNumberFormat="1" applyFont="1" applyBorder="1" applyAlignment="1">
      <alignment vertical="center"/>
    </xf>
    <xf numFmtId="167" fontId="63" fillId="5" borderId="37" xfId="0" applyNumberFormat="1" applyFont="1" applyFill="1" applyBorder="1" applyAlignment="1">
      <alignment horizontal="center" vertical="center"/>
    </xf>
    <xf numFmtId="3" fontId="59" fillId="5" borderId="3" xfId="1" applyNumberFormat="1" applyFont="1" applyFill="1" applyBorder="1" applyAlignment="1">
      <alignment horizontal="center" vertical="center"/>
    </xf>
    <xf numFmtId="3" fontId="63" fillId="5" borderId="57" xfId="0" applyNumberFormat="1" applyFont="1" applyFill="1" applyBorder="1" applyAlignment="1">
      <alignment horizontal="center" vertical="center"/>
    </xf>
    <xf numFmtId="169" fontId="11" fillId="5" borderId="37" xfId="0" applyNumberFormat="1" applyFont="1" applyFill="1" applyBorder="1" applyAlignment="1">
      <alignment horizontal="center" vertical="center"/>
    </xf>
    <xf numFmtId="3" fontId="11" fillId="0" borderId="62" xfId="1" applyNumberFormat="1" applyFont="1" applyBorder="1" applyAlignment="1">
      <alignment vertical="center"/>
    </xf>
    <xf numFmtId="3" fontId="11" fillId="0" borderId="0" xfId="1" applyNumberFormat="1" applyFont="1" applyAlignment="1">
      <alignment vertical="center"/>
    </xf>
    <xf numFmtId="3" fontId="11" fillId="0" borderId="58" xfId="1" applyNumberFormat="1" applyFont="1" applyBorder="1" applyAlignment="1">
      <alignment vertical="center"/>
    </xf>
    <xf numFmtId="3" fontId="59" fillId="5" borderId="57" xfId="1" applyNumberFormat="1" applyFont="1" applyFill="1" applyBorder="1" applyAlignment="1">
      <alignment horizontal="center" vertical="center"/>
    </xf>
    <xf numFmtId="167" fontId="63" fillId="5" borderId="53" xfId="0" applyNumberFormat="1" applyFont="1" applyFill="1" applyBorder="1" applyAlignment="1">
      <alignment horizontal="center" vertical="center"/>
    </xf>
    <xf numFmtId="3" fontId="59" fillId="5" borderId="4" xfId="1" applyNumberFormat="1" applyFont="1" applyFill="1" applyBorder="1" applyAlignment="1">
      <alignment horizontal="center" vertical="center"/>
    </xf>
    <xf numFmtId="3" fontId="59" fillId="5" borderId="30" xfId="1" applyNumberFormat="1" applyFont="1" applyFill="1" applyBorder="1" applyAlignment="1">
      <alignment horizontal="center" vertical="center"/>
    </xf>
    <xf numFmtId="169" fontId="11" fillId="5" borderId="53" xfId="0" applyNumberFormat="1" applyFont="1" applyFill="1" applyBorder="1" applyAlignment="1">
      <alignment horizontal="center" vertical="center"/>
    </xf>
    <xf numFmtId="3" fontId="59" fillId="5" borderId="55" xfId="1" applyNumberFormat="1" applyFont="1" applyFill="1" applyBorder="1" applyAlignment="1">
      <alignment horizontal="center" vertical="center"/>
    </xf>
    <xf numFmtId="0" fontId="23" fillId="0" borderId="63" xfId="9" applyBorder="1"/>
    <xf numFmtId="167" fontId="59" fillId="5" borderId="37" xfId="1" applyNumberFormat="1" applyFont="1" applyFill="1" applyBorder="1" applyAlignment="1">
      <alignment horizontal="center" vertical="center"/>
    </xf>
    <xf numFmtId="167" fontId="11" fillId="5" borderId="64" xfId="1" applyNumberFormat="1" applyFont="1" applyFill="1" applyBorder="1" applyAlignment="1">
      <alignment horizontal="center" vertical="center"/>
    </xf>
    <xf numFmtId="3" fontId="60" fillId="5" borderId="65" xfId="1" applyNumberFormat="1" applyFont="1" applyFill="1" applyBorder="1" applyAlignment="1">
      <alignment horizontal="center" vertical="center"/>
    </xf>
    <xf numFmtId="3" fontId="60" fillId="5" borderId="66" xfId="1" applyNumberFormat="1" applyFont="1" applyFill="1" applyBorder="1" applyAlignment="1">
      <alignment horizontal="center" vertical="center"/>
    </xf>
    <xf numFmtId="3" fontId="11" fillId="5" borderId="54" xfId="1" applyNumberFormat="1" applyFont="1" applyFill="1" applyBorder="1" applyAlignment="1">
      <alignment horizontal="center" vertical="center"/>
    </xf>
    <xf numFmtId="3" fontId="11" fillId="5" borderId="55" xfId="1" applyNumberFormat="1" applyFont="1" applyFill="1" applyBorder="1" applyAlignment="1">
      <alignment horizontal="center" vertical="center"/>
    </xf>
    <xf numFmtId="3" fontId="11" fillId="0" borderId="67" xfId="1" applyNumberFormat="1" applyFont="1" applyBorder="1" applyAlignment="1">
      <alignment horizontal="right" vertical="center"/>
    </xf>
    <xf numFmtId="3" fontId="60" fillId="0" borderId="67" xfId="1" applyNumberFormat="1" applyFont="1" applyBorder="1" applyAlignment="1">
      <alignment horizontal="right" vertical="center"/>
    </xf>
    <xf numFmtId="3" fontId="60" fillId="0" borderId="0" xfId="1" applyNumberFormat="1" applyFont="1" applyAlignment="1">
      <alignment horizontal="right" vertical="center"/>
    </xf>
    <xf numFmtId="3" fontId="11" fillId="0" borderId="56" xfId="1" applyNumberFormat="1" applyFont="1" applyBorder="1" applyAlignment="1">
      <alignment horizontal="right" vertical="center"/>
    </xf>
    <xf numFmtId="3" fontId="60" fillId="0" borderId="56" xfId="1" applyNumberFormat="1" applyFont="1" applyBorder="1" applyAlignment="1">
      <alignment horizontal="right" vertical="center"/>
    </xf>
    <xf numFmtId="3" fontId="63" fillId="5" borderId="30" xfId="0" applyNumberFormat="1" applyFont="1" applyFill="1" applyBorder="1" applyAlignment="1">
      <alignment horizontal="center" vertical="center"/>
    </xf>
    <xf numFmtId="3" fontId="11" fillId="5" borderId="4" xfId="1" applyNumberFormat="1" applyFont="1" applyFill="1" applyBorder="1" applyAlignment="1">
      <alignment vertical="center"/>
    </xf>
    <xf numFmtId="3" fontId="11" fillId="5" borderId="53" xfId="1" applyNumberFormat="1" applyFont="1" applyFill="1" applyBorder="1" applyAlignment="1">
      <alignment vertical="center"/>
    </xf>
    <xf numFmtId="3" fontId="11" fillId="0" borderId="30" xfId="1" applyNumberFormat="1" applyFont="1" applyBorder="1" applyAlignment="1">
      <alignment vertical="center"/>
    </xf>
    <xf numFmtId="167" fontId="11" fillId="5" borderId="68" xfId="1" applyNumberFormat="1" applyFont="1" applyFill="1" applyBorder="1" applyAlignment="1">
      <alignment horizontal="center" vertical="center"/>
    </xf>
    <xf numFmtId="3" fontId="60" fillId="5" borderId="69" xfId="1" applyNumberFormat="1" applyFont="1" applyFill="1" applyBorder="1" applyAlignment="1">
      <alignment horizontal="center" vertical="center"/>
    </xf>
    <xf numFmtId="3" fontId="60" fillId="5" borderId="70" xfId="1" applyNumberFormat="1" applyFont="1" applyFill="1" applyBorder="1" applyAlignment="1">
      <alignment horizontal="center" vertical="center"/>
    </xf>
    <xf numFmtId="0" fontId="0" fillId="17" borderId="0" xfId="0" applyFill="1"/>
    <xf numFmtId="3" fontId="41" fillId="17" borderId="0" xfId="0" applyNumberFormat="1" applyFont="1" applyFill="1"/>
    <xf numFmtId="3" fontId="64" fillId="0" borderId="0" xfId="0" applyNumberFormat="1" applyFont="1"/>
    <xf numFmtId="0" fontId="64" fillId="0" borderId="0" xfId="0" applyFont="1"/>
    <xf numFmtId="3" fontId="64" fillId="17" borderId="0" xfId="0" applyNumberFormat="1" applyFont="1" applyFill="1"/>
    <xf numFmtId="0" fontId="64" fillId="17" borderId="0" xfId="0" applyFont="1" applyFill="1"/>
    <xf numFmtId="0" fontId="64" fillId="0" borderId="0" xfId="0" quotePrefix="1" applyFont="1" applyAlignment="1">
      <alignment horizontal="center"/>
    </xf>
    <xf numFmtId="3" fontId="65" fillId="17" borderId="0" xfId="0" applyNumberFormat="1" applyFont="1" applyFill="1"/>
    <xf numFmtId="0" fontId="65" fillId="17" borderId="0" xfId="0" applyFont="1" applyFill="1"/>
    <xf numFmtId="0" fontId="41" fillId="0" borderId="0" xfId="0" applyFont="1"/>
    <xf numFmtId="4" fontId="11" fillId="5" borderId="56" xfId="1" applyNumberFormat="1" applyFont="1" applyFill="1" applyBorder="1" applyAlignment="1">
      <alignment horizontal="right" vertical="center"/>
    </xf>
    <xf numFmtId="4" fontId="11" fillId="0" borderId="56" xfId="1" applyNumberFormat="1" applyFont="1" applyFill="1" applyBorder="1" applyAlignment="1">
      <alignment horizontal="right" vertical="center"/>
    </xf>
    <xf numFmtId="3" fontId="11" fillId="0" borderId="0" xfId="1" applyNumberFormat="1" applyFont="1" applyFill="1" applyBorder="1" applyAlignment="1">
      <alignment horizontal="right" vertical="center"/>
    </xf>
    <xf numFmtId="3" fontId="56" fillId="0" borderId="0" xfId="9" applyNumberFormat="1" applyFont="1" applyFill="1" applyBorder="1" applyAlignment="1">
      <alignment horizontal="center" vertical="center"/>
    </xf>
    <xf numFmtId="0" fontId="54" fillId="0" borderId="0" xfId="9" quotePrefix="1" applyFont="1"/>
    <xf numFmtId="0" fontId="62" fillId="0" borderId="0" xfId="9" applyFont="1"/>
    <xf numFmtId="4" fontId="11" fillId="19" borderId="56" xfId="1" applyNumberFormat="1" applyFont="1" applyFill="1" applyBorder="1" applyAlignment="1">
      <alignment horizontal="right" vertical="center"/>
    </xf>
    <xf numFmtId="3" fontId="11" fillId="19" borderId="56" xfId="1" applyNumberFormat="1" applyFont="1" applyFill="1" applyBorder="1" applyAlignment="1">
      <alignment horizontal="right" vertical="center"/>
    </xf>
    <xf numFmtId="3" fontId="56" fillId="20" borderId="17" xfId="9" applyNumberFormat="1" applyFont="1" applyFill="1" applyBorder="1" applyAlignment="1">
      <alignment horizontal="center" vertical="center"/>
    </xf>
    <xf numFmtId="3" fontId="66" fillId="5" borderId="0" xfId="0" applyNumberFormat="1" applyFont="1" applyFill="1"/>
    <xf numFmtId="0" fontId="66" fillId="5" borderId="0" xfId="0" applyFont="1" applyFill="1"/>
    <xf numFmtId="0" fontId="67" fillId="0" borderId="0" xfId="0" quotePrefix="1" applyFont="1" applyAlignment="1">
      <alignment horizontal="center"/>
    </xf>
    <xf numFmtId="0" fontId="67" fillId="0" borderId="0" xfId="0" applyFont="1"/>
    <xf numFmtId="3" fontId="62" fillId="5" borderId="0" xfId="0" applyNumberFormat="1" applyFont="1" applyFill="1"/>
    <xf numFmtId="167" fontId="10" fillId="3" borderId="51" xfId="0" applyNumberFormat="1" applyFont="1" applyFill="1" applyBorder="1" applyAlignment="1">
      <alignment vertical="center"/>
    </xf>
    <xf numFmtId="0" fontId="41" fillId="3" borderId="0" xfId="0" applyFont="1" applyFill="1" applyAlignment="1">
      <alignment vertical="center"/>
    </xf>
    <xf numFmtId="0" fontId="53" fillId="0" borderId="0" xfId="9" applyFont="1"/>
    <xf numFmtId="3" fontId="68" fillId="10" borderId="17" xfId="9" applyNumberFormat="1" applyFont="1" applyFill="1" applyBorder="1" applyAlignment="1">
      <alignment horizontal="center" vertical="center"/>
    </xf>
    <xf numFmtId="3" fontId="11" fillId="5" borderId="67" xfId="1" applyNumberFormat="1" applyFont="1" applyFill="1" applyBorder="1" applyAlignment="1">
      <alignment horizontal="right" vertical="center"/>
    </xf>
    <xf numFmtId="0" fontId="0" fillId="0" borderId="17" xfId="0" applyBorder="1"/>
    <xf numFmtId="3" fontId="11" fillId="5" borderId="73" xfId="1" applyNumberFormat="1" applyFont="1" applyFill="1" applyBorder="1" applyAlignment="1">
      <alignment horizontal="right" vertical="center"/>
    </xf>
    <xf numFmtId="0" fontId="0" fillId="0" borderId="74" xfId="0" applyBorder="1"/>
    <xf numFmtId="166" fontId="11" fillId="0" borderId="56" xfId="1" applyNumberFormat="1" applyFont="1" applyFill="1" applyBorder="1" applyAlignment="1">
      <alignment horizontal="right" vertical="center"/>
    </xf>
    <xf numFmtId="166" fontId="11" fillId="0" borderId="73" xfId="1" applyNumberFormat="1" applyFont="1" applyFill="1" applyBorder="1" applyAlignment="1">
      <alignment horizontal="right" vertical="center"/>
    </xf>
    <xf numFmtId="166" fontId="11" fillId="0" borderId="67" xfId="1" applyNumberFormat="1" applyFont="1" applyFill="1" applyBorder="1" applyAlignment="1">
      <alignment horizontal="right" vertical="center"/>
    </xf>
    <xf numFmtId="166" fontId="0" fillId="0" borderId="0" xfId="0" applyNumberFormat="1"/>
    <xf numFmtId="166" fontId="10" fillId="5" borderId="0" xfId="0" applyNumberFormat="1" applyFont="1" applyFill="1"/>
    <xf numFmtId="3" fontId="12" fillId="15" borderId="17" xfId="0" applyNumberFormat="1" applyFont="1" applyFill="1" applyBorder="1" applyAlignment="1">
      <alignment horizontal="center" vertical="center"/>
    </xf>
    <xf numFmtId="0" fontId="4" fillId="15" borderId="17" xfId="0" applyFont="1" applyFill="1" applyBorder="1" applyAlignment="1">
      <alignment horizontal="center" vertical="center"/>
    </xf>
    <xf numFmtId="164" fontId="23" fillId="0" borderId="0" xfId="2" applyNumberFormat="1" applyFont="1"/>
    <xf numFmtId="3" fontId="10" fillId="0" borderId="52" xfId="0" applyNumberFormat="1" applyFont="1" applyFill="1" applyBorder="1" applyAlignment="1">
      <alignment vertical="center"/>
    </xf>
    <xf numFmtId="3" fontId="10" fillId="0" borderId="51" xfId="0" applyNumberFormat="1" applyFont="1" applyFill="1" applyBorder="1" applyAlignment="1">
      <alignment vertical="center"/>
    </xf>
    <xf numFmtId="0" fontId="11" fillId="3" borderId="0" xfId="0" quotePrefix="1" applyFont="1" applyFill="1" applyAlignment="1">
      <alignment horizontal="left" vertical="center" indent="2"/>
    </xf>
    <xf numFmtId="167" fontId="62" fillId="3" borderId="52" xfId="0" applyNumberFormat="1" applyFont="1" applyFill="1" applyBorder="1" applyAlignment="1">
      <alignment vertical="center"/>
    </xf>
    <xf numFmtId="3" fontId="62" fillId="3" borderId="51" xfId="0" applyNumberFormat="1" applyFont="1" applyFill="1" applyBorder="1" applyAlignment="1">
      <alignment vertical="center"/>
    </xf>
    <xf numFmtId="0" fontId="9" fillId="3" borderId="0" xfId="0" quotePrefix="1" applyFont="1" applyFill="1" applyAlignment="1">
      <alignment horizontal="left" vertical="center" indent="2"/>
    </xf>
    <xf numFmtId="4" fontId="62" fillId="3" borderId="50" xfId="0" applyNumberFormat="1" applyFont="1" applyFill="1" applyBorder="1" applyAlignment="1">
      <alignment horizontal="right" vertical="center"/>
    </xf>
    <xf numFmtId="166" fontId="4" fillId="3" borderId="50" xfId="0" applyNumberFormat="1" applyFont="1" applyFill="1" applyBorder="1" applyAlignment="1">
      <alignment horizontal="right" vertical="center"/>
    </xf>
    <xf numFmtId="0" fontId="4" fillId="5" borderId="0" xfId="0" applyFont="1" applyFill="1" applyAlignment="1">
      <alignment horizontal="left" vertical="center" indent="1"/>
    </xf>
    <xf numFmtId="3" fontId="62" fillId="3" borderId="52" xfId="0" applyNumberFormat="1" applyFont="1" applyFill="1" applyBorder="1" applyAlignment="1">
      <alignment vertical="center"/>
    </xf>
    <xf numFmtId="0" fontId="40" fillId="0" borderId="0" xfId="26" applyAlignment="1">
      <alignment vertical="center"/>
    </xf>
    <xf numFmtId="0" fontId="9" fillId="3" borderId="37" xfId="3" applyFont="1" applyFill="1" applyBorder="1"/>
    <xf numFmtId="0" fontId="9" fillId="3" borderId="38" xfId="3" applyFont="1" applyFill="1" applyBorder="1"/>
    <xf numFmtId="0" fontId="27" fillId="15" borderId="0" xfId="0" applyFont="1" applyFill="1" applyAlignment="1">
      <alignment horizontal="center" vertical="center"/>
    </xf>
    <xf numFmtId="0" fontId="27" fillId="15" borderId="17" xfId="0" applyFont="1" applyFill="1" applyBorder="1" applyAlignment="1">
      <alignment horizontal="center" vertical="center"/>
    </xf>
    <xf numFmtId="4" fontId="22" fillId="3" borderId="50" xfId="0" applyNumberFormat="1" applyFont="1" applyFill="1" applyBorder="1" applyAlignment="1">
      <alignment horizontal="right" vertical="center"/>
    </xf>
    <xf numFmtId="9" fontId="11" fillId="3" borderId="0" xfId="2" applyFont="1" applyFill="1"/>
    <xf numFmtId="0" fontId="11" fillId="3" borderId="0" xfId="0" applyFont="1" applyFill="1"/>
    <xf numFmtId="9" fontId="12" fillId="3" borderId="0" xfId="2" applyFont="1" applyFill="1"/>
    <xf numFmtId="3" fontId="0" fillId="3" borderId="52" xfId="0" applyNumberFormat="1" applyFont="1" applyFill="1" applyBorder="1" applyAlignment="1">
      <alignment vertical="center"/>
    </xf>
    <xf numFmtId="0" fontId="12" fillId="3" borderId="40" xfId="0" applyFont="1" applyFill="1" applyBorder="1" applyAlignment="1">
      <alignment horizontal="left" vertical="center" wrapText="1"/>
    </xf>
    <xf numFmtId="0" fontId="11" fillId="0" borderId="37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 wrapText="1"/>
    </xf>
    <xf numFmtId="3" fontId="25" fillId="7" borderId="3" xfId="0" applyNumberFormat="1" applyFont="1" applyFill="1" applyBorder="1" applyAlignment="1">
      <alignment horizontal="right" vertical="center"/>
    </xf>
    <xf numFmtId="3" fontId="11" fillId="5" borderId="3" xfId="0" applyNumberFormat="1" applyFont="1" applyFill="1" applyBorder="1" applyAlignment="1">
      <alignment horizontal="right" vertical="center"/>
    </xf>
    <xf numFmtId="3" fontId="11" fillId="5" borderId="57" xfId="0" applyNumberFormat="1" applyFont="1" applyFill="1" applyBorder="1" applyAlignment="1">
      <alignment horizontal="right" vertical="center"/>
    </xf>
    <xf numFmtId="3" fontId="11" fillId="3" borderId="34" xfId="0" applyNumberFormat="1" applyFont="1" applyFill="1" applyBorder="1" applyAlignment="1">
      <alignment horizontal="right" vertical="center"/>
    </xf>
    <xf numFmtId="3" fontId="11" fillId="3" borderId="35" xfId="0" applyNumberFormat="1" applyFont="1" applyFill="1" applyBorder="1" applyAlignment="1">
      <alignment horizontal="right" vertical="center"/>
    </xf>
    <xf numFmtId="3" fontId="27" fillId="0" borderId="1" xfId="0" applyNumberFormat="1" applyFont="1" applyBorder="1" applyAlignment="1">
      <alignment horizontal="center" vertical="center"/>
    </xf>
    <xf numFmtId="3" fontId="7" fillId="0" borderId="1" xfId="3" applyNumberFormat="1" applyFont="1" applyBorder="1" applyAlignment="1" applyProtection="1">
      <alignment horizontal="center"/>
      <protection locked="0"/>
    </xf>
    <xf numFmtId="166" fontId="11" fillId="5" borderId="7" xfId="0" applyNumberFormat="1" applyFont="1" applyFill="1" applyBorder="1" applyAlignment="1">
      <alignment horizontal="right" indent="1"/>
    </xf>
    <xf numFmtId="166" fontId="11" fillId="5" borderId="1" xfId="0" applyNumberFormat="1" applyFont="1" applyFill="1" applyBorder="1" applyAlignment="1">
      <alignment horizontal="right" indent="1"/>
    </xf>
    <xf numFmtId="166" fontId="11" fillId="5" borderId="11" xfId="0" applyNumberFormat="1" applyFont="1" applyFill="1" applyBorder="1" applyAlignment="1">
      <alignment horizontal="right" indent="1"/>
    </xf>
    <xf numFmtId="3" fontId="9" fillId="7" borderId="1" xfId="0" applyNumberFormat="1" applyFont="1" applyFill="1" applyBorder="1" applyAlignment="1">
      <alignment vertical="center"/>
    </xf>
    <xf numFmtId="3" fontId="11" fillId="5" borderId="7" xfId="0" applyNumberFormat="1" applyFont="1" applyFill="1" applyBorder="1" applyAlignment="1">
      <alignment horizontal="right" indent="1"/>
    </xf>
    <xf numFmtId="3" fontId="11" fillId="5" borderId="1" xfId="0" applyNumberFormat="1" applyFont="1" applyFill="1" applyBorder="1" applyAlignment="1">
      <alignment horizontal="right" indent="1"/>
    </xf>
    <xf numFmtId="3" fontId="11" fillId="5" borderId="11" xfId="0" applyNumberFormat="1" applyFont="1" applyFill="1" applyBorder="1" applyAlignment="1">
      <alignment horizontal="right" indent="1"/>
    </xf>
    <xf numFmtId="3" fontId="11" fillId="5" borderId="7" xfId="0" applyNumberFormat="1" applyFont="1" applyFill="1" applyBorder="1" applyAlignment="1">
      <alignment horizontal="right" vertical="center"/>
    </xf>
    <xf numFmtId="3" fontId="11" fillId="5" borderId="41" xfId="0" applyNumberFormat="1" applyFont="1" applyFill="1" applyBorder="1" applyAlignment="1">
      <alignment horizontal="right" vertical="center"/>
    </xf>
    <xf numFmtId="3" fontId="7" fillId="0" borderId="1" xfId="3" applyNumberFormat="1" applyFont="1" applyBorder="1" applyAlignment="1" applyProtection="1">
      <alignment horizontal="right" vertical="center"/>
      <protection locked="0"/>
    </xf>
    <xf numFmtId="3" fontId="7" fillId="0" borderId="40" xfId="3" applyNumberFormat="1" applyFont="1" applyBorder="1" applyAlignment="1" applyProtection="1">
      <alignment horizontal="right" vertical="center"/>
      <protection locked="0"/>
    </xf>
    <xf numFmtId="3" fontId="7" fillId="0" borderId="40" xfId="3" applyNumberFormat="1" applyFont="1" applyBorder="1" applyAlignment="1" applyProtection="1">
      <alignment horizontal="center" vertical="center"/>
      <protection locked="0"/>
    </xf>
    <xf numFmtId="3" fontId="25" fillId="7" borderId="34" xfId="0" applyNumberFormat="1" applyFont="1" applyFill="1" applyBorder="1" applyAlignment="1">
      <alignment horizontal="right" vertical="center"/>
    </xf>
    <xf numFmtId="3" fontId="11" fillId="5" borderId="15" xfId="0" applyNumberFormat="1" applyFont="1" applyFill="1" applyBorder="1" applyAlignment="1">
      <alignment horizontal="right" vertical="center"/>
    </xf>
    <xf numFmtId="3" fontId="11" fillId="3" borderId="47" xfId="0" applyNumberFormat="1" applyFont="1" applyFill="1" applyBorder="1" applyAlignment="1">
      <alignment horizontal="right" vertical="center"/>
    </xf>
    <xf numFmtId="3" fontId="7" fillId="0" borderId="3" xfId="3" applyNumberFormat="1" applyFont="1" applyBorder="1" applyAlignment="1" applyProtection="1">
      <alignment horizontal="right" vertical="center"/>
      <protection locked="0"/>
    </xf>
    <xf numFmtId="3" fontId="7" fillId="0" borderId="34" xfId="3" applyNumberFormat="1" applyFont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>
      <alignment horizontal="center"/>
    </xf>
    <xf numFmtId="0" fontId="4" fillId="3" borderId="23" xfId="0" applyFont="1" applyFill="1" applyBorder="1" applyAlignment="1">
      <alignment horizontal="center"/>
    </xf>
    <xf numFmtId="0" fontId="9" fillId="3" borderId="23" xfId="0" applyFont="1" applyFill="1" applyBorder="1"/>
    <xf numFmtId="0" fontId="9" fillId="3" borderId="24" xfId="0" applyFont="1" applyFill="1" applyBorder="1"/>
    <xf numFmtId="0" fontId="12" fillId="0" borderId="8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4" fillId="3" borderId="25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2" fillId="5" borderId="7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2" fillId="5" borderId="11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0" fontId="12" fillId="3" borderId="11" xfId="0" applyFont="1" applyFill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26" fillId="3" borderId="28" xfId="0" applyFont="1" applyFill="1" applyBorder="1" applyAlignment="1">
      <alignment horizontal="center" vertical="center" wrapText="1"/>
    </xf>
    <xf numFmtId="0" fontId="26" fillId="3" borderId="40" xfId="0" applyFont="1" applyFill="1" applyBorder="1" applyAlignment="1">
      <alignment horizontal="center" vertical="center" wrapText="1"/>
    </xf>
    <xf numFmtId="0" fontId="12" fillId="0" borderId="22" xfId="0" applyFont="1" applyBorder="1" applyAlignment="1">
      <alignment horizontal="center" wrapText="1"/>
    </xf>
    <xf numFmtId="0" fontId="12" fillId="0" borderId="23" xfId="0" applyFont="1" applyBorder="1" applyAlignment="1">
      <alignment horizontal="center" wrapText="1"/>
    </xf>
    <xf numFmtId="0" fontId="12" fillId="0" borderId="24" xfId="0" applyFont="1" applyBorder="1" applyAlignment="1">
      <alignment horizont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4" fillId="7" borderId="25" xfId="0" applyFont="1" applyFill="1" applyBorder="1" applyAlignment="1">
      <alignment horizontal="center" vertical="center" wrapText="1"/>
    </xf>
    <xf numFmtId="0" fontId="4" fillId="7" borderId="26" xfId="0" applyFont="1" applyFill="1" applyBorder="1" applyAlignment="1">
      <alignment horizontal="center" vertical="center" wrapText="1"/>
    </xf>
    <xf numFmtId="0" fontId="4" fillId="3" borderId="26" xfId="0" applyFont="1" applyFill="1" applyBorder="1" applyAlignment="1">
      <alignment horizontal="center" vertical="center" wrapText="1"/>
    </xf>
    <xf numFmtId="0" fontId="52" fillId="0" borderId="0" xfId="0" applyFont="1" applyAlignment="1">
      <alignment horizontal="center" wrapText="1"/>
    </xf>
    <xf numFmtId="0" fontId="29" fillId="9" borderId="31" xfId="3" applyFont="1" applyFill="1" applyBorder="1" applyProtection="1">
      <protection locked="0"/>
    </xf>
    <xf numFmtId="0" fontId="29" fillId="9" borderId="32" xfId="3" applyFont="1" applyFill="1" applyBorder="1" applyProtection="1">
      <protection locked="0"/>
    </xf>
    <xf numFmtId="0" fontId="29" fillId="9" borderId="36" xfId="3" applyFont="1" applyFill="1" applyBorder="1" applyProtection="1">
      <protection locked="0"/>
    </xf>
    <xf numFmtId="0" fontId="29" fillId="9" borderId="31" xfId="3" applyFont="1" applyFill="1" applyBorder="1"/>
    <xf numFmtId="0" fontId="29" fillId="9" borderId="32" xfId="3" applyFont="1" applyFill="1" applyBorder="1"/>
    <xf numFmtId="0" fontId="29" fillId="9" borderId="36" xfId="3" applyFont="1" applyFill="1" applyBorder="1"/>
    <xf numFmtId="0" fontId="0" fillId="0" borderId="1" xfId="0" applyBorder="1" applyAlignment="1">
      <alignment horizontal="center"/>
    </xf>
    <xf numFmtId="0" fontId="4" fillId="3" borderId="0" xfId="3" quotePrefix="1" applyFont="1" applyFill="1" applyAlignment="1">
      <alignment horizontal="center" vertical="center" wrapText="1"/>
    </xf>
    <xf numFmtId="0" fontId="34" fillId="3" borderId="5" xfId="0" applyFont="1" applyFill="1" applyBorder="1" applyAlignment="1">
      <alignment horizontal="center" vertical="center"/>
    </xf>
    <xf numFmtId="0" fontId="34" fillId="3" borderId="6" xfId="0" applyFont="1" applyFill="1" applyBorder="1" applyAlignment="1">
      <alignment horizontal="center" vertical="center"/>
    </xf>
    <xf numFmtId="0" fontId="34" fillId="3" borderId="7" xfId="0" applyFont="1" applyFill="1" applyBorder="1" applyAlignment="1">
      <alignment horizontal="center" vertical="center"/>
    </xf>
    <xf numFmtId="0" fontId="10" fillId="12" borderId="0" xfId="0" applyFont="1" applyFill="1" applyAlignment="1">
      <alignment horizontal="center" vertical="center" wrapText="1"/>
    </xf>
    <xf numFmtId="0" fontId="10" fillId="10" borderId="0" xfId="0" applyFont="1" applyFill="1" applyAlignment="1">
      <alignment horizontal="center" vertical="center"/>
    </xf>
    <xf numFmtId="0" fontId="11" fillId="10" borderId="0" xfId="0" applyFont="1" applyFill="1" applyAlignment="1">
      <alignment horizontal="center" vertical="center"/>
    </xf>
    <xf numFmtId="0" fontId="12" fillId="7" borderId="0" xfId="0" applyFont="1" applyFill="1" applyAlignment="1">
      <alignment horizontal="center" vertical="center"/>
    </xf>
    <xf numFmtId="0" fontId="11" fillId="7" borderId="0" xfId="0" applyFont="1" applyFill="1" applyAlignment="1">
      <alignment horizontal="center" vertical="center"/>
    </xf>
    <xf numFmtId="0" fontId="10" fillId="4" borderId="0" xfId="0" applyFont="1" applyFill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10" fillId="6" borderId="0" xfId="0" applyFont="1" applyFill="1" applyAlignment="1">
      <alignment horizontal="center" vertical="center"/>
    </xf>
    <xf numFmtId="0" fontId="11" fillId="6" borderId="0" xfId="0" applyFont="1" applyFill="1" applyAlignment="1">
      <alignment horizontal="center" vertical="center"/>
    </xf>
    <xf numFmtId="0" fontId="10" fillId="15" borderId="0" xfId="0" applyFont="1" applyFill="1" applyAlignment="1">
      <alignment horizontal="center" vertical="center"/>
    </xf>
    <xf numFmtId="0" fontId="11" fillId="15" borderId="0" xfId="0" applyFont="1" applyFill="1" applyAlignment="1">
      <alignment horizontal="center" vertical="center"/>
    </xf>
    <xf numFmtId="3" fontId="11" fillId="5" borderId="56" xfId="1" applyNumberFormat="1" applyFont="1" applyFill="1" applyBorder="1" applyAlignment="1">
      <alignment horizontal="center" vertical="center"/>
    </xf>
    <xf numFmtId="3" fontId="11" fillId="0" borderId="56" xfId="1" applyNumberFormat="1" applyFont="1" applyFill="1" applyBorder="1" applyAlignment="1">
      <alignment horizontal="center" vertical="center"/>
    </xf>
    <xf numFmtId="3" fontId="59" fillId="5" borderId="56" xfId="1" applyNumberFormat="1" applyFont="1" applyFill="1" applyBorder="1" applyAlignment="1">
      <alignment horizontal="center" vertical="center"/>
    </xf>
    <xf numFmtId="3" fontId="59" fillId="0" borderId="56" xfId="1" applyNumberFormat="1" applyFont="1" applyFill="1" applyBorder="1" applyAlignment="1">
      <alignment horizontal="center" vertical="center"/>
    </xf>
    <xf numFmtId="3" fontId="11" fillId="5" borderId="54" xfId="1" applyNumberFormat="1" applyFont="1" applyFill="1" applyBorder="1" applyAlignment="1">
      <alignment horizontal="center" vertical="center"/>
    </xf>
    <xf numFmtId="3" fontId="11" fillId="5" borderId="37" xfId="1" applyNumberFormat="1" applyFont="1" applyFill="1" applyBorder="1" applyAlignment="1">
      <alignment horizontal="center" vertical="center"/>
    </xf>
    <xf numFmtId="3" fontId="11" fillId="5" borderId="53" xfId="1" applyNumberFormat="1" applyFont="1" applyFill="1" applyBorder="1" applyAlignment="1">
      <alignment horizontal="center" vertical="center"/>
    </xf>
    <xf numFmtId="3" fontId="11" fillId="5" borderId="2" xfId="1" applyNumberFormat="1" applyFont="1" applyFill="1" applyBorder="1" applyAlignment="1">
      <alignment horizontal="center" vertical="center"/>
    </xf>
    <xf numFmtId="3" fontId="11" fillId="5" borderId="3" xfId="1" applyNumberFormat="1" applyFont="1" applyFill="1" applyBorder="1" applyAlignment="1">
      <alignment horizontal="center" vertical="center"/>
    </xf>
    <xf numFmtId="3" fontId="11" fillId="5" borderId="4" xfId="1" applyNumberFormat="1" applyFont="1" applyFill="1" applyBorder="1" applyAlignment="1">
      <alignment horizontal="center" vertical="center"/>
    </xf>
    <xf numFmtId="3" fontId="11" fillId="0" borderId="55" xfId="1" applyNumberFormat="1" applyFont="1" applyBorder="1" applyAlignment="1">
      <alignment horizontal="center" vertical="center"/>
    </xf>
    <xf numFmtId="3" fontId="11" fillId="0" borderId="57" xfId="1" applyNumberFormat="1" applyFont="1" applyBorder="1" applyAlignment="1">
      <alignment horizontal="center" vertical="center"/>
    </xf>
    <xf numFmtId="3" fontId="11" fillId="0" borderId="30" xfId="1" applyNumberFormat="1" applyFont="1" applyBorder="1" applyAlignment="1">
      <alignment horizontal="center" vertical="center"/>
    </xf>
    <xf numFmtId="0" fontId="41" fillId="18" borderId="0" xfId="9" applyFont="1" applyFill="1" applyAlignment="1">
      <alignment horizontal="center"/>
    </xf>
    <xf numFmtId="3" fontId="59" fillId="5" borderId="71" xfId="1" applyNumberFormat="1" applyFont="1" applyFill="1" applyBorder="1" applyAlignment="1">
      <alignment horizontal="right" vertical="center"/>
    </xf>
    <xf numFmtId="3" fontId="59" fillId="5" borderId="72" xfId="1" applyNumberFormat="1" applyFont="1" applyFill="1" applyBorder="1" applyAlignment="1">
      <alignment horizontal="right" vertical="center"/>
    </xf>
    <xf numFmtId="3" fontId="59" fillId="5" borderId="67" xfId="1" applyNumberFormat="1" applyFont="1" applyFill="1" applyBorder="1" applyAlignment="1">
      <alignment horizontal="right" vertical="center"/>
    </xf>
    <xf numFmtId="3" fontId="59" fillId="0" borderId="71" xfId="1" applyNumberFormat="1" applyFont="1" applyFill="1" applyBorder="1" applyAlignment="1">
      <alignment horizontal="right" vertical="center"/>
    </xf>
    <xf numFmtId="3" fontId="59" fillId="0" borderId="72" xfId="1" applyNumberFormat="1" applyFont="1" applyFill="1" applyBorder="1" applyAlignment="1">
      <alignment horizontal="right" vertical="center"/>
    </xf>
    <xf numFmtId="3" fontId="59" fillId="0" borderId="67" xfId="1" applyNumberFormat="1" applyFont="1" applyFill="1" applyBorder="1" applyAlignment="1">
      <alignment horizontal="right" vertical="center"/>
    </xf>
    <xf numFmtId="4" fontId="59" fillId="5" borderId="71" xfId="1" applyNumberFormat="1" applyFont="1" applyFill="1" applyBorder="1" applyAlignment="1">
      <alignment horizontal="right" vertical="center"/>
    </xf>
    <xf numFmtId="4" fontId="59" fillId="5" borderId="72" xfId="1" applyNumberFormat="1" applyFont="1" applyFill="1" applyBorder="1" applyAlignment="1">
      <alignment horizontal="right" vertical="center"/>
    </xf>
    <xf numFmtId="4" fontId="59" fillId="5" borderId="67" xfId="1" applyNumberFormat="1" applyFont="1" applyFill="1" applyBorder="1" applyAlignment="1">
      <alignment horizontal="right" vertical="center"/>
    </xf>
    <xf numFmtId="4" fontId="59" fillId="19" borderId="71" xfId="1" applyNumberFormat="1" applyFont="1" applyFill="1" applyBorder="1" applyAlignment="1">
      <alignment horizontal="right" vertical="center"/>
    </xf>
    <xf numFmtId="4" fontId="59" fillId="19" borderId="72" xfId="1" applyNumberFormat="1" applyFont="1" applyFill="1" applyBorder="1" applyAlignment="1">
      <alignment horizontal="right" vertical="center"/>
    </xf>
    <xf numFmtId="4" fontId="59" fillId="19" borderId="67" xfId="1" applyNumberFormat="1" applyFont="1" applyFill="1" applyBorder="1" applyAlignment="1">
      <alignment horizontal="right" vertical="center"/>
    </xf>
    <xf numFmtId="3" fontId="59" fillId="19" borderId="71" xfId="1" applyNumberFormat="1" applyFont="1" applyFill="1" applyBorder="1" applyAlignment="1">
      <alignment horizontal="right" vertical="center"/>
    </xf>
    <xf numFmtId="3" fontId="59" fillId="19" borderId="72" xfId="1" applyNumberFormat="1" applyFont="1" applyFill="1" applyBorder="1" applyAlignment="1">
      <alignment horizontal="right" vertical="center"/>
    </xf>
    <xf numFmtId="3" fontId="59" fillId="19" borderId="67" xfId="1" applyNumberFormat="1" applyFont="1" applyFill="1" applyBorder="1" applyAlignment="1">
      <alignment horizontal="right" vertical="center"/>
    </xf>
    <xf numFmtId="166" fontId="4" fillId="3" borderId="50" xfId="0" applyNumberFormat="1" applyFont="1" applyFill="1" applyBorder="1" applyAlignment="1">
      <alignment horizontal="left" vertical="center"/>
    </xf>
    <xf numFmtId="0" fontId="62" fillId="3" borderId="0" xfId="0" applyFont="1" applyFill="1" applyAlignment="1">
      <alignment horizontal="left" vertical="center" indent="3"/>
    </xf>
    <xf numFmtId="0" fontId="6" fillId="3" borderId="0" xfId="0" applyFont="1" applyFill="1" applyAlignment="1">
      <alignment horizontal="left" vertical="center" indent="3"/>
    </xf>
  </cellXfs>
  <cellStyles count="28">
    <cellStyle name="Excel Built-in Normal" xfId="1"/>
    <cellStyle name="Hypertextový odkaz 2" xfId="26"/>
    <cellStyle name="Normální" xfId="0" builtinId="0"/>
    <cellStyle name="Normální 10" xfId="21"/>
    <cellStyle name="Normální 11" xfId="24"/>
    <cellStyle name="normální 2" xfId="4"/>
    <cellStyle name="Normální 2 10" xfId="23"/>
    <cellStyle name="Normální 2 11" xfId="25"/>
    <cellStyle name="normální 2 2" xfId="3"/>
    <cellStyle name="Normální 2 3" xfId="10"/>
    <cellStyle name="Normální 2 4" xfId="13"/>
    <cellStyle name="Normální 2 5" xfId="17"/>
    <cellStyle name="Normální 2 6" xfId="18"/>
    <cellStyle name="Normální 2 7" xfId="14"/>
    <cellStyle name="Normální 2 8" xfId="20"/>
    <cellStyle name="Normální 2 9" xfId="22"/>
    <cellStyle name="Normální 3" xfId="6"/>
    <cellStyle name="Normální 3 2" xfId="16"/>
    <cellStyle name="Normální 3 3" xfId="27"/>
    <cellStyle name="Normální 4" xfId="7"/>
    <cellStyle name="Normální 4 2" xfId="11"/>
    <cellStyle name="Normální 5" xfId="8"/>
    <cellStyle name="Normální 6" xfId="9"/>
    <cellStyle name="Normální 7" xfId="12"/>
    <cellStyle name="Normální 8" xfId="15"/>
    <cellStyle name="Normální 9" xfId="19"/>
    <cellStyle name="procent 2" xfId="5"/>
    <cellStyle name="Procenta" xfId="2" builtinId="5"/>
  </cellStyles>
  <dxfs count="57">
    <dxf>
      <font>
        <b val="0"/>
        <i/>
        <color theme="0" tint="-0.14996795556505021"/>
      </font>
    </dxf>
    <dxf>
      <font>
        <b val="0"/>
        <i/>
        <color theme="0" tint="-0.14996795556505021"/>
      </font>
    </dxf>
    <dxf>
      <font>
        <b val="0"/>
        <i/>
        <color theme="0" tint="-0.14996795556505021"/>
      </font>
    </dxf>
    <dxf>
      <font>
        <b val="0"/>
        <i/>
        <color theme="0" tint="-0.14996795556505021"/>
      </font>
    </dxf>
    <dxf>
      <font>
        <b val="0"/>
        <i/>
        <color theme="0" tint="-0.14996795556505021"/>
      </font>
    </dxf>
    <dxf>
      <font>
        <b val="0"/>
        <i/>
        <color theme="0" tint="-0.14996795556505021"/>
      </font>
    </dxf>
    <dxf>
      <font>
        <b val="0"/>
        <i/>
        <color theme="0" tint="-0.14996795556505021"/>
      </font>
    </dxf>
    <dxf>
      <font>
        <b val="0"/>
        <i/>
        <color theme="0" tint="-0.14996795556505021"/>
      </font>
    </dxf>
    <dxf>
      <font>
        <b val="0"/>
        <i/>
        <color theme="0" tint="-0.14996795556505021"/>
      </font>
    </dxf>
    <dxf>
      <font>
        <b val="0"/>
        <i/>
        <color theme="0" tint="-0.14996795556505021"/>
      </font>
    </dxf>
    <dxf>
      <font>
        <b val="0"/>
        <i/>
        <color theme="0" tint="-0.14996795556505021"/>
      </font>
    </dxf>
    <dxf>
      <font>
        <b val="0"/>
        <i/>
        <color theme="0" tint="-0.14996795556505021"/>
      </font>
    </dxf>
    <dxf>
      <font>
        <b val="0"/>
        <i/>
        <color theme="0" tint="-0.14996795556505021"/>
      </font>
    </dxf>
    <dxf>
      <font>
        <b val="0"/>
        <i/>
        <color theme="0" tint="-0.14996795556505021"/>
      </font>
    </dxf>
    <dxf>
      <font>
        <b val="0"/>
        <i/>
        <color theme="0" tint="-0.14996795556505021"/>
      </font>
    </dxf>
    <dxf>
      <font>
        <b val="0"/>
        <i/>
        <color theme="0" tint="-0.14996795556505021"/>
      </font>
    </dxf>
    <dxf>
      <font>
        <b val="0"/>
        <i/>
        <color theme="0" tint="-0.14996795556505021"/>
      </font>
    </dxf>
    <dxf>
      <font>
        <b val="0"/>
        <i/>
        <color theme="0" tint="-0.14996795556505021"/>
      </font>
    </dxf>
    <dxf>
      <font>
        <b val="0"/>
        <i/>
        <color theme="0" tint="-0.14996795556505021"/>
      </font>
    </dxf>
    <dxf>
      <font>
        <b val="0"/>
        <i/>
        <color theme="0" tint="-0.14996795556505021"/>
      </font>
    </dxf>
    <dxf>
      <font>
        <b val="0"/>
        <i/>
        <color theme="0" tint="-0.14996795556505021"/>
      </font>
    </dxf>
    <dxf>
      <font>
        <b val="0"/>
        <i/>
        <color theme="0" tint="-0.14996795556505021"/>
      </font>
    </dxf>
    <dxf>
      <font>
        <b val="0"/>
        <i/>
        <color theme="0" tint="-0.14996795556505021"/>
      </font>
    </dxf>
    <dxf>
      <font>
        <b val="0"/>
        <i/>
        <color theme="0" tint="-0.14996795556505021"/>
      </font>
    </dxf>
    <dxf>
      <font>
        <b val="0"/>
        <i/>
        <color theme="0" tint="-0.14996795556505021"/>
      </font>
    </dxf>
    <dxf>
      <font>
        <b val="0"/>
        <i/>
        <color theme="0" tint="-0.14996795556505021"/>
      </font>
    </dxf>
    <dxf>
      <font>
        <b val="0"/>
        <i/>
        <color theme="0" tint="-0.14996795556505021"/>
      </font>
    </dxf>
    <dxf>
      <font>
        <b val="0"/>
        <i/>
        <color theme="0" tint="-0.14996795556505021"/>
      </font>
    </dxf>
    <dxf>
      <font>
        <b val="0"/>
        <i/>
        <color theme="0" tint="-0.14996795556505021"/>
      </font>
    </dxf>
    <dxf>
      <font>
        <b val="0"/>
        <i/>
        <color theme="0" tint="-0.14996795556505021"/>
      </font>
    </dxf>
    <dxf>
      <font>
        <b val="0"/>
        <i/>
        <color theme="0" tint="-0.14996795556505021"/>
      </font>
    </dxf>
    <dxf>
      <font>
        <b val="0"/>
        <i/>
        <color theme="0" tint="-0.14996795556505021"/>
      </font>
    </dxf>
    <dxf>
      <font>
        <b val="0"/>
        <i/>
        <color theme="0" tint="-0.14996795556505021"/>
      </font>
    </dxf>
    <dxf>
      <font>
        <b val="0"/>
        <i/>
        <color theme="0" tint="-0.14996795556505021"/>
      </font>
    </dxf>
    <dxf>
      <font>
        <b val="0"/>
        <i/>
        <color theme="0" tint="-0.14996795556505021"/>
      </font>
    </dxf>
    <dxf>
      <font>
        <b val="0"/>
        <i/>
        <color theme="0" tint="-0.14996795556505021"/>
      </font>
    </dxf>
    <dxf>
      <font>
        <b val="0"/>
        <i/>
        <color theme="0" tint="-0.14996795556505021"/>
      </font>
    </dxf>
    <dxf>
      <font>
        <b val="0"/>
        <i/>
        <color theme="0" tint="-0.14996795556505021"/>
      </font>
    </dxf>
    <dxf>
      <font>
        <b val="0"/>
        <i/>
        <color theme="0" tint="-0.14996795556505021"/>
      </font>
    </dxf>
    <dxf>
      <font>
        <b val="0"/>
        <i/>
        <color theme="0" tint="-0.14996795556505021"/>
      </font>
    </dxf>
    <dxf>
      <font>
        <b val="0"/>
        <i/>
        <color theme="0" tint="-0.14996795556505021"/>
      </font>
    </dxf>
    <dxf>
      <font>
        <b val="0"/>
        <i/>
        <color theme="0" tint="-0.14996795556505021"/>
      </font>
    </dxf>
    <dxf>
      <font>
        <b val="0"/>
        <i/>
        <color theme="0" tint="-0.14996795556505021"/>
      </font>
    </dxf>
    <dxf>
      <font>
        <b val="0"/>
        <i/>
        <color theme="0" tint="-0.14996795556505021"/>
      </font>
    </dxf>
    <dxf>
      <font>
        <b val="0"/>
        <i/>
        <color theme="0" tint="-0.14996795556505021"/>
      </font>
    </dxf>
    <dxf>
      <font>
        <b val="0"/>
        <i/>
        <color theme="0" tint="-0.14996795556505021"/>
      </font>
    </dxf>
    <dxf>
      <font>
        <b val="0"/>
        <i/>
        <color theme="0" tint="-0.14996795556505021"/>
      </font>
    </dxf>
    <dxf>
      <font>
        <b val="0"/>
        <i/>
        <color theme="0" tint="-0.14996795556505021"/>
      </font>
    </dxf>
    <dxf>
      <font>
        <b val="0"/>
        <i/>
        <color theme="0" tint="-0.14996795556505021"/>
      </font>
    </dxf>
    <dxf>
      <font>
        <b val="0"/>
        <i/>
        <color theme="0" tint="-0.14996795556505021"/>
      </font>
    </dxf>
    <dxf>
      <font>
        <b val="0"/>
        <i/>
        <color theme="0" tint="-0.14996795556505021"/>
      </font>
    </dxf>
    <dxf>
      <font>
        <b val="0"/>
        <i/>
        <color theme="0" tint="-0.14996795556505021"/>
      </font>
    </dxf>
    <dxf>
      <font>
        <b val="0"/>
        <i/>
        <color theme="0" tint="-0.14996795556505021"/>
      </font>
    </dxf>
    <dxf>
      <font>
        <b val="0"/>
        <i/>
        <color theme="0" tint="-0.14996795556505021"/>
      </font>
    </dxf>
    <dxf>
      <font>
        <b val="0"/>
        <i/>
        <color theme="0" tint="-0.14996795556505021"/>
      </font>
    </dxf>
    <dxf>
      <font>
        <b val="0"/>
        <i/>
        <color theme="0" tint="-0.14996795556505021"/>
      </font>
    </dxf>
    <dxf>
      <font>
        <b val="0"/>
        <i/>
        <color theme="0" tint="-0.14996795556505021"/>
      </font>
    </dxf>
  </dxfs>
  <tableStyles count="0" defaultTableStyle="TableStyleMedium2" defaultPivotStyle="PivotStyleLight16"/>
  <colors>
    <mruColors>
      <color rgb="FFFABFBE"/>
      <color rgb="FFF0904E"/>
      <color rgb="FFFDCFCB"/>
      <color rgb="FFF9B8AD"/>
      <color rgb="FFF7AFB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externalLink" Target="externalLinks/externalLink6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HOLDING\Energeticke_sluzby\Nabidky\Aktivni\Verejna_sfera\Hustopece\nova_VZ\Nab&#237;dka\Nabidka_1\Vypocty\Osvetleni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vvcz-my.sharepoint.com/Enesa/ID2/3EEA0F7D-E167-4A81-8A32-A27280D276E7/0/202000-202999/202966/L/L/file/A/Rajhrad-v&#253;kaz%20celkem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Vilibald%20Zunt\Dokumenty\Praha\Liga%20servis\Hejduk\R%20-%20rok%202000%20a%20200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vvcz-my.sharepoint.com/Users/miklikr/AppData/Local/Microsoft/Windows/INetCache/Content.Outlook/WF2YFXFH/161123_Podana/16EN009_Praha_9_161121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vvcz-my.sharepoint.com/EVC/Cena_inv_MSA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vvcz-my.sharepoint.com/Enesa/ID2/3EEA0F7D-E167-4A81-8A32-A27280D276E7/0/202000-202999/202966/L/L/file/E/Rajhrad/Vodovod%20&#345;ad%20III.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dukty"/>
      <sheetName val="TOTAL"/>
      <sheetName val="seznam svítidel"/>
      <sheetName val="Seznam pro přílohu SES"/>
    </sheetNames>
    <sheetDataSet>
      <sheetData sheetId="0">
        <row r="3">
          <cell r="A3" t="str">
            <v>PROLUMIA LED Pro-Aqua II ECO HO 9,2W, 4000K, 1200lm</v>
          </cell>
          <cell r="B3"/>
          <cell r="C3">
            <v>9.1999999999999993</v>
          </cell>
          <cell r="D3">
            <v>1024.8</v>
          </cell>
          <cell r="E3">
            <v>350</v>
          </cell>
          <cell r="F3"/>
          <cell r="G3" t="str">
            <v>X</v>
          </cell>
          <cell r="H3" t="str">
            <v>✓</v>
          </cell>
          <cell r="I3" t="str">
            <v>X</v>
          </cell>
          <cell r="J3" t="str">
            <v>1 200</v>
          </cell>
          <cell r="K3" t="str">
            <v>50 000</v>
          </cell>
          <cell r="L3" t="str">
            <v>zářivky</v>
          </cell>
        </row>
        <row r="4">
          <cell r="A4" t="str">
            <v>PROLUMIA LED Pro-Aqua II ECO HO 30W, 4000K, 3900lm</v>
          </cell>
          <cell r="B4"/>
          <cell r="C4">
            <v>30</v>
          </cell>
          <cell r="D4">
            <v>1878.45</v>
          </cell>
          <cell r="E4">
            <v>350</v>
          </cell>
          <cell r="F4"/>
          <cell r="G4" t="str">
            <v>X</v>
          </cell>
          <cell r="H4" t="str">
            <v>✓</v>
          </cell>
          <cell r="I4" t="str">
            <v>X</v>
          </cell>
          <cell r="J4" t="str">
            <v>3 900</v>
          </cell>
          <cell r="K4" t="str">
            <v>50 000</v>
          </cell>
          <cell r="L4" t="str">
            <v>zářivky</v>
          </cell>
        </row>
        <row r="5">
          <cell r="A5" t="str">
            <v>PROLUMIA LED Pro-Aqua II ECO HO 35W, 4000K, 4600lm</v>
          </cell>
          <cell r="B5"/>
          <cell r="C5">
            <v>35</v>
          </cell>
          <cell r="D5">
            <v>2353.0500000000002</v>
          </cell>
          <cell r="E5">
            <v>350</v>
          </cell>
          <cell r="F5"/>
          <cell r="G5" t="str">
            <v>X</v>
          </cell>
          <cell r="H5" t="str">
            <v>✓</v>
          </cell>
          <cell r="I5" t="str">
            <v>X</v>
          </cell>
          <cell r="J5" t="str">
            <v>4 600</v>
          </cell>
          <cell r="K5" t="str">
            <v>50 000</v>
          </cell>
          <cell r="L5" t="str">
            <v>zářivky</v>
          </cell>
        </row>
        <row r="6">
          <cell r="A6" t="str">
            <v>PROLUMIA LED Pro-Aqua II ECO HO 56W, 4000K, 7300lm</v>
          </cell>
          <cell r="B6"/>
          <cell r="C6">
            <v>56</v>
          </cell>
          <cell r="D6">
            <v>3008.25</v>
          </cell>
          <cell r="E6">
            <v>350</v>
          </cell>
          <cell r="F6"/>
          <cell r="G6" t="str">
            <v>X</v>
          </cell>
          <cell r="H6" t="str">
            <v>✓</v>
          </cell>
          <cell r="I6" t="str">
            <v>X</v>
          </cell>
          <cell r="J6" t="str">
            <v>7 300</v>
          </cell>
          <cell r="K6" t="str">
            <v>50 000</v>
          </cell>
          <cell r="L6" t="str">
            <v>zářivky</v>
          </cell>
        </row>
        <row r="7">
          <cell r="A7" t="str">
            <v>PROLUMIA LED Pro-Office II ECO, 36W, 4000K, 3800lm 1200x300mm přisazené</v>
          </cell>
          <cell r="B7"/>
          <cell r="C7">
            <v>36</v>
          </cell>
          <cell r="D7">
            <v>1732.5</v>
          </cell>
          <cell r="E7">
            <v>350</v>
          </cell>
          <cell r="F7"/>
          <cell r="G7" t="str">
            <v>X</v>
          </cell>
          <cell r="H7" t="str">
            <v>✓</v>
          </cell>
          <cell r="I7" t="str">
            <v>X</v>
          </cell>
          <cell r="J7" t="str">
            <v>3 800</v>
          </cell>
          <cell r="K7" t="str">
            <v>50 000</v>
          </cell>
          <cell r="L7" t="str">
            <v>zářivky</v>
          </cell>
        </row>
        <row r="8">
          <cell r="A8" t="str">
            <v>PROLUMIA LED Pro-Office II ECO, 36W, 4000K, 3800lm 1200x300mm zapuštěné</v>
          </cell>
          <cell r="B8"/>
          <cell r="C8">
            <v>36</v>
          </cell>
          <cell r="D8">
            <v>1627.5</v>
          </cell>
          <cell r="E8">
            <v>350</v>
          </cell>
          <cell r="F8"/>
          <cell r="G8" t="str">
            <v>X</v>
          </cell>
          <cell r="H8" t="str">
            <v>✓</v>
          </cell>
          <cell r="I8" t="str">
            <v>X</v>
          </cell>
          <cell r="J8" t="str">
            <v>3 800</v>
          </cell>
          <cell r="K8" t="str">
            <v>50 000</v>
          </cell>
          <cell r="L8" t="str">
            <v>zářivky</v>
          </cell>
        </row>
        <row r="9">
          <cell r="A9" t="str">
            <v>PROLUMIA LED Pro-Office II ECO, 36W, 4000K, 3800lm 600x600mm přisazené</v>
          </cell>
          <cell r="B9"/>
          <cell r="C9">
            <v>36</v>
          </cell>
          <cell r="D9">
            <v>1732.5</v>
          </cell>
          <cell r="E9">
            <v>350</v>
          </cell>
          <cell r="F9"/>
          <cell r="G9" t="str">
            <v>X</v>
          </cell>
          <cell r="H9" t="str">
            <v>✓</v>
          </cell>
          <cell r="I9" t="str">
            <v>X</v>
          </cell>
          <cell r="J9" t="str">
            <v>3 800</v>
          </cell>
          <cell r="K9" t="str">
            <v>50 000</v>
          </cell>
          <cell r="L9" t="str">
            <v>zářivky</v>
          </cell>
        </row>
        <row r="10">
          <cell r="A10" t="str">
            <v>PROLUMIA LED Pro-Office II ECO, 36W, 4000K, 3800lm 600x600mm zapuštěné</v>
          </cell>
          <cell r="B10"/>
          <cell r="C10">
            <v>36</v>
          </cell>
          <cell r="D10">
            <v>1732.5</v>
          </cell>
          <cell r="E10">
            <v>350</v>
          </cell>
          <cell r="F10"/>
          <cell r="G10" t="str">
            <v>X</v>
          </cell>
          <cell r="H10" t="str">
            <v>✓</v>
          </cell>
          <cell r="I10" t="str">
            <v>X</v>
          </cell>
          <cell r="J10" t="str">
            <v>3 800</v>
          </cell>
          <cell r="K10" t="str">
            <v>50 000</v>
          </cell>
          <cell r="L10" t="str">
            <v>zářivky</v>
          </cell>
        </row>
        <row r="11">
          <cell r="A11" t="str">
            <v>PROLUMIA LED Pro-Office II ECO, 56W, 4000K, 5531lm 1500x300mm přisazené</v>
          </cell>
          <cell r="B11"/>
          <cell r="C11">
            <v>56</v>
          </cell>
          <cell r="D11">
            <v>2200</v>
          </cell>
          <cell r="E11">
            <v>350</v>
          </cell>
          <cell r="F11"/>
          <cell r="G11" t="str">
            <v>X</v>
          </cell>
          <cell r="H11" t="str">
            <v>✓</v>
          </cell>
          <cell r="I11" t="str">
            <v>X</v>
          </cell>
          <cell r="J11" t="str">
            <v>5 531</v>
          </cell>
          <cell r="K11" t="str">
            <v>50 000</v>
          </cell>
          <cell r="L11" t="str">
            <v>zářivky</v>
          </cell>
        </row>
        <row r="12">
          <cell r="A12" t="str">
            <v>PROLUMIA LED PRODISC MAXI 30W 3000lm</v>
          </cell>
          <cell r="B12"/>
          <cell r="C12">
            <v>30</v>
          </cell>
          <cell r="D12">
            <v>2992.5</v>
          </cell>
          <cell r="E12">
            <v>350</v>
          </cell>
          <cell r="F12"/>
          <cell r="G12" t="str">
            <v>X</v>
          </cell>
          <cell r="H12" t="str">
            <v>✓</v>
          </cell>
          <cell r="I12" t="str">
            <v>X</v>
          </cell>
          <cell r="J12" t="str">
            <v>3 000</v>
          </cell>
          <cell r="K12" t="str">
            <v>50 000</v>
          </cell>
          <cell r="L12" t="str">
            <v>zářivky</v>
          </cell>
        </row>
        <row r="13">
          <cell r="A13" t="str">
            <v>PROLUMIA LED PRODISC 15W 1400lm</v>
          </cell>
          <cell r="B13"/>
          <cell r="C13">
            <v>15</v>
          </cell>
          <cell r="D13">
            <v>2192.4</v>
          </cell>
          <cell r="E13">
            <v>350</v>
          </cell>
          <cell r="F13"/>
          <cell r="G13" t="str">
            <v>X</v>
          </cell>
          <cell r="H13" t="str">
            <v>✓</v>
          </cell>
          <cell r="I13" t="str">
            <v>X</v>
          </cell>
          <cell r="J13" t="str">
            <v>1 400</v>
          </cell>
          <cell r="K13" t="str">
            <v>50 000</v>
          </cell>
          <cell r="L13" t="str">
            <v>zářivky</v>
          </cell>
        </row>
        <row r="14">
          <cell r="A14" t="str">
            <v>PROLUMIA LED PRODISC MINI 9W 840lm</v>
          </cell>
          <cell r="B14"/>
          <cell r="C14">
            <v>9</v>
          </cell>
          <cell r="D14">
            <v>1158.1500000000001</v>
          </cell>
          <cell r="E14">
            <v>350</v>
          </cell>
          <cell r="F14"/>
          <cell r="G14" t="str">
            <v>X</v>
          </cell>
          <cell r="H14" t="str">
            <v>✓</v>
          </cell>
          <cell r="I14" t="str">
            <v>X</v>
          </cell>
          <cell r="J14">
            <v>840</v>
          </cell>
          <cell r="K14" t="str">
            <v>50 000</v>
          </cell>
          <cell r="L14" t="str">
            <v>zářivky</v>
          </cell>
        </row>
        <row r="15">
          <cell r="A15" t="str">
            <v>PROLUMIA LED PRODISC MINI 9W 840lm s čidlem</v>
          </cell>
          <cell r="B15"/>
          <cell r="C15">
            <v>9</v>
          </cell>
          <cell r="D15">
            <v>2018.1</v>
          </cell>
          <cell r="E15">
            <v>350</v>
          </cell>
          <cell r="F15"/>
          <cell r="G15" t="str">
            <v>X</v>
          </cell>
          <cell r="H15" t="str">
            <v>✓</v>
          </cell>
          <cell r="I15" t="str">
            <v>X</v>
          </cell>
          <cell r="J15">
            <v>840</v>
          </cell>
          <cell r="K15" t="str">
            <v>50 000</v>
          </cell>
          <cell r="L15" t="str">
            <v>zářivky</v>
          </cell>
        </row>
        <row r="16">
          <cell r="A16" t="str">
            <v>EVO5000M4CW/ND</v>
          </cell>
          <cell r="B16"/>
          <cell r="C16">
            <v>35</v>
          </cell>
          <cell r="D16">
            <v>2500</v>
          </cell>
          <cell r="E16">
            <v>350</v>
          </cell>
          <cell r="F16"/>
          <cell r="G16" t="str">
            <v>X</v>
          </cell>
          <cell r="H16" t="str">
            <v>✓</v>
          </cell>
          <cell r="I16" t="str">
            <v>X</v>
          </cell>
          <cell r="J16" t="str">
            <v>5 000</v>
          </cell>
          <cell r="K16" t="str">
            <v>80 000</v>
          </cell>
          <cell r="L16" t="str">
            <v>zářivky</v>
          </cell>
        </row>
        <row r="17">
          <cell r="A17" t="str">
            <v>EVO7000M4CW/ND</v>
          </cell>
          <cell r="B17"/>
          <cell r="C17">
            <v>48</v>
          </cell>
          <cell r="D17">
            <v>2835</v>
          </cell>
          <cell r="E17">
            <v>350</v>
          </cell>
          <cell r="F17"/>
          <cell r="G17" t="str">
            <v>X</v>
          </cell>
          <cell r="H17" t="str">
            <v>✓</v>
          </cell>
          <cell r="I17" t="str">
            <v>X</v>
          </cell>
          <cell r="J17" t="str">
            <v>7 000</v>
          </cell>
          <cell r="K17" t="str">
            <v>80 000</v>
          </cell>
          <cell r="L17" t="str">
            <v>zářivky</v>
          </cell>
        </row>
        <row r="18">
          <cell r="A18" t="str">
            <v>EVO6000L3CW/ND</v>
          </cell>
          <cell r="B18"/>
          <cell r="C18">
            <v>40</v>
          </cell>
          <cell r="D18">
            <v>2600</v>
          </cell>
          <cell r="E18">
            <v>350</v>
          </cell>
          <cell r="F18"/>
          <cell r="G18" t="str">
            <v>X</v>
          </cell>
          <cell r="H18" t="str">
            <v>✓</v>
          </cell>
          <cell r="I18" t="str">
            <v>X</v>
          </cell>
          <cell r="J18" t="str">
            <v>5 850</v>
          </cell>
          <cell r="K18" t="str">
            <v>80 000</v>
          </cell>
          <cell r="L18" t="str">
            <v>zářivky</v>
          </cell>
        </row>
        <row r="19">
          <cell r="A19" t="str">
            <v>CPro LED žárovka E27 5W-40W</v>
          </cell>
          <cell r="B19"/>
          <cell r="C19">
            <v>5</v>
          </cell>
          <cell r="D19">
            <v>68.25</v>
          </cell>
          <cell r="E19">
            <v>110</v>
          </cell>
          <cell r="F19"/>
          <cell r="G19" t="str">
            <v>✓</v>
          </cell>
          <cell r="H19" t="str">
            <v>X</v>
          </cell>
          <cell r="I19" t="str">
            <v>X</v>
          </cell>
          <cell r="J19">
            <v>470</v>
          </cell>
          <cell r="K19" t="str">
            <v>15 000</v>
          </cell>
          <cell r="L19" t="str">
            <v>žárovky</v>
          </cell>
        </row>
        <row r="20">
          <cell r="A20" t="str">
            <v>CPro LED žárovka E27 8W-60W</v>
          </cell>
          <cell r="B20"/>
          <cell r="C20">
            <v>8</v>
          </cell>
          <cell r="D20">
            <v>78.75</v>
          </cell>
          <cell r="E20">
            <v>110</v>
          </cell>
          <cell r="F20"/>
          <cell r="G20" t="str">
            <v>✓</v>
          </cell>
          <cell r="H20" t="str">
            <v>X</v>
          </cell>
          <cell r="I20" t="str">
            <v>X</v>
          </cell>
          <cell r="J20">
            <v>806</v>
          </cell>
          <cell r="K20" t="str">
            <v>15 000</v>
          </cell>
          <cell r="L20" t="str">
            <v>žárovky</v>
          </cell>
        </row>
        <row r="21">
          <cell r="A21" t="str">
            <v>CPro LED žárovka E27 11W-75W</v>
          </cell>
          <cell r="B21"/>
          <cell r="C21">
            <v>11</v>
          </cell>
          <cell r="D21">
            <v>89.25</v>
          </cell>
          <cell r="E21">
            <v>110</v>
          </cell>
          <cell r="F21"/>
          <cell r="G21" t="str">
            <v>✓</v>
          </cell>
          <cell r="H21" t="str">
            <v>X</v>
          </cell>
          <cell r="I21" t="str">
            <v>X</v>
          </cell>
          <cell r="J21" t="str">
            <v>1 055</v>
          </cell>
          <cell r="K21" t="str">
            <v>15 000</v>
          </cell>
          <cell r="L21" t="str">
            <v>žárovky</v>
          </cell>
        </row>
        <row r="22">
          <cell r="A22" t="str">
            <v>CPro LED žárovka E27 13W-100W</v>
          </cell>
          <cell r="B22"/>
          <cell r="C22">
            <v>13</v>
          </cell>
          <cell r="D22">
            <v>120.75</v>
          </cell>
          <cell r="E22">
            <v>110</v>
          </cell>
          <cell r="F22"/>
          <cell r="G22" t="str">
            <v>✓</v>
          </cell>
          <cell r="H22" t="str">
            <v>X</v>
          </cell>
          <cell r="I22" t="str">
            <v>X</v>
          </cell>
          <cell r="J22" t="str">
            <v>1 521</v>
          </cell>
          <cell r="K22" t="str">
            <v>15 000</v>
          </cell>
          <cell r="L22" t="str">
            <v>žárovky</v>
          </cell>
        </row>
        <row r="23">
          <cell r="A23" t="str">
            <v>LLL2000RM1KV4ND</v>
          </cell>
          <cell r="B23"/>
          <cell r="C23">
            <v>19</v>
          </cell>
          <cell r="D23">
            <v>1365</v>
          </cell>
          <cell r="E23">
            <v>350</v>
          </cell>
          <cell r="F23"/>
          <cell r="G23" t="str">
            <v>X</v>
          </cell>
          <cell r="H23" t="str">
            <v>✓</v>
          </cell>
          <cell r="I23" t="str">
            <v>X</v>
          </cell>
          <cell r="J23" t="str">
            <v>2 200</v>
          </cell>
          <cell r="K23" t="str">
            <v>80 000</v>
          </cell>
          <cell r="L23" t="str">
            <v>zářivky</v>
          </cell>
        </row>
        <row r="24">
          <cell r="A24" t="str">
            <v>LLL3000RL1KV4ND/158</v>
          </cell>
          <cell r="B24"/>
          <cell r="C24">
            <v>30</v>
          </cell>
          <cell r="D24">
            <v>1500</v>
          </cell>
          <cell r="E24">
            <v>350</v>
          </cell>
          <cell r="F24"/>
          <cell r="G24" t="str">
            <v>X</v>
          </cell>
          <cell r="H24" t="str">
            <v>✓</v>
          </cell>
          <cell r="I24" t="str">
            <v>X</v>
          </cell>
          <cell r="J24" t="str">
            <v>3 400</v>
          </cell>
          <cell r="K24" t="str">
            <v>80 000</v>
          </cell>
          <cell r="L24" t="str">
            <v>zářivky</v>
          </cell>
        </row>
        <row r="25">
          <cell r="A25" t="str">
            <v>LLL6000RL2KV4ND/258</v>
          </cell>
          <cell r="B25"/>
          <cell r="C25">
            <v>60</v>
          </cell>
          <cell r="D25">
            <v>2200</v>
          </cell>
          <cell r="E25">
            <v>350</v>
          </cell>
          <cell r="F25"/>
          <cell r="G25" t="str">
            <v>X</v>
          </cell>
          <cell r="H25" t="str">
            <v>✓</v>
          </cell>
          <cell r="I25" t="str">
            <v>X</v>
          </cell>
          <cell r="J25" t="str">
            <v>5 800</v>
          </cell>
          <cell r="K25" t="str">
            <v>50 000</v>
          </cell>
          <cell r="L25" t="str">
            <v>zářivky</v>
          </cell>
        </row>
        <row r="26">
          <cell r="A26" t="str">
            <v>ISRAC4KV4V160/ND1050I3 (rastr 3x18W) vestav</v>
          </cell>
          <cell r="B26"/>
          <cell r="C26">
            <v>27</v>
          </cell>
          <cell r="D26">
            <v>1800</v>
          </cell>
          <cell r="E26">
            <v>350</v>
          </cell>
          <cell r="F26"/>
          <cell r="G26" t="str">
            <v>X</v>
          </cell>
          <cell r="H26" t="str">
            <v>✓</v>
          </cell>
          <cell r="I26" t="str">
            <v>X</v>
          </cell>
          <cell r="J26" t="str">
            <v>3 300</v>
          </cell>
          <cell r="K26" t="str">
            <v>80 000</v>
          </cell>
          <cell r="L26" t="str">
            <v>zářivky</v>
          </cell>
        </row>
        <row r="27">
          <cell r="A27" t="str">
            <v>LLL4000RM2KV4ND/236</v>
          </cell>
          <cell r="B27"/>
          <cell r="C27">
            <v>39</v>
          </cell>
          <cell r="D27">
            <v>1800</v>
          </cell>
          <cell r="E27">
            <v>350</v>
          </cell>
          <cell r="F27"/>
          <cell r="G27" t="str">
            <v>X</v>
          </cell>
          <cell r="H27" t="str">
            <v>✓</v>
          </cell>
          <cell r="I27" t="str">
            <v>X</v>
          </cell>
          <cell r="J27" t="str">
            <v>4 300</v>
          </cell>
          <cell r="K27" t="str">
            <v>80 000</v>
          </cell>
          <cell r="L27" t="str">
            <v>zářivky</v>
          </cell>
        </row>
        <row r="28">
          <cell r="A28" t="str">
            <v>LLL2000RM1KV4ND/136</v>
          </cell>
          <cell r="B28"/>
          <cell r="C28">
            <v>19</v>
          </cell>
          <cell r="D28">
            <v>1300</v>
          </cell>
          <cell r="E28">
            <v>3500</v>
          </cell>
          <cell r="F28"/>
          <cell r="G28" t="str">
            <v>X</v>
          </cell>
          <cell r="H28" t="str">
            <v>✓</v>
          </cell>
          <cell r="I28" t="str">
            <v>X</v>
          </cell>
          <cell r="J28" t="str">
            <v>2 200</v>
          </cell>
          <cell r="K28" t="str">
            <v>80 000</v>
          </cell>
          <cell r="L28" t="str">
            <v>zářivky</v>
          </cell>
        </row>
        <row r="29">
          <cell r="A29" t="str">
            <v>PROLUMIA LED PROCEILING 300x1200mm 40W</v>
          </cell>
          <cell r="B29"/>
          <cell r="C29">
            <v>40</v>
          </cell>
          <cell r="D29">
            <v>3477</v>
          </cell>
          <cell r="E29">
            <v>350</v>
          </cell>
          <cell r="F29"/>
          <cell r="G29" t="str">
            <v>X</v>
          </cell>
          <cell r="H29" t="str">
            <v>✓</v>
          </cell>
          <cell r="I29" t="str">
            <v>X</v>
          </cell>
          <cell r="J29" t="str">
            <v>3 200</v>
          </cell>
          <cell r="K29" t="str">
            <v>50 000</v>
          </cell>
          <cell r="L29" t="str">
            <v>zářivky</v>
          </cell>
        </row>
        <row r="30">
          <cell r="A30" t="str">
            <v>Vestavné LED svítidlo ALDP 37W 4300lm 4000K 1200x300 do rastru</v>
          </cell>
          <cell r="B30"/>
          <cell r="C30">
            <v>37</v>
          </cell>
          <cell r="D30">
            <v>1800</v>
          </cell>
          <cell r="E30">
            <v>350</v>
          </cell>
          <cell r="F30"/>
          <cell r="G30" t="str">
            <v>X</v>
          </cell>
          <cell r="H30" t="str">
            <v>✓</v>
          </cell>
          <cell r="I30" t="str">
            <v>X</v>
          </cell>
          <cell r="J30" t="str">
            <v>4 300</v>
          </cell>
          <cell r="K30" t="str">
            <v>50 000</v>
          </cell>
          <cell r="L30" t="str">
            <v>zářivky</v>
          </cell>
        </row>
        <row r="31">
          <cell r="A31" t="str">
            <v>Vestavné LED svítidlo ALDP 60W 6900lm 4000K 1510x300 do rastru</v>
          </cell>
          <cell r="B31"/>
          <cell r="C31">
            <v>60</v>
          </cell>
          <cell r="D31">
            <v>2200</v>
          </cell>
          <cell r="E31">
            <v>350</v>
          </cell>
          <cell r="F31"/>
          <cell r="G31" t="str">
            <v>X</v>
          </cell>
          <cell r="H31" t="str">
            <v>✓</v>
          </cell>
          <cell r="I31" t="str">
            <v>X</v>
          </cell>
          <cell r="J31" t="str">
            <v>6 900</v>
          </cell>
          <cell r="K31" t="str">
            <v>50 000</v>
          </cell>
          <cell r="L31" t="str">
            <v>zářivky</v>
          </cell>
        </row>
        <row r="32">
          <cell r="A32" t="str">
            <v>LED G24D 8,5W</v>
          </cell>
          <cell r="B32"/>
          <cell r="C32">
            <v>8.5</v>
          </cell>
          <cell r="D32">
            <v>270</v>
          </cell>
          <cell r="E32">
            <v>500</v>
          </cell>
          <cell r="F32"/>
          <cell r="G32" t="str">
            <v>✓</v>
          </cell>
          <cell r="H32" t="str">
            <v>X</v>
          </cell>
          <cell r="I32" t="str">
            <v>X</v>
          </cell>
          <cell r="J32">
            <v>950</v>
          </cell>
          <cell r="K32" t="str">
            <v>30 000</v>
          </cell>
          <cell r="L32" t="str">
            <v>žárovky</v>
          </cell>
        </row>
        <row r="33">
          <cell r="A33" t="str">
            <v>LED G24Q 9W</v>
          </cell>
          <cell r="B33"/>
          <cell r="C33">
            <v>9</v>
          </cell>
          <cell r="D33">
            <v>295</v>
          </cell>
          <cell r="E33">
            <v>500</v>
          </cell>
          <cell r="F33"/>
          <cell r="G33" t="str">
            <v>✓</v>
          </cell>
          <cell r="H33" t="str">
            <v>X</v>
          </cell>
          <cell r="I33" t="str">
            <v>X</v>
          </cell>
          <cell r="J33" t="str">
            <v>1 000</v>
          </cell>
          <cell r="K33" t="str">
            <v>30 000</v>
          </cell>
          <cell r="L33" t="str">
            <v>žárovky</v>
          </cell>
        </row>
        <row r="34">
          <cell r="A34" t="str">
            <v>Downlight LED zapuštěný 13W 4000K</v>
          </cell>
          <cell r="B34"/>
          <cell r="C34">
            <v>13</v>
          </cell>
          <cell r="D34">
            <v>836</v>
          </cell>
          <cell r="E34">
            <v>350</v>
          </cell>
          <cell r="F34"/>
          <cell r="G34" t="str">
            <v>X</v>
          </cell>
          <cell r="H34" t="str">
            <v>✓</v>
          </cell>
          <cell r="I34" t="str">
            <v>X</v>
          </cell>
          <cell r="J34" t="str">
            <v>1 090</v>
          </cell>
          <cell r="K34" t="str">
            <v>50 000</v>
          </cell>
          <cell r="L34" t="str">
            <v>zářivky</v>
          </cell>
        </row>
        <row r="35">
          <cell r="A35" t="str">
            <v>Downlight LED zapuštěný 19W 4000K</v>
          </cell>
          <cell r="B35"/>
          <cell r="C35">
            <v>19</v>
          </cell>
          <cell r="D35">
            <v>1447</v>
          </cell>
          <cell r="E35">
            <v>350</v>
          </cell>
          <cell r="F35"/>
          <cell r="G35" t="str">
            <v>X</v>
          </cell>
          <cell r="H35" t="str">
            <v>✓</v>
          </cell>
          <cell r="I35" t="str">
            <v>X</v>
          </cell>
          <cell r="J35" t="str">
            <v>1 630</v>
          </cell>
          <cell r="K35" t="str">
            <v>50 000</v>
          </cell>
          <cell r="L35" t="str">
            <v>zářivky</v>
          </cell>
        </row>
        <row r="36">
          <cell r="A36" t="str">
            <v>Downlight LED zapuštěný 15W 4000K</v>
          </cell>
          <cell r="B36"/>
          <cell r="C36">
            <v>15</v>
          </cell>
          <cell r="D36">
            <v>1043</v>
          </cell>
          <cell r="E36">
            <v>350</v>
          </cell>
          <cell r="F36"/>
          <cell r="G36" t="str">
            <v>X</v>
          </cell>
          <cell r="H36" t="str">
            <v>✓</v>
          </cell>
          <cell r="I36" t="str">
            <v>X</v>
          </cell>
          <cell r="J36" t="str">
            <v>1 260</v>
          </cell>
          <cell r="K36" t="str">
            <v>50 000</v>
          </cell>
          <cell r="L36" t="str">
            <v>zářivky</v>
          </cell>
        </row>
        <row r="37">
          <cell r="A37" t="str">
            <v>R12607 1300lm12W</v>
          </cell>
          <cell r="B37"/>
          <cell r="C37">
            <v>12</v>
          </cell>
          <cell r="D37">
            <v>3000</v>
          </cell>
          <cell r="E37">
            <v>350</v>
          </cell>
          <cell r="F37"/>
          <cell r="G37" t="str">
            <v>X</v>
          </cell>
          <cell r="H37" t="str">
            <v>✓</v>
          </cell>
          <cell r="I37" t="str">
            <v>X</v>
          </cell>
          <cell r="J37" t="str">
            <v>1 300</v>
          </cell>
          <cell r="K37" t="str">
            <v>50 000</v>
          </cell>
          <cell r="L37" t="str">
            <v>zářivky</v>
          </cell>
        </row>
        <row r="38">
          <cell r="A38" t="str">
            <v>LED Downlight 30W</v>
          </cell>
          <cell r="B38"/>
          <cell r="C38">
            <v>30</v>
          </cell>
          <cell r="D38">
            <v>1300</v>
          </cell>
          <cell r="E38">
            <v>350</v>
          </cell>
          <cell r="F38"/>
          <cell r="G38" t="str">
            <v>X</v>
          </cell>
          <cell r="H38" t="str">
            <v>✓</v>
          </cell>
          <cell r="I38" t="str">
            <v>X</v>
          </cell>
          <cell r="J38" t="str">
            <v>2 350</v>
          </cell>
          <cell r="K38" t="str">
            <v>50 000</v>
          </cell>
          <cell r="L38" t="str">
            <v>zářivky</v>
          </cell>
        </row>
        <row r="39">
          <cell r="A39" t="str">
            <v>Downlight LED zapuštěný 24W 4000K</v>
          </cell>
          <cell r="B39"/>
          <cell r="C39">
            <v>24</v>
          </cell>
          <cell r="D39">
            <v>1552</v>
          </cell>
          <cell r="E39">
            <v>350</v>
          </cell>
          <cell r="F39"/>
          <cell r="G39" t="str">
            <v>X</v>
          </cell>
          <cell r="H39" t="str">
            <v>✓</v>
          </cell>
          <cell r="I39" t="str">
            <v>X</v>
          </cell>
          <cell r="J39" t="str">
            <v>2 200</v>
          </cell>
          <cell r="K39" t="str">
            <v>50 000</v>
          </cell>
          <cell r="L39" t="str">
            <v>zářivky</v>
          </cell>
        </row>
        <row r="40">
          <cell r="A40" t="str">
            <v>PROLUMIA LED Pro-Aqua II ECO HO 17,5W, 4000K, 2300lm</v>
          </cell>
          <cell r="B40"/>
          <cell r="C40">
            <v>17.5</v>
          </cell>
          <cell r="D40">
            <v>1384</v>
          </cell>
          <cell r="E40">
            <v>350</v>
          </cell>
          <cell r="F40"/>
          <cell r="G40" t="str">
            <v>X</v>
          </cell>
          <cell r="H40" t="str">
            <v>✓</v>
          </cell>
          <cell r="I40" t="str">
            <v>X</v>
          </cell>
          <cell r="J40" t="str">
            <v>2 300</v>
          </cell>
          <cell r="K40" t="str">
            <v>50 000</v>
          </cell>
          <cell r="L40" t="str">
            <v>zářivky</v>
          </cell>
        </row>
        <row r="41">
          <cell r="A41" t="str">
            <v>ProLumia Pro Area 52W</v>
          </cell>
          <cell r="B41"/>
          <cell r="C41">
            <v>52</v>
          </cell>
          <cell r="D41">
            <v>3200</v>
          </cell>
          <cell r="E41">
            <v>350</v>
          </cell>
          <cell r="F41"/>
          <cell r="G41" t="str">
            <v>X</v>
          </cell>
          <cell r="H41" t="str">
            <v>✓</v>
          </cell>
          <cell r="I41" t="str">
            <v>X</v>
          </cell>
          <cell r="J41" t="str">
            <v>5 200</v>
          </cell>
          <cell r="K41" t="str">
            <v>40 000</v>
          </cell>
          <cell r="L41" t="str">
            <v>zářivky</v>
          </cell>
        </row>
        <row r="42">
          <cell r="A42" t="str">
            <v>PROLUMIA LED Pro-Stock Dali 100W</v>
          </cell>
          <cell r="B42"/>
          <cell r="C42">
            <v>100</v>
          </cell>
          <cell r="D42">
            <v>8243</v>
          </cell>
          <cell r="E42">
            <v>1500</v>
          </cell>
          <cell r="F42"/>
          <cell r="G42" t="str">
            <v>X</v>
          </cell>
          <cell r="H42" t="str">
            <v>✓</v>
          </cell>
          <cell r="I42" t="str">
            <v>X</v>
          </cell>
          <cell r="J42" t="str">
            <v>11 000</v>
          </cell>
          <cell r="K42" t="str">
            <v>60 000</v>
          </cell>
          <cell r="L42" t="str">
            <v>Výbojky</v>
          </cell>
        </row>
        <row r="43">
          <cell r="A43" t="str">
            <v>PROLUMIA LED Pro-Stock Dali 150W</v>
          </cell>
          <cell r="B43"/>
          <cell r="C43">
            <v>150</v>
          </cell>
          <cell r="D43">
            <v>8712</v>
          </cell>
          <cell r="E43">
            <v>1500</v>
          </cell>
          <cell r="F43"/>
          <cell r="G43" t="str">
            <v>X</v>
          </cell>
          <cell r="H43" t="str">
            <v>✓</v>
          </cell>
          <cell r="I43" t="str">
            <v>X</v>
          </cell>
          <cell r="J43" t="str">
            <v>16 500</v>
          </cell>
          <cell r="K43" t="str">
            <v>60 000</v>
          </cell>
          <cell r="L43" t="str">
            <v>Výbojky</v>
          </cell>
        </row>
        <row r="44">
          <cell r="A44" t="str">
            <v>ProLumia Pro-Bay II 100W DALI</v>
          </cell>
          <cell r="B44"/>
          <cell r="C44">
            <v>100</v>
          </cell>
          <cell r="D44">
            <v>7250</v>
          </cell>
          <cell r="E44">
            <v>1250</v>
          </cell>
          <cell r="F44"/>
          <cell r="G44" t="str">
            <v>X</v>
          </cell>
          <cell r="H44" t="str">
            <v>✓</v>
          </cell>
          <cell r="I44" t="str">
            <v>X</v>
          </cell>
          <cell r="J44" t="str">
            <v>12 000</v>
          </cell>
          <cell r="K44" t="str">
            <v>100 000</v>
          </cell>
          <cell r="L44" t="str">
            <v>Výbojky</v>
          </cell>
        </row>
        <row r="45">
          <cell r="A45" t="str">
            <v>ProLumia Pro-Bay II 150W DALI</v>
          </cell>
          <cell r="B45"/>
          <cell r="C45">
            <v>150</v>
          </cell>
          <cell r="D45">
            <v>7730</v>
          </cell>
          <cell r="E45">
            <v>1250</v>
          </cell>
          <cell r="F45"/>
          <cell r="G45" t="str">
            <v>X</v>
          </cell>
          <cell r="H45" t="str">
            <v>✓</v>
          </cell>
          <cell r="I45" t="str">
            <v>X</v>
          </cell>
          <cell r="J45" t="str">
            <v>19 500</v>
          </cell>
          <cell r="K45" t="str">
            <v>100 000</v>
          </cell>
          <cell r="L45" t="str">
            <v>Výbojky</v>
          </cell>
        </row>
        <row r="46">
          <cell r="A46" t="str">
            <v>ProVision 124W</v>
          </cell>
          <cell r="B46"/>
          <cell r="C46">
            <v>124</v>
          </cell>
          <cell r="D46">
            <v>11000</v>
          </cell>
          <cell r="E46">
            <v>1500</v>
          </cell>
          <cell r="F46"/>
          <cell r="G46" t="str">
            <v>X</v>
          </cell>
          <cell r="H46" t="str">
            <v>✓</v>
          </cell>
          <cell r="I46" t="str">
            <v>X</v>
          </cell>
          <cell r="J46" t="str">
            <v>12 500</v>
          </cell>
          <cell r="K46" t="str">
            <v>100 000</v>
          </cell>
          <cell r="L46" t="str">
            <v>Výbojky</v>
          </cell>
        </row>
        <row r="47">
          <cell r="A47" t="str">
            <v>ProLumia Pro-Bay II 100W + antiglare</v>
          </cell>
          <cell r="B47"/>
          <cell r="C47">
            <v>100</v>
          </cell>
          <cell r="D47">
            <v>7150</v>
          </cell>
          <cell r="E47">
            <v>1250</v>
          </cell>
          <cell r="F47"/>
          <cell r="G47" t="str">
            <v>X</v>
          </cell>
          <cell r="H47" t="str">
            <v>✓</v>
          </cell>
          <cell r="I47" t="str">
            <v>X</v>
          </cell>
          <cell r="J47" t="str">
            <v>12 000</v>
          </cell>
          <cell r="K47" t="str">
            <v>100 000</v>
          </cell>
          <cell r="L47" t="str">
            <v>Výbojky</v>
          </cell>
        </row>
        <row r="48">
          <cell r="A48" t="str">
            <v>PROLUMIA LED Pro-Stock Dali 120W</v>
          </cell>
          <cell r="B48"/>
          <cell r="C48">
            <v>120</v>
          </cell>
          <cell r="D48">
            <v>8712</v>
          </cell>
          <cell r="E48">
            <v>1500</v>
          </cell>
          <cell r="F48"/>
          <cell r="G48" t="str">
            <v>X</v>
          </cell>
          <cell r="H48" t="str">
            <v>✓</v>
          </cell>
          <cell r="I48" t="str">
            <v>X</v>
          </cell>
          <cell r="J48" t="str">
            <v>13 200</v>
          </cell>
          <cell r="K48" t="str">
            <v>60 000</v>
          </cell>
          <cell r="L48" t="str">
            <v>Výbojky</v>
          </cell>
        </row>
        <row r="49">
          <cell r="A49" t="str">
            <v>ProLumia Pro-Bay II 100W</v>
          </cell>
          <cell r="B49"/>
          <cell r="C49">
            <v>100</v>
          </cell>
          <cell r="D49">
            <v>6615</v>
          </cell>
          <cell r="E49">
            <v>1250</v>
          </cell>
          <cell r="F49"/>
          <cell r="G49" t="str">
            <v>X</v>
          </cell>
          <cell r="H49" t="str">
            <v>✓</v>
          </cell>
          <cell r="I49" t="str">
            <v>X</v>
          </cell>
          <cell r="J49" t="str">
            <v>-</v>
          </cell>
          <cell r="K49" t="str">
            <v>-</v>
          </cell>
          <cell r="L49" t="str">
            <v>-</v>
          </cell>
        </row>
        <row r="50">
          <cell r="A50" t="str">
            <v>PRO-SPACE R 30W + rámeček pro přisazení</v>
          </cell>
          <cell r="B50"/>
          <cell r="C50">
            <v>30</v>
          </cell>
          <cell r="D50">
            <v>1300</v>
          </cell>
          <cell r="E50">
            <v>350</v>
          </cell>
          <cell r="F50"/>
          <cell r="G50" t="str">
            <v>X</v>
          </cell>
          <cell r="H50" t="str">
            <v>✓</v>
          </cell>
          <cell r="I50" t="str">
            <v>X</v>
          </cell>
          <cell r="J50" t="str">
            <v>-</v>
          </cell>
          <cell r="K50" t="str">
            <v>-</v>
          </cell>
          <cell r="L50" t="str">
            <v>-</v>
          </cell>
        </row>
        <row r="51">
          <cell r="A51" t="str">
            <v>PRO-SPACE R 30W</v>
          </cell>
          <cell r="B51"/>
          <cell r="C51">
            <v>30</v>
          </cell>
          <cell r="D51">
            <v>1300</v>
          </cell>
          <cell r="E51">
            <v>350</v>
          </cell>
          <cell r="F51"/>
          <cell r="G51" t="str">
            <v>X</v>
          </cell>
          <cell r="H51" t="str">
            <v>✓</v>
          </cell>
          <cell r="I51" t="str">
            <v>X</v>
          </cell>
          <cell r="J51" t="str">
            <v>-</v>
          </cell>
          <cell r="K51" t="str">
            <v>-</v>
          </cell>
          <cell r="L51" t="str">
            <v>-</v>
          </cell>
        </row>
        <row r="52">
          <cell r="A52" t="str">
            <v>PRO-SPACE R 22W + rámeček pro přisazení</v>
          </cell>
          <cell r="B52"/>
          <cell r="C52">
            <v>22</v>
          </cell>
          <cell r="D52">
            <v>1300</v>
          </cell>
          <cell r="E52">
            <v>350</v>
          </cell>
          <cell r="F52"/>
          <cell r="G52" t="str">
            <v>X</v>
          </cell>
          <cell r="H52" t="str">
            <v>✓</v>
          </cell>
          <cell r="I52" t="str">
            <v>X</v>
          </cell>
          <cell r="J52" t="str">
            <v>-</v>
          </cell>
          <cell r="K52" t="str">
            <v>-</v>
          </cell>
          <cell r="L52" t="str">
            <v>-</v>
          </cell>
        </row>
        <row r="53">
          <cell r="A53" t="str">
            <v>PRO-SPACE R 22W</v>
          </cell>
          <cell r="B53"/>
          <cell r="C53">
            <v>22</v>
          </cell>
          <cell r="D53">
            <v>1300</v>
          </cell>
          <cell r="E53">
            <v>350</v>
          </cell>
          <cell r="F53"/>
          <cell r="G53" t="str">
            <v>X</v>
          </cell>
          <cell r="H53" t="str">
            <v>✓</v>
          </cell>
          <cell r="I53" t="str">
            <v>X</v>
          </cell>
          <cell r="J53" t="str">
            <v>-</v>
          </cell>
          <cell r="K53" t="str">
            <v>-</v>
          </cell>
          <cell r="L53" t="str">
            <v>-</v>
          </cell>
        </row>
        <row r="54">
          <cell r="A54" t="str">
            <v>PROLUMIA LED Pro-Aqua II ECO HO 9W, 4000K</v>
          </cell>
          <cell r="B54"/>
          <cell r="C54">
            <v>9</v>
          </cell>
          <cell r="D54">
            <v>1700</v>
          </cell>
          <cell r="E54">
            <v>350</v>
          </cell>
          <cell r="F54"/>
          <cell r="G54" t="str">
            <v>X</v>
          </cell>
          <cell r="H54" t="str">
            <v>✓</v>
          </cell>
          <cell r="I54" t="str">
            <v>X</v>
          </cell>
          <cell r="J54" t="str">
            <v>-</v>
          </cell>
          <cell r="K54" t="str">
            <v>-</v>
          </cell>
          <cell r="L54" t="str">
            <v>-</v>
          </cell>
        </row>
        <row r="55">
          <cell r="A55" t="str">
            <v>řízení osvětlení</v>
          </cell>
          <cell r="B55"/>
          <cell r="C55">
            <v>0</v>
          </cell>
          <cell r="D55">
            <v>80000</v>
          </cell>
          <cell r="E55"/>
          <cell r="F55"/>
          <cell r="G55" t="str">
            <v>X</v>
          </cell>
          <cell r="H55" t="str">
            <v>X</v>
          </cell>
          <cell r="I55" t="str">
            <v>X</v>
          </cell>
          <cell r="J55" t="str">
            <v>-</v>
          </cell>
          <cell r="K55" t="str">
            <v>-</v>
          </cell>
          <cell r="L55" t="str">
            <v>-</v>
          </cell>
        </row>
        <row r="56">
          <cell r="A56" t="str">
            <v>lešení</v>
          </cell>
          <cell r="B56"/>
          <cell r="C56">
            <v>0</v>
          </cell>
          <cell r="D56">
            <v>25000</v>
          </cell>
          <cell r="E56"/>
          <cell r="F56"/>
          <cell r="G56" t="str">
            <v>X</v>
          </cell>
          <cell r="H56" t="str">
            <v>X</v>
          </cell>
          <cell r="I56" t="str">
            <v>X</v>
          </cell>
          <cell r="J56" t="str">
            <v>-</v>
          </cell>
          <cell r="K56" t="str">
            <v>-</v>
          </cell>
          <cell r="L56" t="str">
            <v>-</v>
          </cell>
        </row>
        <row r="57">
          <cell r="A57" t="str">
            <v>Dodatečná kabeláž tělocvična</v>
          </cell>
          <cell r="B57"/>
          <cell r="C57">
            <v>0</v>
          </cell>
          <cell r="D57">
            <v>32500</v>
          </cell>
          <cell r="E57"/>
          <cell r="F57"/>
          <cell r="G57" t="str">
            <v>X</v>
          </cell>
          <cell r="H57" t="str">
            <v>X</v>
          </cell>
          <cell r="I57" t="str">
            <v>X</v>
          </cell>
          <cell r="J57" t="str">
            <v>-</v>
          </cell>
          <cell r="K57" t="str">
            <v>-</v>
          </cell>
          <cell r="L57" t="str">
            <v>-</v>
          </cell>
        </row>
        <row r="58">
          <cell r="A58" t="str">
            <v>ProVision 59W</v>
          </cell>
          <cell r="B58"/>
          <cell r="C58">
            <v>59</v>
          </cell>
          <cell r="D58">
            <v>8500</v>
          </cell>
          <cell r="E58"/>
          <cell r="F58"/>
          <cell r="G58" t="str">
            <v>X</v>
          </cell>
          <cell r="H58" t="str">
            <v>✓</v>
          </cell>
          <cell r="I58" t="str">
            <v>X</v>
          </cell>
          <cell r="J58" t="str">
            <v>-</v>
          </cell>
          <cell r="K58" t="str">
            <v>-</v>
          </cell>
          <cell r="L58" t="str">
            <v>-</v>
          </cell>
        </row>
        <row r="59">
          <cell r="A59" t="str">
            <v>lešení/plošina</v>
          </cell>
          <cell r="B59"/>
          <cell r="C59">
            <v>0</v>
          </cell>
          <cell r="D59">
            <v>12000</v>
          </cell>
          <cell r="E59">
            <v>3000</v>
          </cell>
          <cell r="F59"/>
          <cell r="G59" t="str">
            <v>X</v>
          </cell>
          <cell r="H59" t="str">
            <v>✓</v>
          </cell>
          <cell r="I59" t="str">
            <v>X</v>
          </cell>
          <cell r="J59" t="str">
            <v>-</v>
          </cell>
          <cell r="K59" t="str">
            <v>-</v>
          </cell>
          <cell r="L59" t="str">
            <v>-</v>
          </cell>
        </row>
        <row r="60">
          <cell r="A60" t="str">
            <v>lešeníA9</v>
          </cell>
          <cell r="B60"/>
          <cell r="C60">
            <v>0</v>
          </cell>
          <cell r="D60">
            <v>30000</v>
          </cell>
          <cell r="E60"/>
          <cell r="F60"/>
          <cell r="G60" t="str">
            <v>X</v>
          </cell>
          <cell r="H60" t="str">
            <v>X</v>
          </cell>
          <cell r="I60" t="str">
            <v>X</v>
          </cell>
          <cell r="J60" t="str">
            <v>-</v>
          </cell>
          <cell r="K60" t="str">
            <v>-</v>
          </cell>
          <cell r="L60" t="str">
            <v>-</v>
          </cell>
        </row>
        <row r="61">
          <cell r="A61" t="str">
            <v>Dodatečná kabeláž A9</v>
          </cell>
          <cell r="B61"/>
          <cell r="C61">
            <v>0</v>
          </cell>
          <cell r="D61">
            <v>50000</v>
          </cell>
          <cell r="E61"/>
          <cell r="F61"/>
          <cell r="G61" t="str">
            <v>X</v>
          </cell>
          <cell r="H61" t="str">
            <v>X</v>
          </cell>
          <cell r="I61" t="str">
            <v>X</v>
          </cell>
          <cell r="J61" t="str">
            <v>-</v>
          </cell>
          <cell r="K61" t="str">
            <v>-</v>
          </cell>
          <cell r="L61" t="str">
            <v>-</v>
          </cell>
        </row>
        <row r="62">
          <cell r="A62" t="str">
            <v>lešeníA10</v>
          </cell>
          <cell r="B62"/>
          <cell r="C62">
            <v>0</v>
          </cell>
          <cell r="D62">
            <v>15000</v>
          </cell>
          <cell r="E62"/>
          <cell r="F62"/>
          <cell r="G62" t="str">
            <v>X</v>
          </cell>
          <cell r="H62" t="str">
            <v>X</v>
          </cell>
          <cell r="I62" t="str">
            <v>X</v>
          </cell>
          <cell r="J62" t="str">
            <v>-</v>
          </cell>
          <cell r="K62" t="str">
            <v>-</v>
          </cell>
          <cell r="L62" t="str">
            <v>-</v>
          </cell>
        </row>
        <row r="63">
          <cell r="A63" t="str">
            <v>Dodatečná kabeláž A10</v>
          </cell>
          <cell r="B63"/>
          <cell r="C63">
            <v>0</v>
          </cell>
          <cell r="D63">
            <v>20000</v>
          </cell>
          <cell r="E63"/>
          <cell r="F63"/>
          <cell r="G63" t="str">
            <v>X</v>
          </cell>
          <cell r="H63" t="str">
            <v>X</v>
          </cell>
          <cell r="I63" t="str">
            <v>X</v>
          </cell>
          <cell r="J63" t="str">
            <v>-</v>
          </cell>
          <cell r="K63" t="str">
            <v>-</v>
          </cell>
          <cell r="L63" t="str">
            <v>-</v>
          </cell>
        </row>
        <row r="64">
          <cell r="A64" t="str">
            <v>LED náhrada za výbojku 400W</v>
          </cell>
          <cell r="B64"/>
          <cell r="C64">
            <v>95</v>
          </cell>
          <cell r="D64">
            <v>6500</v>
          </cell>
          <cell r="E64">
            <v>1000</v>
          </cell>
          <cell r="F64"/>
          <cell r="G64" t="str">
            <v>✓</v>
          </cell>
          <cell r="H64" t="str">
            <v>X</v>
          </cell>
          <cell r="I64" t="str">
            <v>X</v>
          </cell>
          <cell r="J64" t="str">
            <v>8 100</v>
          </cell>
          <cell r="K64" t="str">
            <v>40 000</v>
          </cell>
          <cell r="L64" t="str">
            <v>Výbojky</v>
          </cell>
        </row>
        <row r="65">
          <cell r="A65" t="str">
            <v>LED svítidlo náhrada za 1x58W kancelářské 1500mm</v>
          </cell>
          <cell r="B65"/>
          <cell r="C65">
            <v>30</v>
          </cell>
          <cell r="D65">
            <v>1500</v>
          </cell>
          <cell r="E65">
            <v>350</v>
          </cell>
          <cell r="F65"/>
          <cell r="G65" t="str">
            <v>X</v>
          </cell>
          <cell r="H65" t="str">
            <v>✓</v>
          </cell>
          <cell r="I65" t="str">
            <v>X</v>
          </cell>
          <cell r="J65" t="str">
            <v>3 400</v>
          </cell>
          <cell r="K65" t="str">
            <v>80 000</v>
          </cell>
          <cell r="L65" t="str">
            <v>zářivky</v>
          </cell>
        </row>
        <row r="66">
          <cell r="A66" t="str">
            <v>ProLumia Pro-Bay II 70W ZigBee</v>
          </cell>
          <cell r="B66"/>
          <cell r="C66">
            <v>70</v>
          </cell>
          <cell r="D66">
            <v>6509</v>
          </cell>
          <cell r="E66">
            <v>1000</v>
          </cell>
          <cell r="F66"/>
          <cell r="G66" t="str">
            <v>X</v>
          </cell>
          <cell r="H66" t="str">
            <v>✓</v>
          </cell>
          <cell r="I66" t="str">
            <v>X</v>
          </cell>
          <cell r="J66" t="str">
            <v>-</v>
          </cell>
          <cell r="K66">
            <v>40000</v>
          </cell>
          <cell r="L66" t="str">
            <v>Výbojky</v>
          </cell>
        </row>
        <row r="67">
          <cell r="A67" t="str">
            <v>ProLumia Pro-Bay II 100W ZigBee</v>
          </cell>
          <cell r="B67"/>
          <cell r="C67">
            <v>100</v>
          </cell>
          <cell r="D67">
            <v>8851</v>
          </cell>
          <cell r="E67">
            <v>1000</v>
          </cell>
          <cell r="F67"/>
          <cell r="G67" t="str">
            <v>X</v>
          </cell>
          <cell r="H67" t="str">
            <v>✓</v>
          </cell>
          <cell r="I67" t="str">
            <v>X</v>
          </cell>
          <cell r="J67" t="str">
            <v>-</v>
          </cell>
          <cell r="K67">
            <v>40000</v>
          </cell>
          <cell r="L67" t="str">
            <v>Výbojky</v>
          </cell>
        </row>
        <row r="68">
          <cell r="A68"/>
          <cell r="B68"/>
          <cell r="C68"/>
          <cell r="D68"/>
          <cell r="E68"/>
          <cell r="F68"/>
          <cell r="G68"/>
          <cell r="H68"/>
          <cell r="I68"/>
          <cell r="J68"/>
          <cell r="K68"/>
          <cell r="L68"/>
        </row>
        <row r="69">
          <cell r="A69"/>
          <cell r="B69"/>
          <cell r="C69"/>
          <cell r="D69"/>
          <cell r="E69"/>
          <cell r="F69"/>
          <cell r="G69"/>
          <cell r="H69"/>
          <cell r="I69"/>
          <cell r="J69"/>
          <cell r="K69"/>
          <cell r="L69"/>
        </row>
        <row r="70">
          <cell r="A70"/>
          <cell r="B70"/>
          <cell r="C70"/>
          <cell r="D70"/>
          <cell r="E70"/>
          <cell r="F70"/>
          <cell r="G70"/>
          <cell r="H70"/>
          <cell r="I70"/>
          <cell r="J70"/>
          <cell r="K70"/>
          <cell r="L70"/>
        </row>
        <row r="71">
          <cell r="A71"/>
          <cell r="B71"/>
          <cell r="C71"/>
          <cell r="D71"/>
          <cell r="E71"/>
          <cell r="F71"/>
          <cell r="G71"/>
          <cell r="H71"/>
          <cell r="I71"/>
          <cell r="J71"/>
          <cell r="K71"/>
          <cell r="L71"/>
        </row>
        <row r="72">
          <cell r="A72"/>
          <cell r="B72"/>
          <cell r="C72"/>
          <cell r="D72"/>
          <cell r="E72"/>
          <cell r="F72"/>
          <cell r="G72"/>
          <cell r="H72"/>
          <cell r="I72"/>
          <cell r="J72"/>
          <cell r="K72"/>
          <cell r="L72"/>
        </row>
        <row r="73">
          <cell r="A73"/>
          <cell r="B73"/>
          <cell r="C73"/>
          <cell r="D73"/>
          <cell r="E73"/>
          <cell r="F73"/>
          <cell r="G73"/>
          <cell r="H73"/>
          <cell r="I73"/>
          <cell r="J73"/>
          <cell r="K73"/>
          <cell r="L73"/>
        </row>
        <row r="74">
          <cell r="A74"/>
          <cell r="B74"/>
          <cell r="C74"/>
          <cell r="D74"/>
          <cell r="E74"/>
          <cell r="F74"/>
          <cell r="G74"/>
          <cell r="H74"/>
          <cell r="I74"/>
          <cell r="J74"/>
          <cell r="K74"/>
          <cell r="L74"/>
        </row>
        <row r="75">
          <cell r="A75"/>
          <cell r="B75"/>
          <cell r="C75"/>
          <cell r="D75"/>
          <cell r="E75"/>
          <cell r="F75"/>
          <cell r="G75"/>
          <cell r="H75"/>
          <cell r="I75"/>
          <cell r="J75"/>
          <cell r="K75"/>
          <cell r="L75"/>
        </row>
        <row r="76">
          <cell r="A76"/>
          <cell r="B76"/>
          <cell r="C76"/>
          <cell r="D76"/>
          <cell r="E76"/>
          <cell r="F76"/>
          <cell r="G76"/>
          <cell r="H76"/>
          <cell r="I76"/>
          <cell r="J76"/>
          <cell r="K76"/>
          <cell r="L76"/>
        </row>
        <row r="77">
          <cell r="A77"/>
          <cell r="B77"/>
          <cell r="C77"/>
          <cell r="D77"/>
          <cell r="E77"/>
          <cell r="F77"/>
          <cell r="G77"/>
          <cell r="H77"/>
          <cell r="I77"/>
          <cell r="J77"/>
          <cell r="K77"/>
          <cell r="L77"/>
        </row>
        <row r="78">
          <cell r="A78" t="str">
            <v>Celkový náklad</v>
          </cell>
          <cell r="B78"/>
          <cell r="C78"/>
          <cell r="D78"/>
          <cell r="E78"/>
          <cell r="F78"/>
          <cell r="G78"/>
          <cell r="H78"/>
          <cell r="I78"/>
          <cell r="J78"/>
          <cell r="K78"/>
          <cell r="L78"/>
        </row>
      </sheetData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Př.-1B -př.skut-Rok 2001- kor"/>
      <sheetName val="Př 1A Původní vyúčtování 2001  "/>
      <sheetName val=" Výpočet Pův. vyúčt. 2001    "/>
      <sheetName val="podklad 2001"/>
      <sheetName val="NCABR-D-2001"/>
      <sheetName val=" Př 2B -př.skut-Rok 2000- kor "/>
      <sheetName val="Př 2A Původní vyúčtov 2000   "/>
      <sheetName val="NCABR-D- 2000"/>
      <sheetName val="1998 a 1999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uživ.č.</v>
          </cell>
          <cell r="B1" t="str">
            <v>uživ.č. FNR</v>
          </cell>
          <cell r="C1" t="str">
            <v>od</v>
          </cell>
          <cell r="D1" t="str">
            <v>do</v>
          </cell>
          <cell r="E1" t="str">
            <v>vytápěná plocha</v>
          </cell>
          <cell r="F1" t="str">
            <v>náklady na teplo</v>
          </cell>
          <cell r="G1" t="str">
            <v>náklady na ohřev TUV</v>
          </cell>
          <cell r="H1" t="str">
            <v>náklady za SV pro TUV</v>
          </cell>
          <cell r="I1" t="str">
            <v>náklady za SV vedlejší náklady na dům</v>
          </cell>
          <cell r="J1" t="str">
            <v>celkový náklad</v>
          </cell>
          <cell r="K1" t="str">
            <v>přepl/nedopl</v>
          </cell>
          <cell r="L1" t="str">
            <v>spotřeba teplo dílky</v>
          </cell>
          <cell r="M1" t="str">
            <v>spotřeba TUV m3</v>
          </cell>
          <cell r="N1" t="str">
            <v>spotřeba SV pro TUV m3</v>
          </cell>
          <cell r="O1" t="str">
            <v>spotřeba SV m3</v>
          </cell>
        </row>
        <row r="2">
          <cell r="A2" t="str">
            <v>00010</v>
          </cell>
          <cell r="B2">
            <v>78800001</v>
          </cell>
          <cell r="C2">
            <v>36892</v>
          </cell>
          <cell r="D2">
            <v>37256</v>
          </cell>
          <cell r="E2">
            <v>60.92</v>
          </cell>
          <cell r="F2">
            <v>9240.16</v>
          </cell>
          <cell r="G2">
            <v>3015.66</v>
          </cell>
          <cell r="H2">
            <v>1514.68</v>
          </cell>
          <cell r="I2">
            <v>840.44</v>
          </cell>
          <cell r="J2">
            <v>14610.94</v>
          </cell>
          <cell r="K2">
            <v>14610.94</v>
          </cell>
          <cell r="L2">
            <v>8063.28</v>
          </cell>
          <cell r="M2">
            <v>37.32</v>
          </cell>
          <cell r="N2">
            <v>37.32</v>
          </cell>
          <cell r="O2">
            <v>22.44</v>
          </cell>
        </row>
        <row r="3">
          <cell r="A3" t="str">
            <v>00020</v>
          </cell>
          <cell r="B3">
            <v>78800002</v>
          </cell>
          <cell r="C3">
            <v>36892</v>
          </cell>
          <cell r="D3">
            <v>37256</v>
          </cell>
          <cell r="E3">
            <v>43.83</v>
          </cell>
          <cell r="F3">
            <v>4988.42</v>
          </cell>
          <cell r="G3">
            <v>5567.05</v>
          </cell>
          <cell r="H3">
            <v>3535.42</v>
          </cell>
          <cell r="I3">
            <v>2509.33</v>
          </cell>
          <cell r="J3">
            <v>16600.22</v>
          </cell>
          <cell r="K3">
            <v>16600.22</v>
          </cell>
          <cell r="L3">
            <v>3812.33</v>
          </cell>
          <cell r="M3">
            <v>91</v>
          </cell>
          <cell r="N3">
            <v>91</v>
          </cell>
          <cell r="O3">
            <v>67</v>
          </cell>
        </row>
        <row r="4">
          <cell r="A4" t="str">
            <v>00030</v>
          </cell>
          <cell r="B4">
            <v>78800003</v>
          </cell>
          <cell r="C4">
            <v>36892</v>
          </cell>
          <cell r="D4">
            <v>37256</v>
          </cell>
          <cell r="E4">
            <v>44.23</v>
          </cell>
          <cell r="F4">
            <v>2788.21</v>
          </cell>
          <cell r="G4">
            <v>3555.55</v>
          </cell>
          <cell r="H4">
            <v>2083.11</v>
          </cell>
          <cell r="I4">
            <v>2283.4899999999998</v>
          </cell>
          <cell r="J4">
            <v>10710.36</v>
          </cell>
          <cell r="K4">
            <v>10710.36</v>
          </cell>
          <cell r="L4">
            <v>1155.69</v>
          </cell>
          <cell r="M4">
            <v>52.89</v>
          </cell>
          <cell r="N4">
            <v>52.89</v>
          </cell>
          <cell r="O4">
            <v>60.97</v>
          </cell>
        </row>
        <row r="5">
          <cell r="A5" t="str">
            <v>00040</v>
          </cell>
          <cell r="B5">
            <v>78800004</v>
          </cell>
          <cell r="C5">
            <v>36892</v>
          </cell>
          <cell r="D5">
            <v>37256</v>
          </cell>
          <cell r="E5">
            <v>58.78</v>
          </cell>
          <cell r="F5">
            <v>6846.24</v>
          </cell>
          <cell r="G5">
            <v>1002.69</v>
          </cell>
          <cell r="H5">
            <v>88.64</v>
          </cell>
          <cell r="I5">
            <v>7602.9</v>
          </cell>
          <cell r="J5">
            <v>15540.47</v>
          </cell>
          <cell r="K5">
            <v>15540.47</v>
          </cell>
          <cell r="L5">
            <v>5300.02</v>
          </cell>
          <cell r="M5">
            <v>0</v>
          </cell>
          <cell r="N5">
            <v>0</v>
          </cell>
          <cell r="O5">
            <v>203</v>
          </cell>
        </row>
        <row r="6">
          <cell r="A6" t="str">
            <v>00050</v>
          </cell>
          <cell r="B6">
            <v>78800005</v>
          </cell>
          <cell r="C6">
            <v>36892</v>
          </cell>
          <cell r="D6">
            <v>37256</v>
          </cell>
          <cell r="E6">
            <v>60.92</v>
          </cell>
          <cell r="F6">
            <v>5417.29</v>
          </cell>
          <cell r="G6">
            <v>4113.01</v>
          </cell>
          <cell r="H6">
            <v>2304.61</v>
          </cell>
          <cell r="I6">
            <v>2577.4899999999998</v>
          </cell>
          <cell r="J6">
            <v>14412.4</v>
          </cell>
          <cell r="K6">
            <v>14412.4</v>
          </cell>
          <cell r="L6">
            <v>3481.7</v>
          </cell>
          <cell r="M6">
            <v>58.04</v>
          </cell>
          <cell r="N6">
            <v>58.04</v>
          </cell>
          <cell r="O6">
            <v>68.819999999999993</v>
          </cell>
        </row>
        <row r="7">
          <cell r="A7" t="str">
            <v>00060</v>
          </cell>
          <cell r="B7">
            <v>78800006</v>
          </cell>
          <cell r="C7">
            <v>36892</v>
          </cell>
          <cell r="D7">
            <v>37256</v>
          </cell>
          <cell r="E7">
            <v>43.83</v>
          </cell>
          <cell r="F7">
            <v>3737.55</v>
          </cell>
          <cell r="G7">
            <v>2185.0100000000002</v>
          </cell>
          <cell r="H7">
            <v>1100.8</v>
          </cell>
          <cell r="I7">
            <v>1766.27</v>
          </cell>
          <cell r="J7">
            <v>8789.6299999999992</v>
          </cell>
          <cell r="K7">
            <v>8789.6299999999992</v>
          </cell>
          <cell r="L7">
            <v>2313.21</v>
          </cell>
          <cell r="M7">
            <v>27.14</v>
          </cell>
          <cell r="N7">
            <v>27.14</v>
          </cell>
          <cell r="O7">
            <v>47.16</v>
          </cell>
        </row>
        <row r="8">
          <cell r="A8" t="str">
            <v>00070</v>
          </cell>
          <cell r="B8">
            <v>78800007</v>
          </cell>
          <cell r="C8">
            <v>36892</v>
          </cell>
          <cell r="D8">
            <v>37256</v>
          </cell>
          <cell r="E8">
            <v>44.23</v>
          </cell>
          <cell r="F8">
            <v>3397.94</v>
          </cell>
          <cell r="G8">
            <v>1025.1199999999999</v>
          </cell>
          <cell r="H8">
            <v>261.52</v>
          </cell>
          <cell r="I8">
            <v>524.34</v>
          </cell>
          <cell r="J8">
            <v>5208.92</v>
          </cell>
          <cell r="K8">
            <v>5208.92</v>
          </cell>
          <cell r="L8">
            <v>1886.42</v>
          </cell>
          <cell r="M8">
            <v>5.1100000000000003</v>
          </cell>
          <cell r="N8">
            <v>5.1100000000000003</v>
          </cell>
          <cell r="O8">
            <v>14</v>
          </cell>
        </row>
        <row r="9">
          <cell r="A9" t="str">
            <v>00080</v>
          </cell>
          <cell r="B9">
            <v>78800008</v>
          </cell>
          <cell r="C9">
            <v>36892</v>
          </cell>
          <cell r="D9">
            <v>37256</v>
          </cell>
          <cell r="E9">
            <v>58.78</v>
          </cell>
          <cell r="F9">
            <v>7170.24</v>
          </cell>
          <cell r="G9">
            <v>3113.15</v>
          </cell>
          <cell r="H9">
            <v>1607.9</v>
          </cell>
          <cell r="I9">
            <v>2235.9299999999998</v>
          </cell>
          <cell r="J9">
            <v>14127.22</v>
          </cell>
          <cell r="K9">
            <v>14127.22</v>
          </cell>
          <cell r="L9">
            <v>5688.32</v>
          </cell>
          <cell r="M9">
            <v>39.85</v>
          </cell>
          <cell r="N9">
            <v>39.85</v>
          </cell>
          <cell r="O9">
            <v>59.7</v>
          </cell>
        </row>
        <row r="10">
          <cell r="A10" t="str">
            <v>00090</v>
          </cell>
          <cell r="B10">
            <v>78800009</v>
          </cell>
          <cell r="C10">
            <v>36892</v>
          </cell>
          <cell r="D10">
            <v>37256</v>
          </cell>
          <cell r="E10">
            <v>60.92</v>
          </cell>
          <cell r="F10">
            <v>4660.34</v>
          </cell>
          <cell r="G10">
            <v>3949.35</v>
          </cell>
          <cell r="H10">
            <v>2186.81</v>
          </cell>
          <cell r="I10">
            <v>2465.88</v>
          </cell>
          <cell r="J10">
            <v>13262.38</v>
          </cell>
          <cell r="K10">
            <v>13262.38</v>
          </cell>
          <cell r="L10">
            <v>2574.5300000000002</v>
          </cell>
          <cell r="M10">
            <v>54.95</v>
          </cell>
          <cell r="N10">
            <v>54.95</v>
          </cell>
          <cell r="O10">
            <v>65.84</v>
          </cell>
        </row>
        <row r="11">
          <cell r="A11" t="str">
            <v>00100</v>
          </cell>
          <cell r="B11">
            <v>78800010</v>
          </cell>
          <cell r="C11">
            <v>36892</v>
          </cell>
          <cell r="D11">
            <v>36922</v>
          </cell>
          <cell r="E11">
            <v>46.83</v>
          </cell>
          <cell r="F11">
            <v>917.28</v>
          </cell>
          <cell r="G11">
            <v>67.849999999999994</v>
          </cell>
          <cell r="H11">
            <v>6</v>
          </cell>
          <cell r="I11">
            <v>0</v>
          </cell>
          <cell r="J11">
            <v>991.13</v>
          </cell>
          <cell r="K11">
            <v>991.13</v>
          </cell>
          <cell r="L11">
            <v>659.59799999999996</v>
          </cell>
          <cell r="M11">
            <v>0</v>
          </cell>
          <cell r="N11">
            <v>0</v>
          </cell>
          <cell r="O11">
            <v>0</v>
          </cell>
        </row>
        <row r="12">
          <cell r="A12" t="str">
            <v>00100</v>
          </cell>
          <cell r="B12">
            <v>78800010</v>
          </cell>
          <cell r="C12">
            <v>36923</v>
          </cell>
          <cell r="D12">
            <v>37256</v>
          </cell>
          <cell r="E12">
            <v>46.83</v>
          </cell>
          <cell r="F12">
            <v>3910.52</v>
          </cell>
          <cell r="G12">
            <v>942.83</v>
          </cell>
          <cell r="H12">
            <v>217.13</v>
          </cell>
          <cell r="I12">
            <v>187.27</v>
          </cell>
          <cell r="J12">
            <v>5257.75</v>
          </cell>
          <cell r="K12">
            <v>5257.75</v>
          </cell>
          <cell r="L12">
            <v>2811.97</v>
          </cell>
          <cell r="M12">
            <v>4</v>
          </cell>
          <cell r="N12">
            <v>4</v>
          </cell>
          <cell r="O12">
            <v>5</v>
          </cell>
        </row>
        <row r="13">
          <cell r="A13" t="str">
            <v>00110</v>
          </cell>
          <cell r="B13">
            <v>78800011</v>
          </cell>
          <cell r="C13">
            <v>36892</v>
          </cell>
          <cell r="D13">
            <v>36950</v>
          </cell>
          <cell r="E13">
            <v>44.23</v>
          </cell>
          <cell r="F13">
            <v>1060.8</v>
          </cell>
          <cell r="G13">
            <v>303.88</v>
          </cell>
          <cell r="H13">
            <v>141.72999999999999</v>
          </cell>
          <cell r="I13">
            <v>201.72</v>
          </cell>
          <cell r="J13">
            <v>1708.13</v>
          </cell>
          <cell r="K13">
            <v>1708.13</v>
          </cell>
          <cell r="L13">
            <v>506.26799999999997</v>
          </cell>
          <cell r="M13">
            <v>3.4350000000000001</v>
          </cell>
          <cell r="N13">
            <v>3.4350000000000001</v>
          </cell>
          <cell r="O13">
            <v>5.3860000000000001</v>
          </cell>
        </row>
        <row r="14">
          <cell r="A14" t="str">
            <v>00110</v>
          </cell>
          <cell r="B14">
            <v>78800011</v>
          </cell>
          <cell r="C14">
            <v>36951</v>
          </cell>
          <cell r="D14">
            <v>37256</v>
          </cell>
          <cell r="E14">
            <v>44.23</v>
          </cell>
          <cell r="F14">
            <v>1970.05</v>
          </cell>
          <cell r="G14">
            <v>1576.03</v>
          </cell>
          <cell r="H14">
            <v>735.11</v>
          </cell>
          <cell r="I14">
            <v>1046.2</v>
          </cell>
          <cell r="J14">
            <v>5327.39</v>
          </cell>
          <cell r="K14">
            <v>5327.39</v>
          </cell>
          <cell r="L14">
            <v>940.21199999999999</v>
          </cell>
          <cell r="M14">
            <v>17.815000000000001</v>
          </cell>
          <cell r="N14">
            <v>17.815000000000001</v>
          </cell>
          <cell r="O14">
            <v>27.934000000000001</v>
          </cell>
        </row>
        <row r="15">
          <cell r="A15" t="str">
            <v>00120</v>
          </cell>
          <cell r="B15">
            <v>78800012</v>
          </cell>
          <cell r="C15">
            <v>36892</v>
          </cell>
          <cell r="D15">
            <v>37256</v>
          </cell>
          <cell r="E15">
            <v>58.78</v>
          </cell>
          <cell r="F15">
            <v>5247.82</v>
          </cell>
          <cell r="G15">
            <v>2114.85</v>
          </cell>
          <cell r="H15">
            <v>889.25</v>
          </cell>
          <cell r="I15">
            <v>768.91</v>
          </cell>
          <cell r="J15">
            <v>9020.83</v>
          </cell>
          <cell r="K15">
            <v>9020.83</v>
          </cell>
          <cell r="L15">
            <v>3384.37</v>
          </cell>
          <cell r="M15">
            <v>21</v>
          </cell>
          <cell r="N15">
            <v>21</v>
          </cell>
          <cell r="O15">
            <v>20.53</v>
          </cell>
        </row>
        <row r="16">
          <cell r="A16" t="str">
            <v>00130</v>
          </cell>
          <cell r="B16">
            <v>78800013</v>
          </cell>
          <cell r="C16">
            <v>36892</v>
          </cell>
          <cell r="D16">
            <v>37256</v>
          </cell>
          <cell r="E16">
            <v>60.92</v>
          </cell>
          <cell r="F16">
            <v>3795.89</v>
          </cell>
          <cell r="G16">
            <v>3642.71</v>
          </cell>
          <cell r="H16">
            <v>1966.07</v>
          </cell>
          <cell r="I16">
            <v>2240.04</v>
          </cell>
          <cell r="J16">
            <v>11644.71</v>
          </cell>
          <cell r="K16">
            <v>11644.71</v>
          </cell>
          <cell r="L16">
            <v>1538.52</v>
          </cell>
          <cell r="M16">
            <v>49.16</v>
          </cell>
          <cell r="N16">
            <v>49.16</v>
          </cell>
          <cell r="O16">
            <v>59.81</v>
          </cell>
        </row>
        <row r="17">
          <cell r="A17" t="str">
            <v>00140</v>
          </cell>
          <cell r="B17">
            <v>78800014</v>
          </cell>
          <cell r="C17">
            <v>36892</v>
          </cell>
          <cell r="D17">
            <v>37256</v>
          </cell>
          <cell r="E17">
            <v>43.83</v>
          </cell>
          <cell r="F17">
            <v>3289.87</v>
          </cell>
          <cell r="G17">
            <v>3066.8</v>
          </cell>
          <cell r="H17">
            <v>1735.57</v>
          </cell>
          <cell r="I17">
            <v>1613.84</v>
          </cell>
          <cell r="J17">
            <v>9706.08</v>
          </cell>
          <cell r="K17">
            <v>9706.08</v>
          </cell>
          <cell r="L17">
            <v>1776.68</v>
          </cell>
          <cell r="M17">
            <v>43.79</v>
          </cell>
          <cell r="N17">
            <v>43.79</v>
          </cell>
          <cell r="O17">
            <v>43.09</v>
          </cell>
        </row>
        <row r="18">
          <cell r="A18" t="str">
            <v>00150</v>
          </cell>
          <cell r="B18">
            <v>78800015</v>
          </cell>
          <cell r="C18">
            <v>36892</v>
          </cell>
          <cell r="D18">
            <v>37256</v>
          </cell>
          <cell r="E18">
            <v>44.23</v>
          </cell>
          <cell r="F18">
            <v>4559.7700000000004</v>
          </cell>
          <cell r="G18">
            <v>2766.98</v>
          </cell>
          <cell r="H18">
            <v>1515.44</v>
          </cell>
          <cell r="I18">
            <v>1647.92</v>
          </cell>
          <cell r="J18">
            <v>10490.11</v>
          </cell>
          <cell r="K18">
            <v>10490.11</v>
          </cell>
          <cell r="L18">
            <v>3278.8270000000002</v>
          </cell>
          <cell r="M18">
            <v>38</v>
          </cell>
          <cell r="N18">
            <v>38</v>
          </cell>
          <cell r="O18">
            <v>44</v>
          </cell>
        </row>
        <row r="19">
          <cell r="A19" t="str">
            <v>00160</v>
          </cell>
          <cell r="B19">
            <v>78800016</v>
          </cell>
          <cell r="C19">
            <v>36892</v>
          </cell>
          <cell r="D19">
            <v>37256</v>
          </cell>
          <cell r="E19">
            <v>58.78</v>
          </cell>
          <cell r="F19">
            <v>11828.13</v>
          </cell>
          <cell r="G19">
            <v>5094.92</v>
          </cell>
          <cell r="H19">
            <v>3034.51</v>
          </cell>
          <cell r="I19">
            <v>3314.19</v>
          </cell>
          <cell r="J19">
            <v>23271.75</v>
          </cell>
          <cell r="K19">
            <v>23271.75</v>
          </cell>
          <cell r="L19">
            <v>11270.64</v>
          </cell>
          <cell r="M19">
            <v>77.27</v>
          </cell>
          <cell r="N19">
            <v>77.27</v>
          </cell>
          <cell r="O19">
            <v>88.49</v>
          </cell>
        </row>
        <row r="20">
          <cell r="A20" t="str">
            <v>00170</v>
          </cell>
          <cell r="B20">
            <v>78800017</v>
          </cell>
          <cell r="C20">
            <v>36892</v>
          </cell>
          <cell r="D20">
            <v>37256</v>
          </cell>
          <cell r="E20">
            <v>60.92</v>
          </cell>
          <cell r="F20">
            <v>13395.69</v>
          </cell>
          <cell r="G20">
            <v>3782.53</v>
          </cell>
          <cell r="H20">
            <v>2066.7199999999998</v>
          </cell>
          <cell r="I20">
            <v>3298.83</v>
          </cell>
          <cell r="J20">
            <v>22543.77</v>
          </cell>
          <cell r="K20">
            <v>22543.77</v>
          </cell>
          <cell r="L20">
            <v>13043.54</v>
          </cell>
          <cell r="M20">
            <v>51.8</v>
          </cell>
          <cell r="N20">
            <v>51.8</v>
          </cell>
          <cell r="O20">
            <v>88.08</v>
          </cell>
        </row>
        <row r="21">
          <cell r="A21" t="str">
            <v>00180</v>
          </cell>
          <cell r="B21">
            <v>78800018</v>
          </cell>
          <cell r="C21">
            <v>36892</v>
          </cell>
          <cell r="D21">
            <v>37256</v>
          </cell>
          <cell r="E21">
            <v>43.829999999999927</v>
          </cell>
          <cell r="F21">
            <v>4518.5200000000004</v>
          </cell>
          <cell r="G21">
            <v>3326.3</v>
          </cell>
          <cell r="H21">
            <v>1922.38</v>
          </cell>
          <cell r="I21">
            <v>1894.36</v>
          </cell>
          <cell r="J21">
            <v>11661.56</v>
          </cell>
          <cell r="K21">
            <v>11661.56</v>
          </cell>
          <cell r="L21">
            <v>3249.174</v>
          </cell>
          <cell r="M21">
            <v>48.69</v>
          </cell>
          <cell r="N21">
            <v>48.69</v>
          </cell>
          <cell r="O21">
            <v>50.58</v>
          </cell>
        </row>
        <row r="22">
          <cell r="A22" t="str">
            <v>00190</v>
          </cell>
          <cell r="B22">
            <v>78800019</v>
          </cell>
          <cell r="C22">
            <v>36892</v>
          </cell>
          <cell r="D22">
            <v>37256</v>
          </cell>
          <cell r="E22">
            <v>44.23</v>
          </cell>
          <cell r="F22">
            <v>6890.25</v>
          </cell>
          <cell r="G22">
            <v>2819.94</v>
          </cell>
          <cell r="H22">
            <v>1553.56</v>
          </cell>
          <cell r="I22">
            <v>2097.35</v>
          </cell>
          <cell r="J22">
            <v>13361.1</v>
          </cell>
          <cell r="K22">
            <v>13361.1</v>
          </cell>
          <cell r="L22">
            <v>6071.83</v>
          </cell>
          <cell r="M22">
            <v>39</v>
          </cell>
          <cell r="N22">
            <v>39</v>
          </cell>
          <cell r="O22">
            <v>56</v>
          </cell>
        </row>
        <row r="23">
          <cell r="A23" t="str">
            <v>00200</v>
          </cell>
          <cell r="B23">
            <v>78800020</v>
          </cell>
          <cell r="C23">
            <v>36892</v>
          </cell>
          <cell r="D23">
            <v>37256</v>
          </cell>
          <cell r="E23">
            <v>58.78</v>
          </cell>
          <cell r="F23">
            <v>6059.75</v>
          </cell>
          <cell r="G23">
            <v>2886.48</v>
          </cell>
          <cell r="H23">
            <v>1444.73</v>
          </cell>
          <cell r="I23">
            <v>2420.19</v>
          </cell>
          <cell r="J23">
            <v>12811.15</v>
          </cell>
          <cell r="K23">
            <v>12811.15</v>
          </cell>
          <cell r="L23">
            <v>4357.4369999999999</v>
          </cell>
          <cell r="M23">
            <v>35.57</v>
          </cell>
          <cell r="N23">
            <v>35.57</v>
          </cell>
          <cell r="O23">
            <v>64.62</v>
          </cell>
        </row>
        <row r="24">
          <cell r="A24" t="str">
            <v>00210</v>
          </cell>
          <cell r="B24">
            <v>78800021</v>
          </cell>
          <cell r="C24">
            <v>36892</v>
          </cell>
          <cell r="D24">
            <v>37256</v>
          </cell>
          <cell r="E24">
            <v>81.430000000000064</v>
          </cell>
          <cell r="F24">
            <v>8316.15</v>
          </cell>
          <cell r="G24">
            <v>6023.08</v>
          </cell>
          <cell r="H24">
            <v>3458.69</v>
          </cell>
          <cell r="I24">
            <v>2723.19</v>
          </cell>
          <cell r="J24">
            <v>20521.11</v>
          </cell>
          <cell r="K24">
            <v>20521.11</v>
          </cell>
          <cell r="L24">
            <v>5942.27</v>
          </cell>
          <cell r="M24">
            <v>87.5</v>
          </cell>
          <cell r="N24">
            <v>87.5</v>
          </cell>
          <cell r="O24">
            <v>72.709999999999994</v>
          </cell>
        </row>
        <row r="25">
          <cell r="A25" t="str">
            <v>00220</v>
          </cell>
          <cell r="B25">
            <v>78800401</v>
          </cell>
          <cell r="C25">
            <v>36892</v>
          </cell>
          <cell r="D25">
            <v>37256</v>
          </cell>
          <cell r="E25">
            <v>50.2</v>
          </cell>
          <cell r="F25">
            <v>0</v>
          </cell>
          <cell r="G25">
            <v>0</v>
          </cell>
          <cell r="H25">
            <v>0</v>
          </cell>
          <cell r="I25">
            <v>2247.16</v>
          </cell>
          <cell r="J25">
            <v>2247.16</v>
          </cell>
          <cell r="K25">
            <v>2247.16</v>
          </cell>
          <cell r="L25">
            <v>0</v>
          </cell>
          <cell r="M25">
            <v>0</v>
          </cell>
          <cell r="N25">
            <v>0</v>
          </cell>
          <cell r="O25">
            <v>60</v>
          </cell>
        </row>
        <row r="26">
          <cell r="A26" t="str">
            <v>00230</v>
          </cell>
          <cell r="B26">
            <v>78800601</v>
          </cell>
          <cell r="C26">
            <v>36892</v>
          </cell>
          <cell r="D26">
            <v>37256</v>
          </cell>
          <cell r="E26">
            <v>49.8</v>
          </cell>
          <cell r="F26">
            <v>0</v>
          </cell>
          <cell r="G26">
            <v>0</v>
          </cell>
          <cell r="H26">
            <v>0</v>
          </cell>
          <cell r="I26">
            <v>2271.13</v>
          </cell>
          <cell r="J26">
            <v>2271.13</v>
          </cell>
          <cell r="K26">
            <v>2271.13</v>
          </cell>
          <cell r="L26">
            <v>0</v>
          </cell>
          <cell r="M26">
            <v>0</v>
          </cell>
          <cell r="N26">
            <v>0</v>
          </cell>
          <cell r="O26">
            <v>60.64</v>
          </cell>
        </row>
        <row r="27">
          <cell r="A27" t="str">
            <v>00240</v>
          </cell>
          <cell r="B27">
            <v>78900001</v>
          </cell>
          <cell r="C27">
            <v>36892</v>
          </cell>
          <cell r="D27">
            <v>37256</v>
          </cell>
          <cell r="E27">
            <v>60.920000000000073</v>
          </cell>
          <cell r="F27">
            <v>7617.35</v>
          </cell>
          <cell r="G27">
            <v>1846.84</v>
          </cell>
          <cell r="H27">
            <v>673.27</v>
          </cell>
          <cell r="I27">
            <v>872.65</v>
          </cell>
          <cell r="J27">
            <v>11010.11</v>
          </cell>
          <cell r="K27">
            <v>11010.11</v>
          </cell>
          <cell r="L27">
            <v>6118.4</v>
          </cell>
          <cell r="M27">
            <v>15.25</v>
          </cell>
          <cell r="N27">
            <v>15.25</v>
          </cell>
          <cell r="O27">
            <v>23.3</v>
          </cell>
        </row>
        <row r="28">
          <cell r="A28" t="str">
            <v>00250</v>
          </cell>
          <cell r="B28">
            <v>78900002</v>
          </cell>
          <cell r="C28">
            <v>36892</v>
          </cell>
          <cell r="D28">
            <v>37256</v>
          </cell>
          <cell r="E28">
            <v>43.829999999999927</v>
          </cell>
          <cell r="F28">
            <v>8841.14</v>
          </cell>
          <cell r="G28">
            <v>3102.28</v>
          </cell>
          <cell r="H28">
            <v>1761.11</v>
          </cell>
          <cell r="I28">
            <v>2049.79</v>
          </cell>
          <cell r="J28">
            <v>15754.32</v>
          </cell>
          <cell r="K28">
            <v>15754.32</v>
          </cell>
          <cell r="L28">
            <v>8429.67</v>
          </cell>
          <cell r="M28">
            <v>44.46</v>
          </cell>
          <cell r="N28">
            <v>44.46</v>
          </cell>
          <cell r="O28">
            <v>54.73</v>
          </cell>
        </row>
        <row r="29">
          <cell r="A29" t="str">
            <v>00260</v>
          </cell>
          <cell r="B29">
            <v>78900003</v>
          </cell>
          <cell r="C29">
            <v>36892</v>
          </cell>
          <cell r="D29">
            <v>37256</v>
          </cell>
          <cell r="E29">
            <v>44.23</v>
          </cell>
          <cell r="F29">
            <v>2836.65</v>
          </cell>
          <cell r="G29">
            <v>1919.61</v>
          </cell>
          <cell r="H29">
            <v>905.44</v>
          </cell>
          <cell r="I29">
            <v>2097.35</v>
          </cell>
          <cell r="J29">
            <v>7759.05</v>
          </cell>
          <cell r="K29">
            <v>7759.05</v>
          </cell>
          <cell r="L29">
            <v>1213.75</v>
          </cell>
          <cell r="M29">
            <v>22</v>
          </cell>
          <cell r="N29">
            <v>22</v>
          </cell>
          <cell r="O29">
            <v>56</v>
          </cell>
        </row>
        <row r="30">
          <cell r="A30" t="str">
            <v>00270</v>
          </cell>
          <cell r="B30">
            <v>78900004</v>
          </cell>
          <cell r="C30">
            <v>36892</v>
          </cell>
          <cell r="D30">
            <v>37256</v>
          </cell>
          <cell r="E30">
            <v>58.78</v>
          </cell>
          <cell r="F30">
            <v>9485.18</v>
          </cell>
          <cell r="G30">
            <v>1909.37</v>
          </cell>
          <cell r="H30">
            <v>741.34</v>
          </cell>
          <cell r="I30">
            <v>2196.23</v>
          </cell>
          <cell r="J30">
            <v>14332.12</v>
          </cell>
          <cell r="K30">
            <v>14332.12</v>
          </cell>
          <cell r="L30">
            <v>8462.68</v>
          </cell>
          <cell r="M30">
            <v>17.12</v>
          </cell>
          <cell r="N30">
            <v>17.12</v>
          </cell>
          <cell r="O30">
            <v>58.64</v>
          </cell>
        </row>
        <row r="31">
          <cell r="A31" t="str">
            <v>00280</v>
          </cell>
          <cell r="B31">
            <v>78900005</v>
          </cell>
          <cell r="C31">
            <v>36892</v>
          </cell>
          <cell r="D31">
            <v>37256</v>
          </cell>
          <cell r="E31">
            <v>60.920000000000073</v>
          </cell>
          <cell r="F31">
            <v>4066.99</v>
          </cell>
          <cell r="G31">
            <v>2933.05</v>
          </cell>
          <cell r="H31">
            <v>1455.2</v>
          </cell>
          <cell r="I31">
            <v>2136.67</v>
          </cell>
          <cell r="J31">
            <v>10591.91</v>
          </cell>
          <cell r="K31">
            <v>10591.91</v>
          </cell>
          <cell r="L31">
            <v>1863.43</v>
          </cell>
          <cell r="M31">
            <v>35.76</v>
          </cell>
          <cell r="N31">
            <v>35.76</v>
          </cell>
          <cell r="O31">
            <v>57.05</v>
          </cell>
        </row>
        <row r="32">
          <cell r="A32" t="str">
            <v>00290</v>
          </cell>
          <cell r="B32">
            <v>78900006</v>
          </cell>
          <cell r="C32">
            <v>36892</v>
          </cell>
          <cell r="D32">
            <v>37256</v>
          </cell>
          <cell r="E32">
            <v>43.829999999999927</v>
          </cell>
          <cell r="F32">
            <v>3103.18</v>
          </cell>
          <cell r="G32">
            <v>2240.08</v>
          </cell>
          <cell r="H32">
            <v>1140.44</v>
          </cell>
          <cell r="I32">
            <v>1475.26</v>
          </cell>
          <cell r="J32">
            <v>7958.96</v>
          </cell>
          <cell r="K32">
            <v>7958.96</v>
          </cell>
          <cell r="L32">
            <v>1552.93</v>
          </cell>
          <cell r="M32">
            <v>28.18</v>
          </cell>
          <cell r="N32">
            <v>28.18</v>
          </cell>
          <cell r="O32">
            <v>39.39</v>
          </cell>
        </row>
        <row r="33">
          <cell r="A33" t="str">
            <v>00300</v>
          </cell>
          <cell r="B33">
            <v>78900007</v>
          </cell>
          <cell r="C33">
            <v>36892</v>
          </cell>
          <cell r="D33">
            <v>37256</v>
          </cell>
          <cell r="E33">
            <v>44.23</v>
          </cell>
          <cell r="F33">
            <v>3809.05</v>
          </cell>
          <cell r="G33">
            <v>2449.2199999999998</v>
          </cell>
          <cell r="H33">
            <v>1286.68</v>
          </cell>
          <cell r="I33">
            <v>1835.19</v>
          </cell>
          <cell r="J33">
            <v>9380.14</v>
          </cell>
          <cell r="K33">
            <v>9380.14</v>
          </cell>
          <cell r="L33">
            <v>2379.12</v>
          </cell>
          <cell r="M33">
            <v>32</v>
          </cell>
          <cell r="N33">
            <v>32</v>
          </cell>
          <cell r="O33">
            <v>49</v>
          </cell>
        </row>
        <row r="34">
          <cell r="A34" t="str">
            <v>00310</v>
          </cell>
          <cell r="B34">
            <v>78900008</v>
          </cell>
          <cell r="C34">
            <v>36892</v>
          </cell>
          <cell r="D34">
            <v>37256</v>
          </cell>
          <cell r="E34">
            <v>58.78</v>
          </cell>
          <cell r="F34">
            <v>3361.07</v>
          </cell>
          <cell r="G34">
            <v>1888.71</v>
          </cell>
          <cell r="H34">
            <v>726.48</v>
          </cell>
          <cell r="I34">
            <v>3292.84</v>
          </cell>
          <cell r="J34">
            <v>9269.1</v>
          </cell>
          <cell r="K34">
            <v>9269.1</v>
          </cell>
          <cell r="L34">
            <v>1123.17</v>
          </cell>
          <cell r="M34">
            <v>16.73</v>
          </cell>
          <cell r="N34">
            <v>16.73</v>
          </cell>
          <cell r="O34">
            <v>87.92</v>
          </cell>
        </row>
        <row r="35">
          <cell r="A35" t="str">
            <v>00320</v>
          </cell>
          <cell r="B35">
            <v>78900009</v>
          </cell>
          <cell r="C35">
            <v>36892</v>
          </cell>
          <cell r="D35">
            <v>37256</v>
          </cell>
          <cell r="E35">
            <v>60.920000000000073</v>
          </cell>
          <cell r="F35">
            <v>2599.09</v>
          </cell>
          <cell r="G35">
            <v>2324.02</v>
          </cell>
          <cell r="H35">
            <v>1016.77</v>
          </cell>
          <cell r="I35">
            <v>1164.4000000000001</v>
          </cell>
          <cell r="J35">
            <v>7104.28</v>
          </cell>
          <cell r="K35">
            <v>7104.28</v>
          </cell>
          <cell r="L35">
            <v>104.2</v>
          </cell>
          <cell r="M35">
            <v>24.26</v>
          </cell>
          <cell r="N35">
            <v>24.26</v>
          </cell>
          <cell r="O35">
            <v>31.09</v>
          </cell>
        </row>
        <row r="36">
          <cell r="A36" t="str">
            <v>00330</v>
          </cell>
          <cell r="B36">
            <v>78900010</v>
          </cell>
          <cell r="C36">
            <v>36892</v>
          </cell>
          <cell r="D36">
            <v>37256</v>
          </cell>
          <cell r="E36">
            <v>43.829999999999927</v>
          </cell>
          <cell r="F36">
            <v>4471.67</v>
          </cell>
          <cell r="G36">
            <v>2430.73</v>
          </cell>
          <cell r="H36">
            <v>1277.69</v>
          </cell>
          <cell r="I36">
            <v>1874.89</v>
          </cell>
          <cell r="J36">
            <v>10054.98</v>
          </cell>
          <cell r="K36">
            <v>10054.98</v>
          </cell>
          <cell r="L36">
            <v>3193.02</v>
          </cell>
          <cell r="M36">
            <v>31.78</v>
          </cell>
          <cell r="N36">
            <v>31.78</v>
          </cell>
          <cell r="O36">
            <v>50.06</v>
          </cell>
        </row>
        <row r="37">
          <cell r="A37" t="str">
            <v>00340</v>
          </cell>
          <cell r="B37">
            <v>78900011</v>
          </cell>
          <cell r="C37">
            <v>36892</v>
          </cell>
          <cell r="D37">
            <v>37256</v>
          </cell>
          <cell r="E37">
            <v>44.23</v>
          </cell>
          <cell r="F37">
            <v>2331.71</v>
          </cell>
          <cell r="G37">
            <v>2502.1799999999998</v>
          </cell>
          <cell r="H37">
            <v>1324.81</v>
          </cell>
          <cell r="I37">
            <v>3295.83</v>
          </cell>
          <cell r="J37">
            <v>9454.5300000000007</v>
          </cell>
          <cell r="K37">
            <v>9454.5300000000007</v>
          </cell>
          <cell r="L37">
            <v>608.58000000000004</v>
          </cell>
          <cell r="M37">
            <v>33</v>
          </cell>
          <cell r="N37">
            <v>33</v>
          </cell>
          <cell r="O37">
            <v>88</v>
          </cell>
        </row>
        <row r="38">
          <cell r="A38" t="str">
            <v>00350</v>
          </cell>
          <cell r="B38">
            <v>78900012</v>
          </cell>
          <cell r="C38">
            <v>36892</v>
          </cell>
          <cell r="D38">
            <v>37256</v>
          </cell>
          <cell r="E38">
            <v>58.78</v>
          </cell>
          <cell r="F38">
            <v>5596.54</v>
          </cell>
          <cell r="G38">
            <v>5077.97</v>
          </cell>
          <cell r="H38">
            <v>3022.32</v>
          </cell>
          <cell r="I38">
            <v>3450.15</v>
          </cell>
          <cell r="J38">
            <v>17146.98</v>
          </cell>
          <cell r="K38">
            <v>17146.98</v>
          </cell>
          <cell r="L38">
            <v>3802.3</v>
          </cell>
          <cell r="M38">
            <v>76.95</v>
          </cell>
          <cell r="N38">
            <v>76.95</v>
          </cell>
          <cell r="O38">
            <v>92.12</v>
          </cell>
        </row>
        <row r="39">
          <cell r="A39" t="str">
            <v>00360</v>
          </cell>
          <cell r="B39">
            <v>78900013</v>
          </cell>
          <cell r="C39">
            <v>36892</v>
          </cell>
          <cell r="D39">
            <v>37256</v>
          </cell>
          <cell r="E39">
            <v>60.920000000000073</v>
          </cell>
          <cell r="F39">
            <v>8049.43</v>
          </cell>
          <cell r="G39">
            <v>2988.14</v>
          </cell>
          <cell r="H39">
            <v>1494.85</v>
          </cell>
          <cell r="I39">
            <v>2289.11</v>
          </cell>
          <cell r="J39">
            <v>14821.53</v>
          </cell>
          <cell r="K39">
            <v>14821.53</v>
          </cell>
          <cell r="L39">
            <v>6636.23</v>
          </cell>
          <cell r="M39">
            <v>36.799999999999997</v>
          </cell>
          <cell r="N39">
            <v>36.799999999999997</v>
          </cell>
          <cell r="O39">
            <v>61.12</v>
          </cell>
        </row>
        <row r="40">
          <cell r="A40" t="str">
            <v>00370</v>
          </cell>
          <cell r="B40">
            <v>78900014</v>
          </cell>
          <cell r="C40">
            <v>36892</v>
          </cell>
          <cell r="D40">
            <v>37256</v>
          </cell>
          <cell r="E40">
            <v>43.829999999999927</v>
          </cell>
          <cell r="F40">
            <v>3081.21</v>
          </cell>
          <cell r="G40">
            <v>2071.67</v>
          </cell>
          <cell r="H40">
            <v>1019.21</v>
          </cell>
          <cell r="I40">
            <v>1161.03</v>
          </cell>
          <cell r="J40">
            <v>7333.12</v>
          </cell>
          <cell r="K40">
            <v>7333.12</v>
          </cell>
          <cell r="L40">
            <v>1526.61</v>
          </cell>
          <cell r="M40">
            <v>25</v>
          </cell>
          <cell r="N40">
            <v>25</v>
          </cell>
          <cell r="O40">
            <v>31</v>
          </cell>
        </row>
        <row r="41">
          <cell r="A41" t="str">
            <v>00380</v>
          </cell>
          <cell r="B41">
            <v>78900015</v>
          </cell>
          <cell r="C41">
            <v>36892</v>
          </cell>
          <cell r="D41">
            <v>37256</v>
          </cell>
          <cell r="E41">
            <v>44.229999999999791</v>
          </cell>
          <cell r="F41">
            <v>4676.8900000000003</v>
          </cell>
          <cell r="G41">
            <v>4742.3900000000003</v>
          </cell>
          <cell r="H41">
            <v>2937.47</v>
          </cell>
          <cell r="I41">
            <v>2996.96</v>
          </cell>
          <cell r="J41">
            <v>15353.71</v>
          </cell>
          <cell r="K41">
            <v>15353.71</v>
          </cell>
          <cell r="L41">
            <v>3419.2</v>
          </cell>
          <cell r="M41">
            <v>75.3</v>
          </cell>
          <cell r="N41">
            <v>75.3</v>
          </cell>
          <cell r="O41">
            <v>80.02</v>
          </cell>
        </row>
        <row r="42">
          <cell r="A42" t="str">
            <v>00390</v>
          </cell>
          <cell r="B42">
            <v>78900016</v>
          </cell>
          <cell r="C42">
            <v>36892</v>
          </cell>
          <cell r="D42">
            <v>37256</v>
          </cell>
          <cell r="E42">
            <v>58.7800000000002</v>
          </cell>
          <cell r="F42">
            <v>5472.88</v>
          </cell>
          <cell r="G42">
            <v>2266.3200000000002</v>
          </cell>
          <cell r="H42">
            <v>998.29</v>
          </cell>
          <cell r="I42">
            <v>1457.29</v>
          </cell>
          <cell r="J42">
            <v>10194.780000000001</v>
          </cell>
          <cell r="K42">
            <v>10194.780000000001</v>
          </cell>
          <cell r="L42">
            <v>3654.1</v>
          </cell>
          <cell r="M42">
            <v>23.86</v>
          </cell>
          <cell r="N42">
            <v>23.86</v>
          </cell>
          <cell r="O42">
            <v>38.909999999999997</v>
          </cell>
        </row>
        <row r="43">
          <cell r="A43" t="str">
            <v>00400</v>
          </cell>
          <cell r="B43">
            <v>78900017</v>
          </cell>
          <cell r="C43">
            <v>36892</v>
          </cell>
          <cell r="D43">
            <v>37256</v>
          </cell>
          <cell r="E43">
            <v>60.920000000000073</v>
          </cell>
          <cell r="F43">
            <v>5201.09</v>
          </cell>
          <cell r="G43">
            <v>2720.15</v>
          </cell>
          <cell r="H43">
            <v>1301.95</v>
          </cell>
          <cell r="I43">
            <v>1865.89</v>
          </cell>
          <cell r="J43">
            <v>11089.08</v>
          </cell>
          <cell r="K43">
            <v>11089.08</v>
          </cell>
          <cell r="L43">
            <v>3222.6</v>
          </cell>
          <cell r="M43">
            <v>31.74</v>
          </cell>
          <cell r="N43">
            <v>31.74</v>
          </cell>
          <cell r="O43">
            <v>49.82</v>
          </cell>
        </row>
        <row r="44">
          <cell r="A44" t="str">
            <v>00410</v>
          </cell>
          <cell r="B44">
            <v>78900018</v>
          </cell>
          <cell r="C44">
            <v>36892</v>
          </cell>
          <cell r="D44">
            <v>37256</v>
          </cell>
          <cell r="E44">
            <v>43.829999999999927</v>
          </cell>
          <cell r="F44">
            <v>2694.9</v>
          </cell>
          <cell r="G44">
            <v>2919.04</v>
          </cell>
          <cell r="H44">
            <v>1629.2</v>
          </cell>
          <cell r="I44">
            <v>936.32</v>
          </cell>
          <cell r="J44">
            <v>8179.46</v>
          </cell>
          <cell r="K44">
            <v>8179.46</v>
          </cell>
          <cell r="L44">
            <v>1063.6199999999999</v>
          </cell>
          <cell r="M44">
            <v>41</v>
          </cell>
          <cell r="N44">
            <v>41</v>
          </cell>
          <cell r="O44">
            <v>25</v>
          </cell>
        </row>
        <row r="45">
          <cell r="A45" t="str">
            <v>00420</v>
          </cell>
          <cell r="B45">
            <v>78900019</v>
          </cell>
          <cell r="C45">
            <v>36892</v>
          </cell>
          <cell r="D45">
            <v>37256</v>
          </cell>
          <cell r="E45">
            <v>44.23</v>
          </cell>
          <cell r="F45">
            <v>4361.5</v>
          </cell>
          <cell r="G45">
            <v>1632.57</v>
          </cell>
          <cell r="H45">
            <v>698.8</v>
          </cell>
          <cell r="I45">
            <v>4048.64</v>
          </cell>
          <cell r="J45">
            <v>10741.51</v>
          </cell>
          <cell r="K45">
            <v>10741.51</v>
          </cell>
          <cell r="L45">
            <v>3041.23</v>
          </cell>
          <cell r="M45">
            <v>16.579999999999998</v>
          </cell>
          <cell r="N45">
            <v>16.579999999999998</v>
          </cell>
          <cell r="O45">
            <v>108.1</v>
          </cell>
        </row>
        <row r="46">
          <cell r="A46" t="str">
            <v>00430</v>
          </cell>
          <cell r="B46">
            <v>78900020</v>
          </cell>
          <cell r="C46">
            <v>36892</v>
          </cell>
          <cell r="D46">
            <v>37256</v>
          </cell>
          <cell r="E46">
            <v>58.7800000000002</v>
          </cell>
          <cell r="F46">
            <v>7772.15</v>
          </cell>
          <cell r="G46">
            <v>4162.82</v>
          </cell>
          <cell r="H46">
            <v>2363.5300000000002</v>
          </cell>
          <cell r="I46">
            <v>3817.55</v>
          </cell>
          <cell r="J46">
            <v>18116.05</v>
          </cell>
          <cell r="K46">
            <v>18116.05</v>
          </cell>
          <cell r="L46">
            <v>6409.68</v>
          </cell>
          <cell r="M46">
            <v>59.67</v>
          </cell>
          <cell r="N46">
            <v>59.67</v>
          </cell>
          <cell r="O46">
            <v>101.93</v>
          </cell>
        </row>
        <row r="47">
          <cell r="A47" t="str">
            <v>00440</v>
          </cell>
          <cell r="B47">
            <v>78900021</v>
          </cell>
          <cell r="C47">
            <v>36892</v>
          </cell>
          <cell r="D47">
            <v>37256</v>
          </cell>
          <cell r="E47">
            <v>70.329999999999927</v>
          </cell>
          <cell r="F47">
            <v>9028.07</v>
          </cell>
          <cell r="G47">
            <v>4159.13</v>
          </cell>
          <cell r="H47">
            <v>2236.46</v>
          </cell>
          <cell r="I47">
            <v>2507.46</v>
          </cell>
          <cell r="J47">
            <v>17931.12</v>
          </cell>
          <cell r="K47">
            <v>17931.12</v>
          </cell>
          <cell r="L47">
            <v>7344.05</v>
          </cell>
          <cell r="M47">
            <v>55.88</v>
          </cell>
          <cell r="N47">
            <v>55.88</v>
          </cell>
          <cell r="O47">
            <v>66.95</v>
          </cell>
        </row>
        <row r="48">
          <cell r="A48" t="str">
            <v>00450</v>
          </cell>
          <cell r="B48">
            <v>78900022</v>
          </cell>
          <cell r="C48">
            <v>36892</v>
          </cell>
          <cell r="D48">
            <v>37256</v>
          </cell>
          <cell r="E48">
            <v>55.320000000000164</v>
          </cell>
          <cell r="F48">
            <v>4083.86</v>
          </cell>
          <cell r="G48">
            <v>2316.39</v>
          </cell>
          <cell r="H48">
            <v>1071.6099999999999</v>
          </cell>
          <cell r="I48">
            <v>2695.1</v>
          </cell>
          <cell r="J48">
            <v>10166.959999999999</v>
          </cell>
          <cell r="K48">
            <v>10166.959999999999</v>
          </cell>
          <cell r="L48">
            <v>2160.4</v>
          </cell>
          <cell r="M48">
            <v>25.92</v>
          </cell>
          <cell r="N48">
            <v>25.92</v>
          </cell>
          <cell r="O48">
            <v>71.959999999999994</v>
          </cell>
        </row>
        <row r="49">
          <cell r="A49" t="str">
            <v>00460</v>
          </cell>
          <cell r="B49">
            <v>78900601</v>
          </cell>
          <cell r="C49">
            <v>36892</v>
          </cell>
          <cell r="D49">
            <v>37103</v>
          </cell>
          <cell r="E49">
            <v>198.8</v>
          </cell>
          <cell r="F49">
            <v>0</v>
          </cell>
          <cell r="G49">
            <v>0</v>
          </cell>
          <cell r="H49">
            <v>0</v>
          </cell>
          <cell r="I49">
            <v>524.33000000000004</v>
          </cell>
          <cell r="J49">
            <v>524.33000000000004</v>
          </cell>
          <cell r="K49">
            <v>524.33000000000004</v>
          </cell>
          <cell r="L49">
            <v>0</v>
          </cell>
          <cell r="M49">
            <v>0</v>
          </cell>
          <cell r="N49">
            <v>0</v>
          </cell>
          <cell r="O49">
            <v>14</v>
          </cell>
        </row>
        <row r="50">
          <cell r="A50" t="str">
            <v>00460</v>
          </cell>
          <cell r="B50">
            <v>78900601</v>
          </cell>
          <cell r="C50">
            <v>37104</v>
          </cell>
          <cell r="D50">
            <v>37225</v>
          </cell>
          <cell r="E50">
            <v>198.8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</row>
        <row r="51">
          <cell r="A51" t="str">
            <v>00460</v>
          </cell>
          <cell r="B51">
            <v>78900601</v>
          </cell>
          <cell r="C51">
            <v>37226</v>
          </cell>
          <cell r="D51">
            <v>37256</v>
          </cell>
          <cell r="E51">
            <v>198.8</v>
          </cell>
          <cell r="F51">
            <v>0</v>
          </cell>
          <cell r="G51">
            <v>0</v>
          </cell>
          <cell r="H51">
            <v>0</v>
          </cell>
          <cell r="I51">
            <v>18.73</v>
          </cell>
          <cell r="J51">
            <v>18.73</v>
          </cell>
          <cell r="K51">
            <v>18.73</v>
          </cell>
          <cell r="L51">
            <v>0</v>
          </cell>
          <cell r="M51">
            <v>0</v>
          </cell>
          <cell r="N51">
            <v>0</v>
          </cell>
          <cell r="O51">
            <v>0.5</v>
          </cell>
        </row>
        <row r="52">
          <cell r="A52" t="str">
            <v>00470</v>
          </cell>
          <cell r="B52">
            <v>78900602</v>
          </cell>
          <cell r="C52">
            <v>36892</v>
          </cell>
          <cell r="D52">
            <v>37256</v>
          </cell>
          <cell r="E52">
            <v>49.800000000000182</v>
          </cell>
          <cell r="F52">
            <v>0</v>
          </cell>
          <cell r="G52">
            <v>0</v>
          </cell>
          <cell r="H52">
            <v>0</v>
          </cell>
          <cell r="I52">
            <v>898.86</v>
          </cell>
          <cell r="J52">
            <v>898.86</v>
          </cell>
          <cell r="K52">
            <v>898.86</v>
          </cell>
          <cell r="L52">
            <v>0</v>
          </cell>
          <cell r="M52">
            <v>0</v>
          </cell>
          <cell r="N52">
            <v>0</v>
          </cell>
          <cell r="O52">
            <v>24</v>
          </cell>
        </row>
        <row r="53">
          <cell r="A53" t="str">
            <v>00480</v>
          </cell>
          <cell r="B53">
            <v>79000001</v>
          </cell>
          <cell r="C53">
            <v>36892</v>
          </cell>
          <cell r="D53">
            <v>37256</v>
          </cell>
          <cell r="E53">
            <v>60.920000000000073</v>
          </cell>
          <cell r="F53">
            <v>5590.99</v>
          </cell>
          <cell r="G53">
            <v>3722.17</v>
          </cell>
          <cell r="H53">
            <v>2023.26</v>
          </cell>
          <cell r="I53">
            <v>2230.69</v>
          </cell>
          <cell r="J53">
            <v>13567.11</v>
          </cell>
          <cell r="K53">
            <v>13567.11</v>
          </cell>
          <cell r="L53">
            <v>3689.88</v>
          </cell>
          <cell r="M53">
            <v>50.66</v>
          </cell>
          <cell r="N53">
            <v>50.66</v>
          </cell>
          <cell r="O53">
            <v>59.56</v>
          </cell>
        </row>
        <row r="54">
          <cell r="A54" t="str">
            <v>00490</v>
          </cell>
          <cell r="B54">
            <v>79000002</v>
          </cell>
          <cell r="C54">
            <v>36892</v>
          </cell>
          <cell r="D54">
            <v>37011</v>
          </cell>
          <cell r="E54">
            <v>43.83</v>
          </cell>
          <cell r="F54">
            <v>2268.46</v>
          </cell>
          <cell r="G54">
            <v>292.41000000000003</v>
          </cell>
          <cell r="H54">
            <v>55.28</v>
          </cell>
          <cell r="I54">
            <v>146.81</v>
          </cell>
          <cell r="J54">
            <v>2762.96</v>
          </cell>
          <cell r="K54">
            <v>2762.96</v>
          </cell>
          <cell r="L54">
            <v>1462.325</v>
          </cell>
          <cell r="M54">
            <v>0.88</v>
          </cell>
          <cell r="N54">
            <v>0.88</v>
          </cell>
          <cell r="O54">
            <v>3.92</v>
          </cell>
        </row>
        <row r="55">
          <cell r="A55" t="str">
            <v>00490</v>
          </cell>
          <cell r="B55">
            <v>79000002</v>
          </cell>
          <cell r="C55">
            <v>37012</v>
          </cell>
          <cell r="D55">
            <v>37072</v>
          </cell>
          <cell r="E55">
            <v>43.83</v>
          </cell>
          <cell r="F55">
            <v>78.22</v>
          </cell>
          <cell r="G55">
            <v>124.95</v>
          </cell>
          <cell r="H55">
            <v>11.05</v>
          </cell>
          <cell r="I55">
            <v>0</v>
          </cell>
          <cell r="J55">
            <v>214.22</v>
          </cell>
          <cell r="K55">
            <v>214.22</v>
          </cell>
          <cell r="L55">
            <v>50.424999999999997</v>
          </cell>
          <cell r="M55">
            <v>0</v>
          </cell>
          <cell r="N55">
            <v>0</v>
          </cell>
          <cell r="O55">
            <v>0</v>
          </cell>
        </row>
        <row r="56">
          <cell r="A56" t="str">
            <v>00490</v>
          </cell>
          <cell r="B56">
            <v>79000002</v>
          </cell>
          <cell r="C56">
            <v>37073</v>
          </cell>
          <cell r="D56">
            <v>37256</v>
          </cell>
          <cell r="E56">
            <v>43.83</v>
          </cell>
          <cell r="F56">
            <v>1564.47</v>
          </cell>
          <cell r="G56">
            <v>694.67</v>
          </cell>
          <cell r="H56">
            <v>262.07</v>
          </cell>
          <cell r="I56">
            <v>411.98</v>
          </cell>
          <cell r="J56">
            <v>2933.19</v>
          </cell>
          <cell r="K56">
            <v>2933.19</v>
          </cell>
          <cell r="L56">
            <v>1008.5</v>
          </cell>
          <cell r="M56">
            <v>6</v>
          </cell>
          <cell r="N56">
            <v>6</v>
          </cell>
          <cell r="O56">
            <v>11</v>
          </cell>
        </row>
        <row r="57">
          <cell r="A57" t="str">
            <v>00500</v>
          </cell>
          <cell r="B57">
            <v>79000003</v>
          </cell>
          <cell r="C57">
            <v>36892</v>
          </cell>
          <cell r="D57">
            <v>37256</v>
          </cell>
          <cell r="E57">
            <v>44.23</v>
          </cell>
          <cell r="F57">
            <v>3022.92</v>
          </cell>
          <cell r="G57">
            <v>3032.84</v>
          </cell>
          <cell r="H57">
            <v>1706.81</v>
          </cell>
          <cell r="I57">
            <v>2689.11</v>
          </cell>
          <cell r="J57">
            <v>10451.68</v>
          </cell>
          <cell r="K57">
            <v>10451.68</v>
          </cell>
          <cell r="L57">
            <v>1436.99</v>
          </cell>
          <cell r="M57">
            <v>43.02</v>
          </cell>
          <cell r="N57">
            <v>43.02</v>
          </cell>
          <cell r="O57">
            <v>71.8</v>
          </cell>
        </row>
        <row r="58">
          <cell r="A58" t="str">
            <v>00510</v>
          </cell>
          <cell r="B58">
            <v>79000004</v>
          </cell>
          <cell r="C58">
            <v>36892</v>
          </cell>
          <cell r="D58">
            <v>37256</v>
          </cell>
          <cell r="E58">
            <v>58.7800000000002</v>
          </cell>
          <cell r="F58">
            <v>3189.21</v>
          </cell>
          <cell r="G58">
            <v>3631.63</v>
          </cell>
          <cell r="H58">
            <v>1981.14</v>
          </cell>
          <cell r="I58">
            <v>2895.84</v>
          </cell>
          <cell r="J58">
            <v>11697.82</v>
          </cell>
          <cell r="K58">
            <v>11697.82</v>
          </cell>
          <cell r="L58">
            <v>917.19</v>
          </cell>
          <cell r="M58">
            <v>49.64</v>
          </cell>
          <cell r="N58">
            <v>49.64</v>
          </cell>
          <cell r="O58">
            <v>77.319999999999993</v>
          </cell>
        </row>
        <row r="59">
          <cell r="A59" t="str">
            <v>00520</v>
          </cell>
          <cell r="B59">
            <v>79000005</v>
          </cell>
          <cell r="C59">
            <v>36892</v>
          </cell>
          <cell r="D59">
            <v>37256</v>
          </cell>
          <cell r="E59">
            <v>60.920000000000073</v>
          </cell>
          <cell r="F59">
            <v>7698.45</v>
          </cell>
          <cell r="G59">
            <v>3740.69</v>
          </cell>
          <cell r="H59">
            <v>2036.6</v>
          </cell>
          <cell r="I59">
            <v>4132.8999999999996</v>
          </cell>
          <cell r="J59">
            <v>17608.64</v>
          </cell>
          <cell r="K59">
            <v>17608.64</v>
          </cell>
          <cell r="L59">
            <v>6215.6</v>
          </cell>
          <cell r="M59">
            <v>51.01</v>
          </cell>
          <cell r="N59">
            <v>51.01</v>
          </cell>
          <cell r="O59">
            <v>110.35</v>
          </cell>
        </row>
        <row r="60">
          <cell r="A60" t="str">
            <v>00530</v>
          </cell>
          <cell r="B60">
            <v>79000006</v>
          </cell>
          <cell r="C60">
            <v>36892</v>
          </cell>
          <cell r="D60">
            <v>37256</v>
          </cell>
          <cell r="E60">
            <v>43.829999999999927</v>
          </cell>
          <cell r="F60">
            <v>4379.34</v>
          </cell>
          <cell r="G60">
            <v>7063.17</v>
          </cell>
          <cell r="H60">
            <v>4612.4399999999996</v>
          </cell>
          <cell r="I60">
            <v>4536.28</v>
          </cell>
          <cell r="J60">
            <v>20591.23</v>
          </cell>
          <cell r="K60">
            <v>20591.23</v>
          </cell>
          <cell r="L60">
            <v>3082.37</v>
          </cell>
          <cell r="M60">
            <v>119.25</v>
          </cell>
          <cell r="N60">
            <v>119.25</v>
          </cell>
          <cell r="O60">
            <v>121.12</v>
          </cell>
        </row>
        <row r="61">
          <cell r="A61" t="str">
            <v>00540</v>
          </cell>
          <cell r="B61">
            <v>79000007</v>
          </cell>
          <cell r="C61">
            <v>36892</v>
          </cell>
          <cell r="D61">
            <v>37256</v>
          </cell>
          <cell r="E61">
            <v>44.23</v>
          </cell>
          <cell r="F61">
            <v>3750.32</v>
          </cell>
          <cell r="G61">
            <v>1746.44</v>
          </cell>
          <cell r="H61">
            <v>780.78</v>
          </cell>
          <cell r="I61">
            <v>1536.31</v>
          </cell>
          <cell r="J61">
            <v>7813.85</v>
          </cell>
          <cell r="K61">
            <v>7813.85</v>
          </cell>
          <cell r="L61">
            <v>2308.7399999999998</v>
          </cell>
          <cell r="M61">
            <v>18.73</v>
          </cell>
          <cell r="N61">
            <v>18.73</v>
          </cell>
          <cell r="O61">
            <v>41.02</v>
          </cell>
        </row>
        <row r="62">
          <cell r="A62" t="str">
            <v>00550</v>
          </cell>
          <cell r="B62">
            <v>79000008</v>
          </cell>
          <cell r="C62">
            <v>36892</v>
          </cell>
          <cell r="D62">
            <v>37256</v>
          </cell>
          <cell r="E62">
            <v>58.7800000000002</v>
          </cell>
          <cell r="F62">
            <v>5723.41</v>
          </cell>
          <cell r="G62">
            <v>1699.11</v>
          </cell>
          <cell r="H62">
            <v>589.97</v>
          </cell>
          <cell r="I62">
            <v>1475.26</v>
          </cell>
          <cell r="J62">
            <v>9487.75</v>
          </cell>
          <cell r="K62">
            <v>9487.75</v>
          </cell>
          <cell r="L62">
            <v>3954.34</v>
          </cell>
          <cell r="M62">
            <v>13.15</v>
          </cell>
          <cell r="N62">
            <v>13.15</v>
          </cell>
          <cell r="O62">
            <v>39.39</v>
          </cell>
        </row>
        <row r="63">
          <cell r="A63" t="str">
            <v>00560</v>
          </cell>
          <cell r="B63">
            <v>79000009</v>
          </cell>
          <cell r="C63">
            <v>36892</v>
          </cell>
          <cell r="D63">
            <v>37256</v>
          </cell>
          <cell r="E63">
            <v>60.920000000000073</v>
          </cell>
          <cell r="F63">
            <v>5748.72</v>
          </cell>
          <cell r="G63">
            <v>7433.08</v>
          </cell>
          <cell r="H63">
            <v>4694.6400000000003</v>
          </cell>
          <cell r="I63">
            <v>4416.42</v>
          </cell>
          <cell r="J63">
            <v>22292.86</v>
          </cell>
          <cell r="K63">
            <v>22292.86</v>
          </cell>
          <cell r="L63">
            <v>3878.92</v>
          </cell>
          <cell r="M63">
            <v>120.73</v>
          </cell>
          <cell r="N63">
            <v>120.73</v>
          </cell>
          <cell r="O63">
            <v>117.92</v>
          </cell>
        </row>
        <row r="64">
          <cell r="A64" t="str">
            <v>00570</v>
          </cell>
          <cell r="B64">
            <v>79000010</v>
          </cell>
          <cell r="C64">
            <v>36892</v>
          </cell>
          <cell r="D64">
            <v>37256</v>
          </cell>
          <cell r="E64">
            <v>43.829999999999927</v>
          </cell>
          <cell r="F64">
            <v>4340.83</v>
          </cell>
          <cell r="G64">
            <v>3339.54</v>
          </cell>
          <cell r="H64">
            <v>1931.91</v>
          </cell>
          <cell r="I64">
            <v>1915.33</v>
          </cell>
          <cell r="J64">
            <v>11527.61</v>
          </cell>
          <cell r="K64">
            <v>11527.61</v>
          </cell>
          <cell r="L64">
            <v>3036.21</v>
          </cell>
          <cell r="M64">
            <v>48.94</v>
          </cell>
          <cell r="N64">
            <v>48.94</v>
          </cell>
          <cell r="O64">
            <v>51.14</v>
          </cell>
        </row>
        <row r="65">
          <cell r="A65" t="str">
            <v>00580</v>
          </cell>
          <cell r="B65">
            <v>79000011</v>
          </cell>
          <cell r="C65">
            <v>36892</v>
          </cell>
          <cell r="D65">
            <v>37256</v>
          </cell>
          <cell r="E65">
            <v>44.329999999999927</v>
          </cell>
          <cell r="F65">
            <v>2151.61</v>
          </cell>
          <cell r="G65">
            <v>1502.94</v>
          </cell>
          <cell r="H65">
            <v>604.41</v>
          </cell>
          <cell r="I65">
            <v>765.91</v>
          </cell>
          <cell r="J65">
            <v>5024.87</v>
          </cell>
          <cell r="K65">
            <v>5024.87</v>
          </cell>
          <cell r="L65">
            <v>387.8</v>
          </cell>
          <cell r="M65">
            <v>14.1</v>
          </cell>
          <cell r="N65">
            <v>14.1</v>
          </cell>
          <cell r="O65">
            <v>20.45</v>
          </cell>
        </row>
        <row r="66">
          <cell r="A66" t="str">
            <v>00590</v>
          </cell>
          <cell r="B66">
            <v>79000012</v>
          </cell>
          <cell r="C66">
            <v>36892</v>
          </cell>
          <cell r="D66">
            <v>37256</v>
          </cell>
          <cell r="E66">
            <v>58.7800000000002</v>
          </cell>
          <cell r="F66">
            <v>3662.69</v>
          </cell>
          <cell r="G66">
            <v>3214.83</v>
          </cell>
          <cell r="H66">
            <v>1681.11</v>
          </cell>
          <cell r="I66">
            <v>2218.3200000000002</v>
          </cell>
          <cell r="J66">
            <v>10776.95</v>
          </cell>
          <cell r="K66">
            <v>10776.95</v>
          </cell>
          <cell r="L66">
            <v>1484.65</v>
          </cell>
          <cell r="M66">
            <v>41.77</v>
          </cell>
          <cell r="N66">
            <v>41.77</v>
          </cell>
          <cell r="O66">
            <v>59.23</v>
          </cell>
        </row>
        <row r="67">
          <cell r="A67" t="str">
            <v>00600</v>
          </cell>
          <cell r="B67">
            <v>79000013</v>
          </cell>
          <cell r="C67">
            <v>36892</v>
          </cell>
          <cell r="D67">
            <v>37256</v>
          </cell>
          <cell r="E67">
            <v>60.920000000000073</v>
          </cell>
          <cell r="F67">
            <v>11192.45</v>
          </cell>
          <cell r="G67">
            <v>2991.83</v>
          </cell>
          <cell r="H67">
            <v>1497.52</v>
          </cell>
          <cell r="I67">
            <v>2496.6</v>
          </cell>
          <cell r="J67">
            <v>18178.400000000001</v>
          </cell>
          <cell r="K67">
            <v>18178.400000000001</v>
          </cell>
          <cell r="L67">
            <v>10403.040000000001</v>
          </cell>
          <cell r="M67">
            <v>36.869999999999997</v>
          </cell>
          <cell r="N67">
            <v>36.869999999999997</v>
          </cell>
          <cell r="O67">
            <v>66.66</v>
          </cell>
        </row>
        <row r="68">
          <cell r="A68" t="str">
            <v>00610</v>
          </cell>
          <cell r="B68">
            <v>79000014</v>
          </cell>
          <cell r="C68">
            <v>36892</v>
          </cell>
          <cell r="D68">
            <v>37256</v>
          </cell>
          <cell r="E68">
            <v>43.829999999999927</v>
          </cell>
          <cell r="F68">
            <v>1863.67</v>
          </cell>
          <cell r="G68">
            <v>1635.29</v>
          </cell>
          <cell r="H68">
            <v>705.05</v>
          </cell>
          <cell r="I68">
            <v>4130.66</v>
          </cell>
          <cell r="J68">
            <v>8334.67</v>
          </cell>
          <cell r="K68">
            <v>8334.67</v>
          </cell>
          <cell r="L68">
            <v>67.430000000000007</v>
          </cell>
          <cell r="M68">
            <v>16.760000000000002</v>
          </cell>
          <cell r="N68">
            <v>16.760000000000002</v>
          </cell>
          <cell r="O68">
            <v>110.29</v>
          </cell>
        </row>
        <row r="69">
          <cell r="A69" t="str">
            <v>00620</v>
          </cell>
          <cell r="B69">
            <v>79000015</v>
          </cell>
          <cell r="C69">
            <v>36892</v>
          </cell>
          <cell r="D69">
            <v>37256</v>
          </cell>
          <cell r="E69">
            <v>44.23</v>
          </cell>
          <cell r="F69">
            <v>7582.03</v>
          </cell>
          <cell r="G69">
            <v>5388.5</v>
          </cell>
          <cell r="H69">
            <v>3402.6</v>
          </cell>
          <cell r="I69">
            <v>1494.74</v>
          </cell>
          <cell r="J69">
            <v>17867.87</v>
          </cell>
          <cell r="K69">
            <v>17867.87</v>
          </cell>
          <cell r="L69">
            <v>6900.9</v>
          </cell>
          <cell r="M69">
            <v>87.5</v>
          </cell>
          <cell r="N69">
            <v>87.5</v>
          </cell>
          <cell r="O69">
            <v>39.909999999999997</v>
          </cell>
        </row>
        <row r="70">
          <cell r="A70" t="str">
            <v>00630</v>
          </cell>
          <cell r="B70">
            <v>79000016</v>
          </cell>
          <cell r="C70">
            <v>36892</v>
          </cell>
          <cell r="D70">
            <v>37256</v>
          </cell>
          <cell r="E70">
            <v>58.7800000000002</v>
          </cell>
          <cell r="F70">
            <v>2837.87</v>
          </cell>
          <cell r="G70">
            <v>5224.68</v>
          </cell>
          <cell r="H70">
            <v>3127.93</v>
          </cell>
          <cell r="I70">
            <v>3117.93</v>
          </cell>
          <cell r="J70">
            <v>14308.41</v>
          </cell>
          <cell r="K70">
            <v>14308.41</v>
          </cell>
          <cell r="L70">
            <v>496.12</v>
          </cell>
          <cell r="M70">
            <v>79.72</v>
          </cell>
          <cell r="N70">
            <v>79.72</v>
          </cell>
          <cell r="O70">
            <v>83.25</v>
          </cell>
        </row>
        <row r="71">
          <cell r="A71" t="str">
            <v>00640</v>
          </cell>
          <cell r="B71">
            <v>79000017</v>
          </cell>
          <cell r="C71">
            <v>36892</v>
          </cell>
          <cell r="D71">
            <v>37256</v>
          </cell>
          <cell r="E71">
            <v>60.920000000000073</v>
          </cell>
          <cell r="F71">
            <v>2594.3200000000002</v>
          </cell>
          <cell r="G71">
            <v>1422.63</v>
          </cell>
          <cell r="H71">
            <v>367.89</v>
          </cell>
          <cell r="I71">
            <v>748.68</v>
          </cell>
          <cell r="J71">
            <v>5133.5200000000004</v>
          </cell>
          <cell r="K71">
            <v>5133.5200000000004</v>
          </cell>
          <cell r="L71">
            <v>98.48</v>
          </cell>
          <cell r="M71">
            <v>7.24</v>
          </cell>
          <cell r="N71">
            <v>7.24</v>
          </cell>
          <cell r="O71">
            <v>19.989999999999998</v>
          </cell>
        </row>
        <row r="72">
          <cell r="A72" t="str">
            <v>00650</v>
          </cell>
          <cell r="B72">
            <v>79000018</v>
          </cell>
          <cell r="C72">
            <v>36892</v>
          </cell>
          <cell r="D72">
            <v>37256</v>
          </cell>
          <cell r="E72">
            <v>43.829999999999927</v>
          </cell>
          <cell r="F72">
            <v>4539.37</v>
          </cell>
          <cell r="G72">
            <v>2960.87</v>
          </cell>
          <cell r="H72">
            <v>1659.31</v>
          </cell>
          <cell r="I72">
            <v>1305.23</v>
          </cell>
          <cell r="J72">
            <v>10464.780000000001</v>
          </cell>
          <cell r="K72">
            <v>10464.780000000001</v>
          </cell>
          <cell r="L72">
            <v>3274.16</v>
          </cell>
          <cell r="M72">
            <v>41.79</v>
          </cell>
          <cell r="N72">
            <v>41.79</v>
          </cell>
          <cell r="O72">
            <v>34.85</v>
          </cell>
        </row>
        <row r="73">
          <cell r="A73" t="str">
            <v>00660</v>
          </cell>
          <cell r="B73">
            <v>79000019</v>
          </cell>
          <cell r="C73">
            <v>36892</v>
          </cell>
          <cell r="D73">
            <v>37256</v>
          </cell>
          <cell r="E73">
            <v>44.229999999999563</v>
          </cell>
          <cell r="F73">
            <v>4683.3599999999997</v>
          </cell>
          <cell r="G73">
            <v>2277.1</v>
          </cell>
          <cell r="H73">
            <v>1162.79</v>
          </cell>
          <cell r="I73">
            <v>892.87</v>
          </cell>
          <cell r="J73">
            <v>9016.1200000000008</v>
          </cell>
          <cell r="K73">
            <v>9016.1200000000008</v>
          </cell>
          <cell r="L73">
            <v>3426.96</v>
          </cell>
          <cell r="M73">
            <v>28.75</v>
          </cell>
          <cell r="N73">
            <v>28.75</v>
          </cell>
          <cell r="O73">
            <v>23.84</v>
          </cell>
        </row>
        <row r="74">
          <cell r="A74" t="str">
            <v>00670</v>
          </cell>
          <cell r="B74">
            <v>79000020</v>
          </cell>
          <cell r="C74">
            <v>36892</v>
          </cell>
          <cell r="D74">
            <v>37256</v>
          </cell>
          <cell r="E74">
            <v>58.779999999999745</v>
          </cell>
          <cell r="F74">
            <v>6411.5</v>
          </cell>
          <cell r="G74">
            <v>1513.76</v>
          </cell>
          <cell r="H74">
            <v>456.54</v>
          </cell>
          <cell r="I74">
            <v>1075.6400000000001</v>
          </cell>
          <cell r="J74">
            <v>9457.44</v>
          </cell>
          <cell r="K74">
            <v>9457.44</v>
          </cell>
          <cell r="L74">
            <v>4778.99</v>
          </cell>
          <cell r="M74">
            <v>9.65</v>
          </cell>
          <cell r="N74">
            <v>9.65</v>
          </cell>
          <cell r="O74">
            <v>28.72</v>
          </cell>
        </row>
        <row r="75">
          <cell r="A75" t="str">
            <v>00680</v>
          </cell>
          <cell r="B75">
            <v>79000021</v>
          </cell>
          <cell r="C75">
            <v>36892</v>
          </cell>
          <cell r="D75">
            <v>37256</v>
          </cell>
          <cell r="E75">
            <v>70.329999999999927</v>
          </cell>
          <cell r="F75">
            <v>14285.62</v>
          </cell>
          <cell r="G75">
            <v>6938.47</v>
          </cell>
          <cell r="H75">
            <v>4237.2299999999996</v>
          </cell>
          <cell r="I75">
            <v>4803.3100000000004</v>
          </cell>
          <cell r="J75">
            <v>30264.63</v>
          </cell>
          <cell r="K75">
            <v>30264.63</v>
          </cell>
          <cell r="L75">
            <v>13645.04</v>
          </cell>
          <cell r="M75">
            <v>108.36</v>
          </cell>
          <cell r="N75">
            <v>108.36</v>
          </cell>
          <cell r="O75">
            <v>128.25</v>
          </cell>
        </row>
        <row r="76">
          <cell r="A76" t="str">
            <v>00690</v>
          </cell>
          <cell r="B76">
            <v>79000022</v>
          </cell>
          <cell r="C76">
            <v>36892</v>
          </cell>
          <cell r="D76">
            <v>37256</v>
          </cell>
          <cell r="E76">
            <v>56.130000000000109</v>
          </cell>
          <cell r="F76">
            <v>5252.12</v>
          </cell>
          <cell r="G76">
            <v>1010.44</v>
          </cell>
          <cell r="H76">
            <v>122.78</v>
          </cell>
          <cell r="I76">
            <v>17452.96</v>
          </cell>
          <cell r="J76">
            <v>23838.3</v>
          </cell>
          <cell r="K76">
            <v>23838.3</v>
          </cell>
          <cell r="L76">
            <v>3520.49</v>
          </cell>
          <cell r="M76">
            <v>1</v>
          </cell>
          <cell r="N76">
            <v>1</v>
          </cell>
          <cell r="O76">
            <v>466</v>
          </cell>
        </row>
        <row r="77">
          <cell r="A77" t="str">
            <v>00700</v>
          </cell>
          <cell r="B77">
            <v>79000601</v>
          </cell>
          <cell r="C77">
            <v>36892</v>
          </cell>
          <cell r="D77">
            <v>37011</v>
          </cell>
          <cell r="E77">
            <v>49.1</v>
          </cell>
          <cell r="F77">
            <v>0</v>
          </cell>
          <cell r="G77">
            <v>0</v>
          </cell>
          <cell r="H77">
            <v>0</v>
          </cell>
          <cell r="I77">
            <v>147.87</v>
          </cell>
          <cell r="J77">
            <v>147.87</v>
          </cell>
          <cell r="K77">
            <v>147.87</v>
          </cell>
          <cell r="L77">
            <v>0</v>
          </cell>
          <cell r="M77">
            <v>0</v>
          </cell>
          <cell r="N77">
            <v>0</v>
          </cell>
          <cell r="O77">
            <v>3.948</v>
          </cell>
        </row>
        <row r="78">
          <cell r="A78" t="str">
            <v>00700</v>
          </cell>
          <cell r="B78">
            <v>79000601</v>
          </cell>
          <cell r="C78">
            <v>37012</v>
          </cell>
          <cell r="D78">
            <v>37256</v>
          </cell>
          <cell r="E78">
            <v>49.1</v>
          </cell>
          <cell r="F78">
            <v>0</v>
          </cell>
          <cell r="G78">
            <v>0</v>
          </cell>
          <cell r="H78">
            <v>0</v>
          </cell>
          <cell r="I78">
            <v>301.94</v>
          </cell>
          <cell r="J78">
            <v>301.94</v>
          </cell>
          <cell r="K78">
            <v>301.94</v>
          </cell>
          <cell r="L78">
            <v>0</v>
          </cell>
          <cell r="M78">
            <v>0</v>
          </cell>
          <cell r="N78">
            <v>0</v>
          </cell>
          <cell r="O78">
            <v>8.0619999999999994</v>
          </cell>
        </row>
        <row r="79">
          <cell r="A79" t="str">
            <v>00710</v>
          </cell>
          <cell r="B79">
            <v>79100001</v>
          </cell>
          <cell r="C79">
            <v>36892</v>
          </cell>
          <cell r="D79">
            <v>37256</v>
          </cell>
          <cell r="E79">
            <v>59.529999999999745</v>
          </cell>
          <cell r="F79">
            <v>5486.74</v>
          </cell>
          <cell r="G79">
            <v>5106.67</v>
          </cell>
          <cell r="H79">
            <v>3034.88</v>
          </cell>
          <cell r="I79">
            <v>2543.04</v>
          </cell>
          <cell r="J79">
            <v>16171.33</v>
          </cell>
          <cell r="K79">
            <v>16171.33</v>
          </cell>
          <cell r="L79">
            <v>3633.63</v>
          </cell>
          <cell r="M79">
            <v>77.25</v>
          </cell>
          <cell r="N79">
            <v>77.25</v>
          </cell>
          <cell r="O79">
            <v>67.900000000000006</v>
          </cell>
        </row>
        <row r="80">
          <cell r="A80" t="str">
            <v>00720</v>
          </cell>
          <cell r="B80">
            <v>79100002</v>
          </cell>
          <cell r="C80">
            <v>36892</v>
          </cell>
          <cell r="D80">
            <v>37256</v>
          </cell>
          <cell r="E80">
            <v>57.800000000000182</v>
          </cell>
          <cell r="F80">
            <v>7278.4</v>
          </cell>
          <cell r="G80">
            <v>5787.87</v>
          </cell>
          <cell r="H80">
            <v>3543.92</v>
          </cell>
          <cell r="I80">
            <v>3210.82</v>
          </cell>
          <cell r="J80">
            <v>19821.009999999998</v>
          </cell>
          <cell r="K80">
            <v>19821.009999999998</v>
          </cell>
          <cell r="L80">
            <v>5866.38</v>
          </cell>
          <cell r="M80">
            <v>90.67</v>
          </cell>
          <cell r="N80">
            <v>90.67</v>
          </cell>
          <cell r="O80">
            <v>85.73</v>
          </cell>
        </row>
        <row r="81">
          <cell r="A81" t="str">
            <v>00730</v>
          </cell>
          <cell r="B81">
            <v>79100003</v>
          </cell>
          <cell r="C81">
            <v>36892</v>
          </cell>
          <cell r="D81">
            <v>37256</v>
          </cell>
          <cell r="E81">
            <v>60.130000000000109</v>
          </cell>
          <cell r="F81">
            <v>3447.09</v>
          </cell>
          <cell r="G81">
            <v>1487.53</v>
          </cell>
          <cell r="H81">
            <v>423.11</v>
          </cell>
          <cell r="I81">
            <v>823.96</v>
          </cell>
          <cell r="J81">
            <v>6181.69</v>
          </cell>
          <cell r="K81">
            <v>6181.69</v>
          </cell>
          <cell r="L81">
            <v>1159.53</v>
          </cell>
          <cell r="M81">
            <v>8.7200000000000006</v>
          </cell>
          <cell r="N81">
            <v>8.7200000000000006</v>
          </cell>
          <cell r="O81">
            <v>22</v>
          </cell>
        </row>
        <row r="82">
          <cell r="A82" t="str">
            <v>00740</v>
          </cell>
          <cell r="B82">
            <v>79100004</v>
          </cell>
          <cell r="C82">
            <v>36892</v>
          </cell>
          <cell r="D82">
            <v>37256</v>
          </cell>
          <cell r="E82">
            <v>59.529999999999745</v>
          </cell>
          <cell r="F82">
            <v>11531.37</v>
          </cell>
          <cell r="G82">
            <v>4168.7299999999996</v>
          </cell>
          <cell r="H82">
            <v>2359.7199999999998</v>
          </cell>
          <cell r="I82">
            <v>3383.1</v>
          </cell>
          <cell r="J82">
            <v>21442.92</v>
          </cell>
          <cell r="K82">
            <v>21442.92</v>
          </cell>
          <cell r="L82">
            <v>10877.92</v>
          </cell>
          <cell r="M82">
            <v>59.54</v>
          </cell>
          <cell r="N82">
            <v>59.54</v>
          </cell>
          <cell r="O82">
            <v>90.33</v>
          </cell>
        </row>
        <row r="83">
          <cell r="A83" t="str">
            <v>00750</v>
          </cell>
          <cell r="B83">
            <v>79100005</v>
          </cell>
          <cell r="C83">
            <v>36892</v>
          </cell>
          <cell r="D83">
            <v>37256</v>
          </cell>
          <cell r="E83">
            <v>57.800000000000182</v>
          </cell>
          <cell r="F83">
            <v>2712.97</v>
          </cell>
          <cell r="G83">
            <v>1794.68</v>
          </cell>
          <cell r="H83">
            <v>669.32</v>
          </cell>
          <cell r="I83">
            <v>709.35</v>
          </cell>
          <cell r="J83">
            <v>5886.32</v>
          </cell>
          <cell r="K83">
            <v>5886.32</v>
          </cell>
          <cell r="L83">
            <v>394.87</v>
          </cell>
          <cell r="M83">
            <v>15.27</v>
          </cell>
          <cell r="N83">
            <v>15.27</v>
          </cell>
          <cell r="O83">
            <v>18.940000000000001</v>
          </cell>
        </row>
        <row r="84">
          <cell r="A84" t="str">
            <v>00760</v>
          </cell>
          <cell r="B84">
            <v>79100006</v>
          </cell>
          <cell r="C84">
            <v>36892</v>
          </cell>
          <cell r="D84">
            <v>37256</v>
          </cell>
          <cell r="E84">
            <v>60.130000000000109</v>
          </cell>
          <cell r="F84">
            <v>8995.7000000000007</v>
          </cell>
          <cell r="G84">
            <v>2611.88</v>
          </cell>
          <cell r="H84">
            <v>1232.5</v>
          </cell>
          <cell r="I84">
            <v>2019.45</v>
          </cell>
          <cell r="J84">
            <v>14859.53</v>
          </cell>
          <cell r="K84">
            <v>14859.53</v>
          </cell>
          <cell r="L84">
            <v>7809.35</v>
          </cell>
          <cell r="M84">
            <v>29.95</v>
          </cell>
          <cell r="N84">
            <v>29.95</v>
          </cell>
          <cell r="O84">
            <v>53.92</v>
          </cell>
        </row>
        <row r="85">
          <cell r="A85" t="str">
            <v>00770</v>
          </cell>
          <cell r="B85">
            <v>79100007</v>
          </cell>
          <cell r="C85">
            <v>36892</v>
          </cell>
          <cell r="D85">
            <v>37256</v>
          </cell>
          <cell r="E85">
            <v>59.529999999999745</v>
          </cell>
          <cell r="F85">
            <v>3145.09</v>
          </cell>
          <cell r="G85">
            <v>3795.36</v>
          </cell>
          <cell r="H85">
            <v>2090.94</v>
          </cell>
          <cell r="I85">
            <v>2552.41</v>
          </cell>
          <cell r="J85">
            <v>11583.8</v>
          </cell>
          <cell r="K85">
            <v>11583.8</v>
          </cell>
          <cell r="L85">
            <v>827.26</v>
          </cell>
          <cell r="M85">
            <v>52.49</v>
          </cell>
          <cell r="N85">
            <v>52.49</v>
          </cell>
          <cell r="O85">
            <v>68.150000000000006</v>
          </cell>
        </row>
        <row r="86">
          <cell r="A86" t="str">
            <v>00780</v>
          </cell>
          <cell r="B86">
            <v>79100008</v>
          </cell>
          <cell r="C86">
            <v>36892</v>
          </cell>
          <cell r="D86">
            <v>37164</v>
          </cell>
          <cell r="E86">
            <v>57.2</v>
          </cell>
          <cell r="F86">
            <v>6154.5</v>
          </cell>
          <cell r="G86">
            <v>3092.99</v>
          </cell>
          <cell r="H86">
            <v>1765.7</v>
          </cell>
          <cell r="I86">
            <v>3184.45</v>
          </cell>
          <cell r="J86">
            <v>14197.64</v>
          </cell>
          <cell r="K86">
            <v>14197.64</v>
          </cell>
          <cell r="L86">
            <v>5651.5590000000002</v>
          </cell>
          <cell r="M86">
            <v>44.622</v>
          </cell>
          <cell r="N86">
            <v>44.622</v>
          </cell>
          <cell r="O86">
            <v>85.025999999999996</v>
          </cell>
        </row>
        <row r="87">
          <cell r="A87" t="str">
            <v>00780</v>
          </cell>
          <cell r="B87">
            <v>79100008</v>
          </cell>
          <cell r="C87">
            <v>37165</v>
          </cell>
          <cell r="D87">
            <v>37256</v>
          </cell>
          <cell r="E87">
            <v>57.2</v>
          </cell>
          <cell r="F87">
            <v>3934.85</v>
          </cell>
          <cell r="G87">
            <v>1042.3499999999999</v>
          </cell>
          <cell r="H87">
            <v>595.07000000000005</v>
          </cell>
          <cell r="I87">
            <v>1073.17</v>
          </cell>
          <cell r="J87">
            <v>6645.44</v>
          </cell>
          <cell r="K87">
            <v>6645.44</v>
          </cell>
          <cell r="L87">
            <v>3613.2919999999999</v>
          </cell>
          <cell r="M87">
            <v>15.038</v>
          </cell>
          <cell r="N87">
            <v>15.038</v>
          </cell>
          <cell r="O87">
            <v>28.654</v>
          </cell>
        </row>
        <row r="88">
          <cell r="A88" t="str">
            <v>00790</v>
          </cell>
          <cell r="B88">
            <v>79100009</v>
          </cell>
          <cell r="C88">
            <v>36892</v>
          </cell>
          <cell r="D88">
            <v>37256</v>
          </cell>
          <cell r="E88">
            <v>60.130000000000109</v>
          </cell>
          <cell r="F88">
            <v>3971.34</v>
          </cell>
          <cell r="G88">
            <v>3126.65</v>
          </cell>
          <cell r="H88">
            <v>1603.07</v>
          </cell>
          <cell r="I88">
            <v>2666.63</v>
          </cell>
          <cell r="J88">
            <v>11367.69</v>
          </cell>
          <cell r="K88">
            <v>11367.69</v>
          </cell>
          <cell r="L88">
            <v>1787.83</v>
          </cell>
          <cell r="M88">
            <v>39.67</v>
          </cell>
          <cell r="N88">
            <v>39.67</v>
          </cell>
          <cell r="O88">
            <v>71.2</v>
          </cell>
        </row>
        <row r="89">
          <cell r="A89" t="str">
            <v>00800</v>
          </cell>
          <cell r="B89">
            <v>79100010</v>
          </cell>
          <cell r="C89">
            <v>36892</v>
          </cell>
          <cell r="D89">
            <v>37256</v>
          </cell>
          <cell r="E89">
            <v>59.529999999999745</v>
          </cell>
          <cell r="F89">
            <v>8283.92</v>
          </cell>
          <cell r="G89">
            <v>1823.65</v>
          </cell>
          <cell r="H89">
            <v>671.55</v>
          </cell>
          <cell r="I89">
            <v>728.46</v>
          </cell>
          <cell r="J89">
            <v>11507.58</v>
          </cell>
          <cell r="K89">
            <v>11507.58</v>
          </cell>
          <cell r="L89">
            <v>6985.97</v>
          </cell>
          <cell r="M89">
            <v>15.26</v>
          </cell>
          <cell r="N89">
            <v>15.26</v>
          </cell>
          <cell r="O89">
            <v>19.45</v>
          </cell>
        </row>
        <row r="90">
          <cell r="A90" t="str">
            <v>00810</v>
          </cell>
          <cell r="B90">
            <v>79100011</v>
          </cell>
          <cell r="C90">
            <v>36892</v>
          </cell>
          <cell r="D90">
            <v>37256</v>
          </cell>
          <cell r="E90">
            <v>57.800000000000182</v>
          </cell>
          <cell r="F90">
            <v>3118.7</v>
          </cell>
          <cell r="G90">
            <v>1831.22</v>
          </cell>
          <cell r="H90">
            <v>695.63</v>
          </cell>
          <cell r="I90">
            <v>637.07000000000005</v>
          </cell>
          <cell r="J90">
            <v>6282.62</v>
          </cell>
          <cell r="K90">
            <v>6282.62</v>
          </cell>
          <cell r="L90">
            <v>881.12</v>
          </cell>
          <cell r="M90">
            <v>15.96</v>
          </cell>
          <cell r="N90">
            <v>15.96</v>
          </cell>
          <cell r="O90">
            <v>17.010000000000002</v>
          </cell>
        </row>
        <row r="91">
          <cell r="A91" t="str">
            <v>00820</v>
          </cell>
          <cell r="B91">
            <v>79100012</v>
          </cell>
          <cell r="C91">
            <v>36892</v>
          </cell>
          <cell r="D91">
            <v>37256</v>
          </cell>
          <cell r="E91">
            <v>60.130000000000109</v>
          </cell>
          <cell r="F91">
            <v>3345.88</v>
          </cell>
          <cell r="G91">
            <v>1965.23</v>
          </cell>
          <cell r="H91">
            <v>767.01</v>
          </cell>
          <cell r="I91">
            <v>783.13</v>
          </cell>
          <cell r="J91">
            <v>6861.25</v>
          </cell>
          <cell r="K91">
            <v>6861.25</v>
          </cell>
          <cell r="L91">
            <v>1038.24</v>
          </cell>
          <cell r="M91">
            <v>17.739999999999998</v>
          </cell>
          <cell r="N91">
            <v>17.739999999999998</v>
          </cell>
          <cell r="O91">
            <v>20.91</v>
          </cell>
        </row>
        <row r="92">
          <cell r="A92" t="str">
            <v>00830</v>
          </cell>
          <cell r="B92">
            <v>79100013</v>
          </cell>
          <cell r="C92">
            <v>36892</v>
          </cell>
          <cell r="D92">
            <v>37256</v>
          </cell>
          <cell r="E92">
            <v>59.529999999999745</v>
          </cell>
          <cell r="F92">
            <v>3055.15</v>
          </cell>
          <cell r="G92">
            <v>2110.6999999999998</v>
          </cell>
          <cell r="H92">
            <v>878.19</v>
          </cell>
          <cell r="I92">
            <v>682.02</v>
          </cell>
          <cell r="J92">
            <v>6726.06</v>
          </cell>
          <cell r="K92">
            <v>6726.06</v>
          </cell>
          <cell r="L92">
            <v>719.46</v>
          </cell>
          <cell r="M92">
            <v>20.68</v>
          </cell>
          <cell r="N92">
            <v>20.68</v>
          </cell>
          <cell r="O92">
            <v>18.21</v>
          </cell>
        </row>
        <row r="93">
          <cell r="A93" t="str">
            <v>00840</v>
          </cell>
          <cell r="B93">
            <v>79100014</v>
          </cell>
          <cell r="C93">
            <v>36892</v>
          </cell>
          <cell r="D93">
            <v>37256</v>
          </cell>
          <cell r="E93">
            <v>57.800000000000182</v>
          </cell>
          <cell r="F93">
            <v>9956.99</v>
          </cell>
          <cell r="G93">
            <v>3260.09</v>
          </cell>
          <cell r="H93">
            <v>1724.23</v>
          </cell>
          <cell r="I93">
            <v>2424.31</v>
          </cell>
          <cell r="J93">
            <v>17365.62</v>
          </cell>
          <cell r="K93">
            <v>17365.62</v>
          </cell>
          <cell r="L93">
            <v>9076.57</v>
          </cell>
          <cell r="M93">
            <v>42.94</v>
          </cell>
          <cell r="N93">
            <v>42.94</v>
          </cell>
          <cell r="O93">
            <v>64.73</v>
          </cell>
        </row>
        <row r="94">
          <cell r="A94" t="str">
            <v>00850</v>
          </cell>
          <cell r="B94">
            <v>79100015</v>
          </cell>
          <cell r="C94">
            <v>36892</v>
          </cell>
          <cell r="D94">
            <v>37256</v>
          </cell>
          <cell r="E94">
            <v>60.130000000000109</v>
          </cell>
          <cell r="F94">
            <v>3198.03</v>
          </cell>
          <cell r="G94">
            <v>2928.05</v>
          </cell>
          <cell r="H94">
            <v>1460.11</v>
          </cell>
          <cell r="I94">
            <v>1823.95</v>
          </cell>
          <cell r="J94">
            <v>9410.14</v>
          </cell>
          <cell r="K94">
            <v>9410.14</v>
          </cell>
          <cell r="L94">
            <v>861.05</v>
          </cell>
          <cell r="M94">
            <v>35.92</v>
          </cell>
          <cell r="N94">
            <v>35.92</v>
          </cell>
          <cell r="O94">
            <v>48.7</v>
          </cell>
        </row>
        <row r="95">
          <cell r="A95" t="str">
            <v>00860</v>
          </cell>
          <cell r="B95">
            <v>79100016</v>
          </cell>
          <cell r="C95">
            <v>36892</v>
          </cell>
          <cell r="D95">
            <v>37256</v>
          </cell>
          <cell r="E95">
            <v>68.029999999999745</v>
          </cell>
          <cell r="F95">
            <v>8127.34</v>
          </cell>
          <cell r="G95">
            <v>2980.72</v>
          </cell>
          <cell r="H95">
            <v>1412.93</v>
          </cell>
          <cell r="I95">
            <v>1737.05</v>
          </cell>
          <cell r="J95">
            <v>14258.04</v>
          </cell>
          <cell r="K95">
            <v>14258.04</v>
          </cell>
          <cell r="L95">
            <v>6378.23</v>
          </cell>
          <cell r="M95">
            <v>34.369999999999997</v>
          </cell>
          <cell r="N95">
            <v>34.369999999999997</v>
          </cell>
          <cell r="O95">
            <v>46.38</v>
          </cell>
        </row>
        <row r="96">
          <cell r="A96" t="str">
            <v>00870</v>
          </cell>
          <cell r="B96">
            <v>79100017</v>
          </cell>
          <cell r="C96">
            <v>36892</v>
          </cell>
          <cell r="D96">
            <v>37256</v>
          </cell>
          <cell r="E96">
            <v>55.430000000000291</v>
          </cell>
          <cell r="F96">
            <v>7087.05</v>
          </cell>
          <cell r="G96">
            <v>3537.41</v>
          </cell>
          <cell r="H96">
            <v>1949.41</v>
          </cell>
          <cell r="I96">
            <v>2514.1999999999998</v>
          </cell>
          <cell r="J96">
            <v>15088.07</v>
          </cell>
          <cell r="K96">
            <v>15088.07</v>
          </cell>
          <cell r="L96">
            <v>5754.17</v>
          </cell>
          <cell r="M96">
            <v>48.94</v>
          </cell>
          <cell r="N96">
            <v>48.94</v>
          </cell>
          <cell r="O96">
            <v>67.13</v>
          </cell>
        </row>
        <row r="97">
          <cell r="A97" t="str">
            <v>02280</v>
          </cell>
          <cell r="B97">
            <v>79100101</v>
          </cell>
          <cell r="C97">
            <v>36892</v>
          </cell>
          <cell r="D97">
            <v>37011</v>
          </cell>
          <cell r="E97">
            <v>67.41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</row>
        <row r="98">
          <cell r="A98" t="str">
            <v>02280</v>
          </cell>
          <cell r="B98">
            <v>79100101</v>
          </cell>
          <cell r="C98">
            <v>37012</v>
          </cell>
          <cell r="D98">
            <v>37256</v>
          </cell>
          <cell r="E98">
            <v>67.41</v>
          </cell>
          <cell r="F98">
            <v>0</v>
          </cell>
          <cell r="G98">
            <v>0</v>
          </cell>
          <cell r="H98">
            <v>0</v>
          </cell>
          <cell r="I98">
            <v>6741.49</v>
          </cell>
          <cell r="J98">
            <v>6741.49</v>
          </cell>
          <cell r="K98">
            <v>6741.49</v>
          </cell>
          <cell r="L98">
            <v>0</v>
          </cell>
          <cell r="M98">
            <v>0</v>
          </cell>
          <cell r="N98">
            <v>0</v>
          </cell>
          <cell r="O98">
            <v>180</v>
          </cell>
        </row>
        <row r="99">
          <cell r="A99" t="str">
            <v>00880</v>
          </cell>
          <cell r="B99">
            <v>79200001</v>
          </cell>
          <cell r="C99">
            <v>36892</v>
          </cell>
          <cell r="D99">
            <v>37256</v>
          </cell>
          <cell r="E99">
            <v>59.529999999999745</v>
          </cell>
          <cell r="F99">
            <v>3963.55</v>
          </cell>
          <cell r="G99">
            <v>2267.9899999999998</v>
          </cell>
          <cell r="H99">
            <v>991.41</v>
          </cell>
          <cell r="I99">
            <v>1363.28</v>
          </cell>
          <cell r="J99">
            <v>8586.23</v>
          </cell>
          <cell r="K99">
            <v>8586.23</v>
          </cell>
          <cell r="L99">
            <v>1808.16</v>
          </cell>
          <cell r="M99">
            <v>23.65</v>
          </cell>
          <cell r="N99">
            <v>23.65</v>
          </cell>
          <cell r="O99">
            <v>36.4</v>
          </cell>
        </row>
        <row r="100">
          <cell r="A100" t="str">
            <v>00890</v>
          </cell>
          <cell r="B100">
            <v>79200002</v>
          </cell>
          <cell r="C100">
            <v>36892</v>
          </cell>
          <cell r="D100">
            <v>37256</v>
          </cell>
          <cell r="E100">
            <v>57.800000000000182</v>
          </cell>
          <cell r="F100">
            <v>8368.6299999999992</v>
          </cell>
          <cell r="G100">
            <v>3865.95</v>
          </cell>
          <cell r="H100">
            <v>2160.37</v>
          </cell>
          <cell r="I100">
            <v>3548.27</v>
          </cell>
          <cell r="J100">
            <v>17943.22</v>
          </cell>
          <cell r="K100">
            <v>17943.22</v>
          </cell>
          <cell r="L100">
            <v>7172.98</v>
          </cell>
          <cell r="M100">
            <v>54.38</v>
          </cell>
          <cell r="N100">
            <v>54.38</v>
          </cell>
          <cell r="O100">
            <v>94.74</v>
          </cell>
        </row>
        <row r="101">
          <cell r="A101" t="str">
            <v>00900</v>
          </cell>
          <cell r="B101">
            <v>79200003</v>
          </cell>
          <cell r="C101">
            <v>36892</v>
          </cell>
          <cell r="D101">
            <v>37256</v>
          </cell>
          <cell r="E101">
            <v>60.130000000000109</v>
          </cell>
          <cell r="F101">
            <v>11239.27</v>
          </cell>
          <cell r="G101">
            <v>2154.83</v>
          </cell>
          <cell r="H101">
            <v>903.5</v>
          </cell>
          <cell r="I101">
            <v>1109.72</v>
          </cell>
          <cell r="J101">
            <v>15407.32</v>
          </cell>
          <cell r="K101">
            <v>15407.32</v>
          </cell>
          <cell r="L101">
            <v>10498.18</v>
          </cell>
          <cell r="M101">
            <v>21.32</v>
          </cell>
          <cell r="N101">
            <v>21.32</v>
          </cell>
          <cell r="O101">
            <v>29.63</v>
          </cell>
        </row>
        <row r="102">
          <cell r="A102" t="str">
            <v>00910</v>
          </cell>
          <cell r="B102">
            <v>79200004</v>
          </cell>
          <cell r="C102">
            <v>36892</v>
          </cell>
          <cell r="D102">
            <v>37256</v>
          </cell>
          <cell r="E102">
            <v>59.529999999999745</v>
          </cell>
          <cell r="F102">
            <v>5030.3100000000004</v>
          </cell>
          <cell r="G102">
            <v>3704.27</v>
          </cell>
          <cell r="H102">
            <v>2025.36</v>
          </cell>
          <cell r="I102">
            <v>3242.66</v>
          </cell>
          <cell r="J102">
            <v>14002.6</v>
          </cell>
          <cell r="K102">
            <v>14002.6</v>
          </cell>
          <cell r="L102">
            <v>3086.63</v>
          </cell>
          <cell r="M102">
            <v>50.77</v>
          </cell>
          <cell r="N102">
            <v>50.77</v>
          </cell>
          <cell r="O102">
            <v>86.58</v>
          </cell>
        </row>
        <row r="103">
          <cell r="A103" t="str">
            <v>00920</v>
          </cell>
          <cell r="B103">
            <v>79200005</v>
          </cell>
          <cell r="C103">
            <v>36892</v>
          </cell>
          <cell r="D103">
            <v>37256</v>
          </cell>
          <cell r="E103">
            <v>57.800000000000182</v>
          </cell>
          <cell r="F103">
            <v>8041.52</v>
          </cell>
          <cell r="G103">
            <v>4204.8900000000003</v>
          </cell>
          <cell r="H103">
            <v>2404.36</v>
          </cell>
          <cell r="I103">
            <v>3076.74</v>
          </cell>
          <cell r="J103">
            <v>17727.509999999998</v>
          </cell>
          <cell r="K103">
            <v>17727.509999999998</v>
          </cell>
          <cell r="L103">
            <v>6780.94</v>
          </cell>
          <cell r="M103">
            <v>60.78</v>
          </cell>
          <cell r="N103">
            <v>60.78</v>
          </cell>
          <cell r="O103">
            <v>82.15</v>
          </cell>
        </row>
        <row r="104">
          <cell r="A104" t="str">
            <v>00930</v>
          </cell>
          <cell r="B104">
            <v>79200006</v>
          </cell>
          <cell r="C104">
            <v>36892</v>
          </cell>
          <cell r="D104">
            <v>37256</v>
          </cell>
          <cell r="E104">
            <v>60.130000000000109</v>
          </cell>
          <cell r="F104">
            <v>4504.4799999999996</v>
          </cell>
          <cell r="G104">
            <v>3250.58</v>
          </cell>
          <cell r="H104">
            <v>1692.29</v>
          </cell>
          <cell r="I104">
            <v>2480.4899999999998</v>
          </cell>
          <cell r="J104">
            <v>11927.84</v>
          </cell>
          <cell r="K104">
            <v>11927.84</v>
          </cell>
          <cell r="L104">
            <v>2426.79</v>
          </cell>
          <cell r="M104">
            <v>42.01</v>
          </cell>
          <cell r="N104">
            <v>42.01</v>
          </cell>
          <cell r="O104">
            <v>66.23</v>
          </cell>
        </row>
        <row r="105">
          <cell r="A105" t="str">
            <v>00940</v>
          </cell>
          <cell r="B105">
            <v>79200007</v>
          </cell>
          <cell r="C105">
            <v>36892</v>
          </cell>
          <cell r="D105">
            <v>37256</v>
          </cell>
          <cell r="E105">
            <v>59.529999999999745</v>
          </cell>
          <cell r="F105">
            <v>2684.36</v>
          </cell>
          <cell r="G105">
            <v>2657.26</v>
          </cell>
          <cell r="H105">
            <v>1271.6400000000001</v>
          </cell>
          <cell r="I105">
            <v>1310.84</v>
          </cell>
          <cell r="J105">
            <v>7924.1</v>
          </cell>
          <cell r="K105">
            <v>7924.1</v>
          </cell>
          <cell r="L105">
            <v>275.08</v>
          </cell>
          <cell r="M105">
            <v>31</v>
          </cell>
          <cell r="N105">
            <v>31</v>
          </cell>
          <cell r="O105">
            <v>35</v>
          </cell>
        </row>
        <row r="106">
          <cell r="A106" t="str">
            <v>00950</v>
          </cell>
          <cell r="B106">
            <v>79200008</v>
          </cell>
          <cell r="C106">
            <v>36892</v>
          </cell>
          <cell r="D106">
            <v>37256</v>
          </cell>
          <cell r="E106">
            <v>60.800000000000182</v>
          </cell>
          <cell r="F106">
            <v>4873.41</v>
          </cell>
          <cell r="G106">
            <v>2099.52</v>
          </cell>
          <cell r="H106">
            <v>856.46</v>
          </cell>
          <cell r="I106">
            <v>2097.36</v>
          </cell>
          <cell r="J106">
            <v>9926.75</v>
          </cell>
          <cell r="K106">
            <v>9926.75</v>
          </cell>
          <cell r="L106">
            <v>2835.83</v>
          </cell>
          <cell r="M106">
            <v>20.059999999999999</v>
          </cell>
          <cell r="N106">
            <v>20.059999999999999</v>
          </cell>
          <cell r="O106">
            <v>56</v>
          </cell>
        </row>
        <row r="107">
          <cell r="A107" t="str">
            <v>00960</v>
          </cell>
          <cell r="B107">
            <v>79200009</v>
          </cell>
          <cell r="C107">
            <v>36892</v>
          </cell>
          <cell r="D107">
            <v>37256</v>
          </cell>
          <cell r="E107">
            <v>60.130000000000109</v>
          </cell>
          <cell r="F107">
            <v>3730.64</v>
          </cell>
          <cell r="G107">
            <v>4371.74</v>
          </cell>
          <cell r="H107">
            <v>2499.38</v>
          </cell>
          <cell r="I107">
            <v>3098.08</v>
          </cell>
          <cell r="J107">
            <v>13699.84</v>
          </cell>
          <cell r="K107">
            <v>13699.84</v>
          </cell>
          <cell r="L107">
            <v>1499.36</v>
          </cell>
          <cell r="M107">
            <v>63.18</v>
          </cell>
          <cell r="N107">
            <v>63.18</v>
          </cell>
          <cell r="O107">
            <v>82.72</v>
          </cell>
        </row>
        <row r="108">
          <cell r="A108" t="str">
            <v>00970</v>
          </cell>
          <cell r="B108">
            <v>79200010</v>
          </cell>
          <cell r="C108">
            <v>36892</v>
          </cell>
          <cell r="D108">
            <v>37256</v>
          </cell>
          <cell r="E108">
            <v>59.829999999999927</v>
          </cell>
          <cell r="F108">
            <v>12548.12</v>
          </cell>
          <cell r="G108">
            <v>2079.8000000000002</v>
          </cell>
          <cell r="H108">
            <v>852.72</v>
          </cell>
          <cell r="I108">
            <v>1910.09</v>
          </cell>
          <cell r="J108">
            <v>17390.73</v>
          </cell>
          <cell r="K108">
            <v>17390.73</v>
          </cell>
          <cell r="L108">
            <v>12081.62</v>
          </cell>
          <cell r="M108">
            <v>20</v>
          </cell>
          <cell r="N108">
            <v>20</v>
          </cell>
          <cell r="O108">
            <v>51</v>
          </cell>
        </row>
        <row r="109">
          <cell r="A109" t="str">
            <v>00980</v>
          </cell>
          <cell r="B109">
            <v>79200011</v>
          </cell>
          <cell r="C109">
            <v>36892</v>
          </cell>
          <cell r="D109">
            <v>37256</v>
          </cell>
          <cell r="E109">
            <v>57.800000000000182</v>
          </cell>
          <cell r="F109">
            <v>5926.58</v>
          </cell>
          <cell r="G109">
            <v>1621.51</v>
          </cell>
          <cell r="H109">
            <v>544.66</v>
          </cell>
          <cell r="I109">
            <v>1161.04</v>
          </cell>
          <cell r="J109">
            <v>9253.7900000000009</v>
          </cell>
          <cell r="K109">
            <v>9253.7900000000009</v>
          </cell>
          <cell r="L109">
            <v>4246.2700000000004</v>
          </cell>
          <cell r="M109">
            <v>12</v>
          </cell>
          <cell r="N109">
            <v>12</v>
          </cell>
          <cell r="O109">
            <v>31</v>
          </cell>
        </row>
        <row r="110">
          <cell r="A110" t="str">
            <v>00990</v>
          </cell>
          <cell r="B110">
            <v>79200012</v>
          </cell>
          <cell r="C110">
            <v>36892</v>
          </cell>
          <cell r="D110">
            <v>37256</v>
          </cell>
          <cell r="E110">
            <v>60.130000000000109</v>
          </cell>
          <cell r="F110">
            <v>8865.7900000000009</v>
          </cell>
          <cell r="G110">
            <v>4812.3599999999997</v>
          </cell>
          <cell r="H110">
            <v>2816.58</v>
          </cell>
          <cell r="I110">
            <v>3845.64</v>
          </cell>
          <cell r="J110">
            <v>20340.37</v>
          </cell>
          <cell r="K110">
            <v>20340.37</v>
          </cell>
          <cell r="L110">
            <v>7653.66</v>
          </cell>
          <cell r="M110">
            <v>71.5</v>
          </cell>
          <cell r="N110">
            <v>71.5</v>
          </cell>
          <cell r="O110">
            <v>102.68</v>
          </cell>
        </row>
        <row r="111">
          <cell r="A111" t="str">
            <v>01000</v>
          </cell>
          <cell r="B111">
            <v>79200013</v>
          </cell>
          <cell r="C111">
            <v>36892</v>
          </cell>
          <cell r="D111">
            <v>37256</v>
          </cell>
          <cell r="E111">
            <v>59.529999999999745</v>
          </cell>
          <cell r="F111">
            <v>3252.94</v>
          </cell>
          <cell r="G111">
            <v>3043.86</v>
          </cell>
          <cell r="H111">
            <v>1549.94</v>
          </cell>
          <cell r="I111">
            <v>1951.28</v>
          </cell>
          <cell r="J111">
            <v>9798.02</v>
          </cell>
          <cell r="K111">
            <v>9798.02</v>
          </cell>
          <cell r="L111">
            <v>956.5</v>
          </cell>
          <cell r="M111">
            <v>38.299999999999997</v>
          </cell>
          <cell r="N111">
            <v>38.299999999999997</v>
          </cell>
          <cell r="O111">
            <v>52.1</v>
          </cell>
        </row>
        <row r="112">
          <cell r="A112" t="str">
            <v>01010</v>
          </cell>
          <cell r="B112">
            <v>79200014</v>
          </cell>
          <cell r="C112">
            <v>36892</v>
          </cell>
          <cell r="D112">
            <v>37256</v>
          </cell>
          <cell r="E112">
            <v>57.800000000000182</v>
          </cell>
          <cell r="F112">
            <v>5166.51</v>
          </cell>
          <cell r="G112">
            <v>2151.1</v>
          </cell>
          <cell r="H112">
            <v>925.9</v>
          </cell>
          <cell r="I112">
            <v>1797.73</v>
          </cell>
          <cell r="J112">
            <v>10041.24</v>
          </cell>
          <cell r="K112">
            <v>10041.24</v>
          </cell>
          <cell r="L112">
            <v>3335.36</v>
          </cell>
          <cell r="M112">
            <v>22</v>
          </cell>
          <cell r="N112">
            <v>22</v>
          </cell>
          <cell r="O112">
            <v>48</v>
          </cell>
        </row>
        <row r="113">
          <cell r="A113" t="str">
            <v>01020</v>
          </cell>
          <cell r="B113">
            <v>79200015</v>
          </cell>
          <cell r="C113">
            <v>36892</v>
          </cell>
          <cell r="D113">
            <v>37256</v>
          </cell>
          <cell r="E113">
            <v>60.130000000000109</v>
          </cell>
          <cell r="F113">
            <v>2493.6</v>
          </cell>
          <cell r="G113">
            <v>1127.93</v>
          </cell>
          <cell r="H113">
            <v>164.26</v>
          </cell>
          <cell r="I113">
            <v>593.25</v>
          </cell>
          <cell r="J113">
            <v>4379.04</v>
          </cell>
          <cell r="K113">
            <v>4379.04</v>
          </cell>
          <cell r="L113">
            <v>16.809999999999999</v>
          </cell>
          <cell r="M113">
            <v>1.93</v>
          </cell>
          <cell r="N113">
            <v>1.93</v>
          </cell>
          <cell r="O113">
            <v>15.84</v>
          </cell>
        </row>
        <row r="114">
          <cell r="A114" t="str">
            <v>01030</v>
          </cell>
          <cell r="B114">
            <v>79200016</v>
          </cell>
          <cell r="C114">
            <v>36892</v>
          </cell>
          <cell r="D114">
            <v>37256</v>
          </cell>
          <cell r="E114">
            <v>68.029999999999745</v>
          </cell>
          <cell r="F114">
            <v>7979.82</v>
          </cell>
          <cell r="G114">
            <v>3199.98</v>
          </cell>
          <cell r="H114">
            <v>1570.77</v>
          </cell>
          <cell r="I114">
            <v>1855.41</v>
          </cell>
          <cell r="J114">
            <v>14605.98</v>
          </cell>
          <cell r="K114">
            <v>14605.98</v>
          </cell>
          <cell r="L114">
            <v>6201.43</v>
          </cell>
          <cell r="M114">
            <v>38.51</v>
          </cell>
          <cell r="N114">
            <v>38.51</v>
          </cell>
          <cell r="O114">
            <v>49.54</v>
          </cell>
        </row>
        <row r="115">
          <cell r="A115" t="str">
            <v>01040</v>
          </cell>
          <cell r="B115">
            <v>79200017</v>
          </cell>
          <cell r="C115">
            <v>36892</v>
          </cell>
          <cell r="D115">
            <v>37256</v>
          </cell>
          <cell r="E115">
            <v>55.430000000000291</v>
          </cell>
          <cell r="F115">
            <v>6494.48</v>
          </cell>
          <cell r="G115">
            <v>2153.0300000000002</v>
          </cell>
          <cell r="H115">
            <v>952.83</v>
          </cell>
          <cell r="I115">
            <v>1726.57</v>
          </cell>
          <cell r="J115">
            <v>11326.91</v>
          </cell>
          <cell r="K115">
            <v>11326.91</v>
          </cell>
          <cell r="L115">
            <v>5044.01</v>
          </cell>
          <cell r="M115">
            <v>22.8</v>
          </cell>
          <cell r="N115">
            <v>22.8</v>
          </cell>
          <cell r="O115">
            <v>46.1</v>
          </cell>
        </row>
        <row r="116">
          <cell r="A116" t="str">
            <v>01050</v>
          </cell>
          <cell r="B116">
            <v>79200101</v>
          </cell>
          <cell r="C116">
            <v>36892</v>
          </cell>
          <cell r="D116">
            <v>37256</v>
          </cell>
          <cell r="E116">
            <v>67.409999999999854</v>
          </cell>
          <cell r="F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</row>
        <row r="117">
          <cell r="A117" t="str">
            <v>01060</v>
          </cell>
          <cell r="B117">
            <v>79300001</v>
          </cell>
          <cell r="C117">
            <v>36892</v>
          </cell>
          <cell r="D117">
            <v>37256</v>
          </cell>
          <cell r="E117">
            <v>62.5</v>
          </cell>
          <cell r="F117">
            <v>6412.19</v>
          </cell>
          <cell r="G117">
            <v>3483.78</v>
          </cell>
          <cell r="H117">
            <v>1834.64</v>
          </cell>
          <cell r="I117">
            <v>2032.18</v>
          </cell>
          <cell r="J117">
            <v>13762.79</v>
          </cell>
          <cell r="K117">
            <v>13762.79</v>
          </cell>
          <cell r="L117">
            <v>4595.97</v>
          </cell>
          <cell r="M117">
            <v>45.65</v>
          </cell>
          <cell r="N117">
            <v>45.65</v>
          </cell>
          <cell r="O117">
            <v>54.26</v>
          </cell>
        </row>
        <row r="118">
          <cell r="A118" t="str">
            <v>01070</v>
          </cell>
          <cell r="B118">
            <v>79300002</v>
          </cell>
          <cell r="C118">
            <v>36892</v>
          </cell>
          <cell r="D118">
            <v>37256</v>
          </cell>
          <cell r="E118">
            <v>79.699999999999818</v>
          </cell>
          <cell r="F118">
            <v>4945.47</v>
          </cell>
          <cell r="G118">
            <v>2652.31</v>
          </cell>
          <cell r="H118">
            <v>1050.81</v>
          </cell>
          <cell r="I118">
            <v>1828.07</v>
          </cell>
          <cell r="J118">
            <v>10476.66</v>
          </cell>
          <cell r="K118">
            <v>10476.66</v>
          </cell>
          <cell r="L118">
            <v>1988.13</v>
          </cell>
          <cell r="M118">
            <v>24.41</v>
          </cell>
          <cell r="N118">
            <v>24.41</v>
          </cell>
          <cell r="O118">
            <v>48.81</v>
          </cell>
        </row>
        <row r="119">
          <cell r="A119" t="str">
            <v>01080</v>
          </cell>
          <cell r="B119">
            <v>79300003</v>
          </cell>
          <cell r="C119">
            <v>36892</v>
          </cell>
          <cell r="D119">
            <v>37256</v>
          </cell>
          <cell r="E119">
            <v>82.630000000000109</v>
          </cell>
          <cell r="F119">
            <v>5416.48</v>
          </cell>
          <cell r="G119">
            <v>3791.68</v>
          </cell>
          <cell r="H119">
            <v>1839.44</v>
          </cell>
          <cell r="I119">
            <v>2570.38</v>
          </cell>
          <cell r="J119">
            <v>13617.98</v>
          </cell>
          <cell r="K119">
            <v>13617.98</v>
          </cell>
          <cell r="L119">
            <v>2407.81</v>
          </cell>
          <cell r="M119">
            <v>44.98</v>
          </cell>
          <cell r="N119">
            <v>44.98</v>
          </cell>
          <cell r="O119">
            <v>68.63</v>
          </cell>
        </row>
        <row r="120">
          <cell r="A120" t="str">
            <v>01090</v>
          </cell>
          <cell r="B120">
            <v>79300004</v>
          </cell>
          <cell r="C120">
            <v>36892</v>
          </cell>
          <cell r="D120">
            <v>36950</v>
          </cell>
          <cell r="E120">
            <v>65.2</v>
          </cell>
          <cell r="F120">
            <v>2043.26</v>
          </cell>
          <cell r="G120">
            <v>179.78</v>
          </cell>
          <cell r="H120">
            <v>15.89</v>
          </cell>
          <cell r="I120">
            <v>0</v>
          </cell>
          <cell r="J120">
            <v>2238.9299999999998</v>
          </cell>
          <cell r="K120">
            <v>2238.9299999999998</v>
          </cell>
          <cell r="L120">
            <v>1321</v>
          </cell>
          <cell r="M120">
            <v>0</v>
          </cell>
          <cell r="N120">
            <v>0</v>
          </cell>
          <cell r="O120">
            <v>0</v>
          </cell>
        </row>
        <row r="121">
          <cell r="A121" t="str">
            <v>01090</v>
          </cell>
          <cell r="B121">
            <v>79300004</v>
          </cell>
          <cell r="C121">
            <v>36951</v>
          </cell>
          <cell r="D121">
            <v>37256</v>
          </cell>
          <cell r="E121">
            <v>65.2</v>
          </cell>
          <cell r="F121">
            <v>3325.98</v>
          </cell>
          <cell r="G121">
            <v>1673.87</v>
          </cell>
          <cell r="H121">
            <v>616.17999999999995</v>
          </cell>
          <cell r="I121">
            <v>1109.3499999999999</v>
          </cell>
          <cell r="J121">
            <v>6725.38</v>
          </cell>
          <cell r="K121">
            <v>6725.38</v>
          </cell>
          <cell r="L121">
            <v>1891.6</v>
          </cell>
          <cell r="M121">
            <v>14</v>
          </cell>
          <cell r="N121">
            <v>14</v>
          </cell>
          <cell r="O121">
            <v>29.62</v>
          </cell>
        </row>
        <row r="122">
          <cell r="A122" t="str">
            <v>01100</v>
          </cell>
          <cell r="B122">
            <v>79300005</v>
          </cell>
          <cell r="C122">
            <v>36892</v>
          </cell>
          <cell r="D122">
            <v>37256</v>
          </cell>
          <cell r="E122">
            <v>79.699999999999818</v>
          </cell>
          <cell r="F122">
            <v>13510.6</v>
          </cell>
          <cell r="G122">
            <v>3734.29</v>
          </cell>
          <cell r="H122">
            <v>1829.7</v>
          </cell>
          <cell r="I122">
            <v>2916.44</v>
          </cell>
          <cell r="J122">
            <v>21991.03</v>
          </cell>
          <cell r="K122">
            <v>21991.03</v>
          </cell>
          <cell r="L122">
            <v>12253.14</v>
          </cell>
          <cell r="M122">
            <v>44.84</v>
          </cell>
          <cell r="N122">
            <v>44.84</v>
          </cell>
          <cell r="O122">
            <v>77.87</v>
          </cell>
        </row>
        <row r="123">
          <cell r="A123" t="str">
            <v>01110</v>
          </cell>
          <cell r="B123">
            <v>79300006</v>
          </cell>
          <cell r="C123">
            <v>36892</v>
          </cell>
          <cell r="D123">
            <v>37256</v>
          </cell>
          <cell r="E123">
            <v>82.630000000000109</v>
          </cell>
          <cell r="F123">
            <v>10829.63</v>
          </cell>
          <cell r="G123">
            <v>5507.58</v>
          </cell>
          <cell r="H123">
            <v>3074.68</v>
          </cell>
          <cell r="I123">
            <v>3477.48</v>
          </cell>
          <cell r="J123">
            <v>22889.37</v>
          </cell>
          <cell r="K123">
            <v>22889.37</v>
          </cell>
          <cell r="L123">
            <v>8895.2800000000007</v>
          </cell>
          <cell r="M123">
            <v>77.38</v>
          </cell>
          <cell r="N123">
            <v>77.38</v>
          </cell>
          <cell r="O123">
            <v>92.85</v>
          </cell>
        </row>
        <row r="124">
          <cell r="A124" t="str">
            <v>01120</v>
          </cell>
          <cell r="B124">
            <v>79300007</v>
          </cell>
          <cell r="C124">
            <v>36892</v>
          </cell>
          <cell r="D124">
            <v>37256</v>
          </cell>
          <cell r="E124">
            <v>62.5</v>
          </cell>
          <cell r="F124">
            <v>17735.77</v>
          </cell>
          <cell r="G124">
            <v>5159.9799999999996</v>
          </cell>
          <cell r="H124">
            <v>3041.27</v>
          </cell>
          <cell r="I124">
            <v>2633.68</v>
          </cell>
          <cell r="J124">
            <v>28570.7</v>
          </cell>
          <cell r="K124">
            <v>28570.7</v>
          </cell>
          <cell r="L124">
            <v>18166.88</v>
          </cell>
          <cell r="M124">
            <v>77.3</v>
          </cell>
          <cell r="N124">
            <v>77.3</v>
          </cell>
          <cell r="O124">
            <v>70.319999999999993</v>
          </cell>
        </row>
        <row r="125">
          <cell r="A125" t="str">
            <v>01130</v>
          </cell>
          <cell r="B125">
            <v>79300008</v>
          </cell>
          <cell r="C125">
            <v>36892</v>
          </cell>
          <cell r="D125">
            <v>37256</v>
          </cell>
          <cell r="E125">
            <v>79.699999999999818</v>
          </cell>
          <cell r="F125">
            <v>6853.85</v>
          </cell>
          <cell r="G125">
            <v>5543.4</v>
          </cell>
          <cell r="H125">
            <v>3132.03</v>
          </cell>
          <cell r="I125">
            <v>5655.36</v>
          </cell>
          <cell r="J125">
            <v>21184.639999999999</v>
          </cell>
          <cell r="K125">
            <v>21184.639999999999</v>
          </cell>
          <cell r="L125">
            <v>4275.25</v>
          </cell>
          <cell r="M125">
            <v>79</v>
          </cell>
          <cell r="N125">
            <v>79</v>
          </cell>
          <cell r="O125">
            <v>151</v>
          </cell>
        </row>
        <row r="126">
          <cell r="A126" t="str">
            <v>01140</v>
          </cell>
          <cell r="B126">
            <v>79300009</v>
          </cell>
          <cell r="C126">
            <v>36892</v>
          </cell>
          <cell r="D126">
            <v>37256</v>
          </cell>
          <cell r="E126">
            <v>82.630000000000109</v>
          </cell>
          <cell r="F126">
            <v>8181.75</v>
          </cell>
          <cell r="G126">
            <v>3307.09</v>
          </cell>
          <cell r="H126">
            <v>1490.61</v>
          </cell>
          <cell r="I126">
            <v>3446.77</v>
          </cell>
          <cell r="J126">
            <v>16426.22</v>
          </cell>
          <cell r="K126">
            <v>16426.22</v>
          </cell>
          <cell r="L126">
            <v>5721.89</v>
          </cell>
          <cell r="M126">
            <v>35.83</v>
          </cell>
          <cell r="N126">
            <v>35.83</v>
          </cell>
          <cell r="O126">
            <v>92.03</v>
          </cell>
        </row>
        <row r="127">
          <cell r="A127" t="str">
            <v>01150</v>
          </cell>
          <cell r="B127">
            <v>79300010</v>
          </cell>
          <cell r="C127">
            <v>36892</v>
          </cell>
          <cell r="D127">
            <v>37256</v>
          </cell>
          <cell r="E127">
            <v>65.5</v>
          </cell>
          <cell r="F127">
            <v>4549.43</v>
          </cell>
          <cell r="G127">
            <v>5463.77</v>
          </cell>
          <cell r="H127">
            <v>3227.65</v>
          </cell>
          <cell r="I127">
            <v>3000.33</v>
          </cell>
          <cell r="J127">
            <v>16241.18</v>
          </cell>
          <cell r="K127">
            <v>16241.18</v>
          </cell>
          <cell r="L127">
            <v>2215.2600000000002</v>
          </cell>
          <cell r="M127">
            <v>82.07</v>
          </cell>
          <cell r="N127">
            <v>82.07</v>
          </cell>
          <cell r="O127">
            <v>80.11</v>
          </cell>
        </row>
        <row r="128">
          <cell r="A128" t="str">
            <v>01160</v>
          </cell>
          <cell r="B128">
            <v>79300011</v>
          </cell>
          <cell r="C128">
            <v>36892</v>
          </cell>
          <cell r="D128">
            <v>37256</v>
          </cell>
          <cell r="E128">
            <v>79.699999999999818</v>
          </cell>
          <cell r="F128">
            <v>5389.03</v>
          </cell>
          <cell r="G128">
            <v>3097.7</v>
          </cell>
          <cell r="H128">
            <v>1371.44</v>
          </cell>
          <cell r="I128">
            <v>1271.1500000000001</v>
          </cell>
          <cell r="J128">
            <v>11129.32</v>
          </cell>
          <cell r="K128">
            <v>11129.32</v>
          </cell>
          <cell r="L128">
            <v>2519.73</v>
          </cell>
          <cell r="M128">
            <v>32.82</v>
          </cell>
          <cell r="N128">
            <v>32.82</v>
          </cell>
          <cell r="O128">
            <v>33.94</v>
          </cell>
        </row>
        <row r="129">
          <cell r="A129" t="str">
            <v>01170</v>
          </cell>
          <cell r="B129">
            <v>79300012</v>
          </cell>
          <cell r="C129">
            <v>36892</v>
          </cell>
          <cell r="D129">
            <v>37256</v>
          </cell>
          <cell r="E129">
            <v>82.630000000000109</v>
          </cell>
          <cell r="F129">
            <v>6691.35</v>
          </cell>
          <cell r="G129">
            <v>3739.78</v>
          </cell>
          <cell r="H129">
            <v>1802.09</v>
          </cell>
          <cell r="I129">
            <v>2546.7800000000002</v>
          </cell>
          <cell r="J129">
            <v>14780</v>
          </cell>
          <cell r="K129">
            <v>14780</v>
          </cell>
          <cell r="L129">
            <v>3935.69</v>
          </cell>
          <cell r="M129">
            <v>44</v>
          </cell>
          <cell r="N129">
            <v>44</v>
          </cell>
          <cell r="O129">
            <v>68</v>
          </cell>
        </row>
        <row r="130">
          <cell r="A130" t="str">
            <v>01180</v>
          </cell>
          <cell r="B130">
            <v>79300013</v>
          </cell>
          <cell r="C130">
            <v>36892</v>
          </cell>
          <cell r="D130">
            <v>37256</v>
          </cell>
          <cell r="E130">
            <v>105.1</v>
          </cell>
          <cell r="F130">
            <v>10834.97</v>
          </cell>
          <cell r="G130">
            <v>3903.3</v>
          </cell>
          <cell r="H130">
            <v>1677.75</v>
          </cell>
          <cell r="I130">
            <v>3443.03</v>
          </cell>
          <cell r="J130">
            <v>19859.05</v>
          </cell>
          <cell r="K130">
            <v>19859.05</v>
          </cell>
          <cell r="L130">
            <v>7791.1980000000003</v>
          </cell>
          <cell r="M130">
            <v>39.85</v>
          </cell>
          <cell r="N130">
            <v>39.85</v>
          </cell>
          <cell r="O130">
            <v>91.93</v>
          </cell>
        </row>
        <row r="131">
          <cell r="A131" t="str">
            <v>01190</v>
          </cell>
          <cell r="B131">
            <v>79300014</v>
          </cell>
          <cell r="C131">
            <v>36892</v>
          </cell>
          <cell r="D131">
            <v>37256</v>
          </cell>
          <cell r="E131">
            <v>65.729999999999563</v>
          </cell>
          <cell r="F131">
            <v>8061.21</v>
          </cell>
          <cell r="G131">
            <v>3080.77</v>
          </cell>
          <cell r="H131">
            <v>1509.73</v>
          </cell>
          <cell r="I131">
            <v>2509.33</v>
          </cell>
          <cell r="J131">
            <v>15161.04</v>
          </cell>
          <cell r="K131">
            <v>15161.04</v>
          </cell>
          <cell r="L131">
            <v>6412.63</v>
          </cell>
          <cell r="M131">
            <v>37</v>
          </cell>
          <cell r="N131">
            <v>37</v>
          </cell>
          <cell r="O131">
            <v>67</v>
          </cell>
        </row>
        <row r="132">
          <cell r="A132" t="str">
            <v>01200</v>
          </cell>
          <cell r="B132">
            <v>79300601</v>
          </cell>
          <cell r="C132">
            <v>36892</v>
          </cell>
          <cell r="D132">
            <v>37256</v>
          </cell>
          <cell r="E132">
            <v>66.5</v>
          </cell>
          <cell r="F132">
            <v>0</v>
          </cell>
          <cell r="G132">
            <v>0</v>
          </cell>
          <cell r="H132">
            <v>0</v>
          </cell>
          <cell r="I132">
            <v>1155.04</v>
          </cell>
          <cell r="J132">
            <v>1155.04</v>
          </cell>
          <cell r="K132">
            <v>1155.04</v>
          </cell>
          <cell r="L132">
            <v>0</v>
          </cell>
          <cell r="M132">
            <v>0</v>
          </cell>
          <cell r="N132">
            <v>0</v>
          </cell>
          <cell r="O132">
            <v>30.84</v>
          </cell>
        </row>
        <row r="133">
          <cell r="A133" t="str">
            <v>01210</v>
          </cell>
          <cell r="B133">
            <v>79300602</v>
          </cell>
          <cell r="C133">
            <v>36892</v>
          </cell>
          <cell r="D133">
            <v>37256</v>
          </cell>
          <cell r="E133">
            <v>214.36</v>
          </cell>
          <cell r="F133">
            <v>0</v>
          </cell>
          <cell r="G133">
            <v>0</v>
          </cell>
          <cell r="H133">
            <v>0</v>
          </cell>
          <cell r="I133">
            <v>31444.92</v>
          </cell>
          <cell r="J133">
            <v>31444.92</v>
          </cell>
          <cell r="K133">
            <v>31444.92</v>
          </cell>
          <cell r="L133">
            <v>0</v>
          </cell>
          <cell r="M133">
            <v>0</v>
          </cell>
          <cell r="N133">
            <v>0</v>
          </cell>
          <cell r="O133">
            <v>839.59</v>
          </cell>
        </row>
        <row r="134">
          <cell r="A134" t="str">
            <v>01220</v>
          </cell>
          <cell r="B134">
            <v>79400001</v>
          </cell>
          <cell r="C134">
            <v>36892</v>
          </cell>
          <cell r="D134">
            <v>37256</v>
          </cell>
          <cell r="E134">
            <v>59.529999999999745</v>
          </cell>
          <cell r="F134">
            <v>4541.79</v>
          </cell>
          <cell r="G134">
            <v>6311.5</v>
          </cell>
          <cell r="H134">
            <v>3902.22</v>
          </cell>
          <cell r="I134">
            <v>2471.88</v>
          </cell>
          <cell r="J134">
            <v>17227.39</v>
          </cell>
          <cell r="K134">
            <v>17227.39</v>
          </cell>
          <cell r="L134">
            <v>2501.15</v>
          </cell>
          <cell r="M134">
            <v>100</v>
          </cell>
          <cell r="N134">
            <v>100</v>
          </cell>
          <cell r="O134">
            <v>66</v>
          </cell>
        </row>
        <row r="135">
          <cell r="A135" t="str">
            <v>01230</v>
          </cell>
          <cell r="B135">
            <v>79400002</v>
          </cell>
          <cell r="C135">
            <v>36892</v>
          </cell>
          <cell r="D135">
            <v>37256</v>
          </cell>
          <cell r="E135">
            <v>57.199999999999818</v>
          </cell>
          <cell r="F135">
            <v>6430.59</v>
          </cell>
          <cell r="G135">
            <v>2327.2800000000002</v>
          </cell>
          <cell r="H135">
            <v>1059.2</v>
          </cell>
          <cell r="I135">
            <v>3820.17</v>
          </cell>
          <cell r="J135">
            <v>13637.24</v>
          </cell>
          <cell r="K135">
            <v>13637.24</v>
          </cell>
          <cell r="L135">
            <v>4879.97</v>
          </cell>
          <cell r="M135">
            <v>25.52</v>
          </cell>
          <cell r="N135">
            <v>25.52</v>
          </cell>
          <cell r="O135">
            <v>102</v>
          </cell>
        </row>
        <row r="136">
          <cell r="A136" t="str">
            <v>01240</v>
          </cell>
          <cell r="B136">
            <v>79400003</v>
          </cell>
          <cell r="C136">
            <v>36892</v>
          </cell>
          <cell r="D136">
            <v>37256</v>
          </cell>
          <cell r="E136">
            <v>59.630000000000109</v>
          </cell>
          <cell r="F136">
            <v>3622.81</v>
          </cell>
          <cell r="G136">
            <v>2602.29</v>
          </cell>
          <cell r="H136">
            <v>1230.99</v>
          </cell>
          <cell r="I136">
            <v>1147.93</v>
          </cell>
          <cell r="J136">
            <v>8604.02</v>
          </cell>
          <cell r="K136">
            <v>8604.02</v>
          </cell>
          <cell r="L136">
            <v>1394.84</v>
          </cell>
          <cell r="M136">
            <v>29.93</v>
          </cell>
          <cell r="N136">
            <v>29.93</v>
          </cell>
          <cell r="O136">
            <v>30.65</v>
          </cell>
        </row>
        <row r="137">
          <cell r="A137" t="str">
            <v>01250</v>
          </cell>
          <cell r="B137">
            <v>79400004</v>
          </cell>
          <cell r="C137">
            <v>36892</v>
          </cell>
          <cell r="D137">
            <v>37256</v>
          </cell>
          <cell r="E137">
            <v>59.530000000000655</v>
          </cell>
          <cell r="F137">
            <v>10441.92</v>
          </cell>
          <cell r="G137">
            <v>3682.56</v>
          </cell>
          <cell r="H137">
            <v>2009.72</v>
          </cell>
          <cell r="I137">
            <v>2725.43</v>
          </cell>
          <cell r="J137">
            <v>18859.63</v>
          </cell>
          <cell r="K137">
            <v>18859.63</v>
          </cell>
          <cell r="L137">
            <v>9572.24</v>
          </cell>
          <cell r="M137">
            <v>50.36</v>
          </cell>
          <cell r="N137">
            <v>50.36</v>
          </cell>
          <cell r="O137">
            <v>72.77</v>
          </cell>
        </row>
        <row r="138">
          <cell r="A138" t="str">
            <v>01260</v>
          </cell>
          <cell r="B138">
            <v>79400005</v>
          </cell>
          <cell r="C138">
            <v>36892</v>
          </cell>
          <cell r="D138">
            <v>37256</v>
          </cell>
          <cell r="E138">
            <v>57.200000000000728</v>
          </cell>
          <cell r="F138">
            <v>4754.38</v>
          </cell>
          <cell r="G138">
            <v>1381.95</v>
          </cell>
          <cell r="H138">
            <v>378.68</v>
          </cell>
          <cell r="I138">
            <v>498.87</v>
          </cell>
          <cell r="J138">
            <v>7013.88</v>
          </cell>
          <cell r="K138">
            <v>7013.88</v>
          </cell>
          <cell r="L138">
            <v>2871.08</v>
          </cell>
          <cell r="M138">
            <v>7.67</v>
          </cell>
          <cell r="N138">
            <v>7.67</v>
          </cell>
          <cell r="O138">
            <v>13.32</v>
          </cell>
        </row>
        <row r="139">
          <cell r="A139" t="str">
            <v>01270</v>
          </cell>
          <cell r="B139">
            <v>79400006</v>
          </cell>
          <cell r="C139">
            <v>36892</v>
          </cell>
          <cell r="D139">
            <v>37256</v>
          </cell>
          <cell r="E139">
            <v>59.6299999999992</v>
          </cell>
          <cell r="F139">
            <v>4853.3599999999997</v>
          </cell>
          <cell r="G139">
            <v>2891.98</v>
          </cell>
          <cell r="H139">
            <v>1439.53</v>
          </cell>
          <cell r="I139">
            <v>1908.59</v>
          </cell>
          <cell r="J139">
            <v>11093.46</v>
          </cell>
          <cell r="K139">
            <v>11093.46</v>
          </cell>
          <cell r="L139">
            <v>2869.62</v>
          </cell>
          <cell r="M139">
            <v>35.4</v>
          </cell>
          <cell r="N139">
            <v>35.4</v>
          </cell>
          <cell r="O139">
            <v>50.96</v>
          </cell>
        </row>
        <row r="140">
          <cell r="A140" t="str">
            <v>01280</v>
          </cell>
          <cell r="B140">
            <v>79400007</v>
          </cell>
          <cell r="C140">
            <v>36892</v>
          </cell>
          <cell r="D140">
            <v>37256</v>
          </cell>
          <cell r="E140">
            <v>59.530000000000655</v>
          </cell>
          <cell r="F140">
            <v>2688.7</v>
          </cell>
          <cell r="G140">
            <v>3354.2</v>
          </cell>
          <cell r="H140">
            <v>1773.35</v>
          </cell>
          <cell r="I140">
            <v>2969.25</v>
          </cell>
          <cell r="J140">
            <v>10785.5</v>
          </cell>
          <cell r="K140">
            <v>10785.5</v>
          </cell>
          <cell r="L140">
            <v>280.27999999999997</v>
          </cell>
          <cell r="M140">
            <v>44.16</v>
          </cell>
          <cell r="N140">
            <v>44.16</v>
          </cell>
          <cell r="O140">
            <v>79.28</v>
          </cell>
        </row>
        <row r="141">
          <cell r="A141" t="str">
            <v>01290</v>
          </cell>
          <cell r="B141">
            <v>79400008</v>
          </cell>
          <cell r="C141">
            <v>36892</v>
          </cell>
          <cell r="D141">
            <v>37256</v>
          </cell>
          <cell r="E141">
            <v>56.200000000000728</v>
          </cell>
          <cell r="F141">
            <v>2634.86</v>
          </cell>
          <cell r="G141">
            <v>2061.31</v>
          </cell>
          <cell r="H141">
            <v>878.5</v>
          </cell>
          <cell r="I141">
            <v>1450.54</v>
          </cell>
          <cell r="J141">
            <v>7025.21</v>
          </cell>
          <cell r="K141">
            <v>7025.21</v>
          </cell>
          <cell r="L141">
            <v>380.33</v>
          </cell>
          <cell r="M141">
            <v>20.82</v>
          </cell>
          <cell r="N141">
            <v>20.82</v>
          </cell>
          <cell r="O141">
            <v>38.729999999999997</v>
          </cell>
        </row>
        <row r="142">
          <cell r="A142" t="str">
            <v>01300</v>
          </cell>
          <cell r="B142">
            <v>79400009</v>
          </cell>
          <cell r="C142">
            <v>36892</v>
          </cell>
          <cell r="D142">
            <v>37256</v>
          </cell>
          <cell r="E142">
            <v>59.6299999999992</v>
          </cell>
          <cell r="F142">
            <v>4929.5600000000004</v>
          </cell>
          <cell r="G142">
            <v>4538.51</v>
          </cell>
          <cell r="H142">
            <v>2624.83</v>
          </cell>
          <cell r="I142">
            <v>2889.1</v>
          </cell>
          <cell r="J142">
            <v>14982</v>
          </cell>
          <cell r="K142">
            <v>14982</v>
          </cell>
          <cell r="L142">
            <v>2960.94</v>
          </cell>
          <cell r="M142">
            <v>66.489999999999995</v>
          </cell>
          <cell r="N142">
            <v>66.489999999999995</v>
          </cell>
          <cell r="O142">
            <v>77.14</v>
          </cell>
        </row>
        <row r="143">
          <cell r="A143" t="str">
            <v>01310</v>
          </cell>
          <cell r="B143">
            <v>79400010</v>
          </cell>
          <cell r="C143">
            <v>36892</v>
          </cell>
          <cell r="D143">
            <v>37256</v>
          </cell>
          <cell r="E143">
            <v>59.530000000000655</v>
          </cell>
          <cell r="F143">
            <v>8209.52</v>
          </cell>
          <cell r="G143">
            <v>3586.7</v>
          </cell>
          <cell r="H143">
            <v>1940.71</v>
          </cell>
          <cell r="I143">
            <v>2310.84</v>
          </cell>
          <cell r="J143">
            <v>16047.77</v>
          </cell>
          <cell r="K143">
            <v>16047.77</v>
          </cell>
          <cell r="L143">
            <v>6896.79</v>
          </cell>
          <cell r="M143">
            <v>48.55</v>
          </cell>
          <cell r="N143">
            <v>48.55</v>
          </cell>
          <cell r="O143">
            <v>61.7</v>
          </cell>
        </row>
        <row r="144">
          <cell r="A144" t="str">
            <v>01320</v>
          </cell>
          <cell r="B144">
            <v>79400011</v>
          </cell>
          <cell r="C144">
            <v>36892</v>
          </cell>
          <cell r="D144">
            <v>37256</v>
          </cell>
          <cell r="E144">
            <v>57.200000000000728</v>
          </cell>
          <cell r="F144">
            <v>4497.96</v>
          </cell>
          <cell r="G144">
            <v>3994.47</v>
          </cell>
          <cell r="H144">
            <v>2259.36</v>
          </cell>
          <cell r="I144">
            <v>3587.96</v>
          </cell>
          <cell r="J144">
            <v>14339.75</v>
          </cell>
          <cell r="K144">
            <v>14339.75</v>
          </cell>
          <cell r="L144">
            <v>2563.7800000000002</v>
          </cell>
          <cell r="M144">
            <v>57</v>
          </cell>
          <cell r="N144">
            <v>57</v>
          </cell>
          <cell r="O144">
            <v>95.8</v>
          </cell>
        </row>
        <row r="145">
          <cell r="A145" t="str">
            <v>01330</v>
          </cell>
          <cell r="B145">
            <v>79400012</v>
          </cell>
          <cell r="C145">
            <v>36892</v>
          </cell>
          <cell r="D145">
            <v>37256</v>
          </cell>
          <cell r="E145">
            <v>59.6299999999992</v>
          </cell>
          <cell r="F145">
            <v>9835.35</v>
          </cell>
          <cell r="G145">
            <v>3930</v>
          </cell>
          <cell r="H145">
            <v>2186.77</v>
          </cell>
          <cell r="I145">
            <v>2359.52</v>
          </cell>
          <cell r="J145">
            <v>18311.64</v>
          </cell>
          <cell r="K145">
            <v>18311.64</v>
          </cell>
          <cell r="L145">
            <v>8840.35</v>
          </cell>
          <cell r="M145">
            <v>55</v>
          </cell>
          <cell r="N145">
            <v>55</v>
          </cell>
          <cell r="O145">
            <v>63</v>
          </cell>
        </row>
        <row r="146">
          <cell r="A146" t="str">
            <v>01340</v>
          </cell>
          <cell r="B146">
            <v>79400013</v>
          </cell>
          <cell r="C146">
            <v>36892</v>
          </cell>
          <cell r="D146">
            <v>37256</v>
          </cell>
          <cell r="E146">
            <v>68.030000000000655</v>
          </cell>
          <cell r="F146">
            <v>6463.34</v>
          </cell>
          <cell r="G146">
            <v>4549.93</v>
          </cell>
          <cell r="H146">
            <v>2542.56</v>
          </cell>
          <cell r="I146">
            <v>2734.05</v>
          </cell>
          <cell r="J146">
            <v>16289.88</v>
          </cell>
          <cell r="K146">
            <v>16289.88</v>
          </cell>
          <cell r="L146">
            <v>4383.9799999999996</v>
          </cell>
          <cell r="M146">
            <v>64</v>
          </cell>
          <cell r="N146">
            <v>64</v>
          </cell>
          <cell r="O146">
            <v>73</v>
          </cell>
        </row>
        <row r="147">
          <cell r="A147" t="str">
            <v>01350</v>
          </cell>
          <cell r="B147">
            <v>79400014</v>
          </cell>
          <cell r="C147">
            <v>36892</v>
          </cell>
          <cell r="D147">
            <v>37256</v>
          </cell>
          <cell r="E147">
            <v>57.930000000000291</v>
          </cell>
          <cell r="F147">
            <v>4997.18</v>
          </cell>
          <cell r="G147">
            <v>2153.31</v>
          </cell>
          <cell r="H147">
            <v>926.1</v>
          </cell>
          <cell r="I147">
            <v>1273.3900000000001</v>
          </cell>
          <cell r="J147">
            <v>9349.98</v>
          </cell>
          <cell r="K147">
            <v>9349.98</v>
          </cell>
          <cell r="L147">
            <v>3125.99</v>
          </cell>
          <cell r="M147">
            <v>22</v>
          </cell>
          <cell r="N147">
            <v>22</v>
          </cell>
          <cell r="O147">
            <v>34</v>
          </cell>
        </row>
        <row r="148">
          <cell r="A148" t="str">
            <v>01360</v>
          </cell>
          <cell r="B148">
            <v>79400601</v>
          </cell>
          <cell r="C148">
            <v>36892</v>
          </cell>
          <cell r="D148">
            <v>37256</v>
          </cell>
          <cell r="E148">
            <v>42.540000000000873</v>
          </cell>
          <cell r="F148">
            <v>0</v>
          </cell>
          <cell r="G148">
            <v>0</v>
          </cell>
          <cell r="H148">
            <v>0</v>
          </cell>
          <cell r="I148">
            <v>629.21</v>
          </cell>
          <cell r="J148">
            <v>629.21</v>
          </cell>
          <cell r="K148">
            <v>629.21</v>
          </cell>
          <cell r="L148">
            <v>0</v>
          </cell>
          <cell r="M148">
            <v>0</v>
          </cell>
          <cell r="N148">
            <v>0</v>
          </cell>
          <cell r="O148">
            <v>16.8</v>
          </cell>
        </row>
        <row r="149">
          <cell r="A149" t="str">
            <v>01370</v>
          </cell>
          <cell r="B149">
            <v>79500001</v>
          </cell>
          <cell r="C149">
            <v>36892</v>
          </cell>
          <cell r="D149">
            <v>37256</v>
          </cell>
          <cell r="E149">
            <v>79.6299999999992</v>
          </cell>
          <cell r="F149">
            <v>14046.28</v>
          </cell>
          <cell r="G149">
            <v>7086.01</v>
          </cell>
          <cell r="H149">
            <v>4243.25</v>
          </cell>
          <cell r="I149">
            <v>3934.78</v>
          </cell>
          <cell r="J149">
            <v>29310.32</v>
          </cell>
          <cell r="K149">
            <v>29310.32</v>
          </cell>
          <cell r="L149">
            <v>12898.59</v>
          </cell>
          <cell r="M149">
            <v>108.15</v>
          </cell>
          <cell r="N149">
            <v>108.15</v>
          </cell>
          <cell r="O149">
            <v>105.06</v>
          </cell>
        </row>
        <row r="150">
          <cell r="A150" t="str">
            <v>01380</v>
          </cell>
          <cell r="B150">
            <v>79500002</v>
          </cell>
          <cell r="C150">
            <v>36892</v>
          </cell>
          <cell r="D150">
            <v>37256</v>
          </cell>
          <cell r="E150">
            <v>80.1299999999992</v>
          </cell>
          <cell r="F150">
            <v>7298.76</v>
          </cell>
          <cell r="G150">
            <v>6254.57</v>
          </cell>
          <cell r="H150">
            <v>3639.35</v>
          </cell>
          <cell r="I150">
            <v>5654.61</v>
          </cell>
          <cell r="J150">
            <v>22847.29</v>
          </cell>
          <cell r="K150">
            <v>22847.29</v>
          </cell>
          <cell r="L150">
            <v>4787.2</v>
          </cell>
          <cell r="M150">
            <v>92.29</v>
          </cell>
          <cell r="N150">
            <v>92.29</v>
          </cell>
          <cell r="O150">
            <v>150.97999999999999</v>
          </cell>
        </row>
        <row r="151">
          <cell r="A151" t="str">
            <v>01390</v>
          </cell>
          <cell r="B151">
            <v>79500003</v>
          </cell>
          <cell r="C151">
            <v>36892</v>
          </cell>
          <cell r="D151">
            <v>37256</v>
          </cell>
          <cell r="E151">
            <v>46.829999999999927</v>
          </cell>
          <cell r="F151">
            <v>5069.63</v>
          </cell>
          <cell r="G151">
            <v>5707.72</v>
          </cell>
          <cell r="H151">
            <v>3604.38</v>
          </cell>
          <cell r="I151">
            <v>3670.36</v>
          </cell>
          <cell r="J151">
            <v>18052.09</v>
          </cell>
          <cell r="K151">
            <v>18052.09</v>
          </cell>
          <cell r="L151">
            <v>3761.39</v>
          </cell>
          <cell r="M151">
            <v>92.69</v>
          </cell>
          <cell r="N151">
            <v>92.69</v>
          </cell>
          <cell r="O151">
            <v>98</v>
          </cell>
        </row>
        <row r="152">
          <cell r="A152" t="str">
            <v>01400</v>
          </cell>
          <cell r="B152">
            <v>79500004</v>
          </cell>
          <cell r="C152">
            <v>36892</v>
          </cell>
          <cell r="D152">
            <v>37256</v>
          </cell>
          <cell r="E152">
            <v>79.6299999999992</v>
          </cell>
          <cell r="F152">
            <v>9314.56</v>
          </cell>
          <cell r="G152">
            <v>3958.71</v>
          </cell>
          <cell r="H152">
            <v>1991.99</v>
          </cell>
          <cell r="I152">
            <v>2843.41</v>
          </cell>
          <cell r="J152">
            <v>18108.669999999998</v>
          </cell>
          <cell r="K152">
            <v>18108.669999999998</v>
          </cell>
          <cell r="L152">
            <v>7227.79</v>
          </cell>
          <cell r="M152">
            <v>49.1</v>
          </cell>
          <cell r="N152">
            <v>49.1</v>
          </cell>
          <cell r="O152">
            <v>75.92</v>
          </cell>
        </row>
        <row r="153">
          <cell r="A153" t="str">
            <v>01410</v>
          </cell>
          <cell r="B153">
            <v>79500005</v>
          </cell>
          <cell r="C153">
            <v>36892</v>
          </cell>
          <cell r="D153">
            <v>37256</v>
          </cell>
          <cell r="E153">
            <v>80.1299999999992</v>
          </cell>
          <cell r="F153">
            <v>4060.43</v>
          </cell>
          <cell r="G153">
            <v>2780.39</v>
          </cell>
          <cell r="H153">
            <v>1138.3800000000001</v>
          </cell>
          <cell r="I153">
            <v>2157.2800000000002</v>
          </cell>
          <cell r="J153">
            <v>10136.48</v>
          </cell>
          <cell r="K153">
            <v>10136.48</v>
          </cell>
          <cell r="L153">
            <v>906.19</v>
          </cell>
          <cell r="M153">
            <v>26.69</v>
          </cell>
          <cell r="N153">
            <v>26.69</v>
          </cell>
          <cell r="O153">
            <v>57.6</v>
          </cell>
        </row>
        <row r="154">
          <cell r="A154" t="str">
            <v>01420</v>
          </cell>
          <cell r="B154">
            <v>79500006</v>
          </cell>
          <cell r="C154">
            <v>36892</v>
          </cell>
          <cell r="D154">
            <v>37256</v>
          </cell>
          <cell r="E154">
            <v>46.829999999999927</v>
          </cell>
          <cell r="F154">
            <v>3472.14</v>
          </cell>
          <cell r="G154">
            <v>4001.87</v>
          </cell>
          <cell r="H154">
            <v>2376.39</v>
          </cell>
          <cell r="I154">
            <v>2843.78</v>
          </cell>
          <cell r="J154">
            <v>12694.18</v>
          </cell>
          <cell r="K154">
            <v>12694.18</v>
          </cell>
          <cell r="L154">
            <v>1846.86</v>
          </cell>
          <cell r="M154">
            <v>60.48</v>
          </cell>
          <cell r="N154">
            <v>60.48</v>
          </cell>
          <cell r="O154">
            <v>75.930000000000007</v>
          </cell>
        </row>
        <row r="155">
          <cell r="A155" t="str">
            <v>01430</v>
          </cell>
          <cell r="B155">
            <v>79500007</v>
          </cell>
          <cell r="C155">
            <v>36892</v>
          </cell>
          <cell r="D155">
            <v>37256</v>
          </cell>
          <cell r="E155">
            <v>79.6299999999992</v>
          </cell>
          <cell r="F155">
            <v>6025.23</v>
          </cell>
          <cell r="G155">
            <v>5330.38</v>
          </cell>
          <cell r="H155">
            <v>2979.43</v>
          </cell>
          <cell r="I155">
            <v>2134.81</v>
          </cell>
          <cell r="J155">
            <v>16469.849999999999</v>
          </cell>
          <cell r="K155">
            <v>16469.849999999999</v>
          </cell>
          <cell r="L155">
            <v>3285.64</v>
          </cell>
          <cell r="M155">
            <v>75</v>
          </cell>
          <cell r="N155">
            <v>75</v>
          </cell>
          <cell r="O155">
            <v>57</v>
          </cell>
        </row>
        <row r="156">
          <cell r="A156" t="str">
            <v>01440</v>
          </cell>
          <cell r="B156">
            <v>79500008</v>
          </cell>
          <cell r="C156">
            <v>36892</v>
          </cell>
          <cell r="D156">
            <v>37256</v>
          </cell>
          <cell r="E156">
            <v>80.1299999999992</v>
          </cell>
          <cell r="F156">
            <v>10992.49</v>
          </cell>
          <cell r="G156">
            <v>2904.31</v>
          </cell>
          <cell r="H156">
            <v>1227.5899999999999</v>
          </cell>
          <cell r="I156">
            <v>2629.93</v>
          </cell>
          <cell r="J156">
            <v>17754.32</v>
          </cell>
          <cell r="K156">
            <v>17754.32</v>
          </cell>
          <cell r="L156">
            <v>9214.01</v>
          </cell>
          <cell r="M156">
            <v>29.03</v>
          </cell>
          <cell r="N156">
            <v>29.03</v>
          </cell>
          <cell r="O156">
            <v>70.22</v>
          </cell>
        </row>
        <row r="157">
          <cell r="A157" t="str">
            <v>01450</v>
          </cell>
          <cell r="B157">
            <v>79500009</v>
          </cell>
          <cell r="C157">
            <v>36892</v>
          </cell>
          <cell r="D157">
            <v>37256</v>
          </cell>
          <cell r="E157">
            <v>46.829999999999927</v>
          </cell>
          <cell r="F157">
            <v>6811.13</v>
          </cell>
          <cell r="G157">
            <v>2845.75</v>
          </cell>
          <cell r="H157">
            <v>1544.13</v>
          </cell>
          <cell r="I157">
            <v>1827.69</v>
          </cell>
          <cell r="J157">
            <v>13028.7</v>
          </cell>
          <cell r="K157">
            <v>13028.7</v>
          </cell>
          <cell r="L157">
            <v>5848.51</v>
          </cell>
          <cell r="M157">
            <v>38.65</v>
          </cell>
          <cell r="N157">
            <v>38.65</v>
          </cell>
          <cell r="O157">
            <v>48.8</v>
          </cell>
        </row>
        <row r="158">
          <cell r="A158" t="str">
            <v>01460</v>
          </cell>
          <cell r="B158">
            <v>79500010</v>
          </cell>
          <cell r="C158">
            <v>36892</v>
          </cell>
          <cell r="D158">
            <v>37256</v>
          </cell>
          <cell r="E158">
            <v>79.6299999999992</v>
          </cell>
          <cell r="F158">
            <v>8209.2199999999993</v>
          </cell>
          <cell r="G158">
            <v>8455.0300000000007</v>
          </cell>
          <cell r="H158">
            <v>5228.7700000000004</v>
          </cell>
          <cell r="I158">
            <v>3408.19</v>
          </cell>
          <cell r="J158">
            <v>25301.21</v>
          </cell>
          <cell r="K158">
            <v>25301.21</v>
          </cell>
          <cell r="L158">
            <v>5903.0739999999996</v>
          </cell>
          <cell r="M158">
            <v>134</v>
          </cell>
          <cell r="N158">
            <v>134</v>
          </cell>
          <cell r="O158">
            <v>91</v>
          </cell>
        </row>
        <row r="159">
          <cell r="A159" t="str">
            <v>01470</v>
          </cell>
          <cell r="B159">
            <v>79500011</v>
          </cell>
          <cell r="C159">
            <v>36892</v>
          </cell>
          <cell r="D159">
            <v>37256</v>
          </cell>
          <cell r="E159">
            <v>80.1299999999992</v>
          </cell>
          <cell r="F159">
            <v>3440.93</v>
          </cell>
          <cell r="G159">
            <v>1868.42</v>
          </cell>
          <cell r="H159">
            <v>481.88</v>
          </cell>
          <cell r="I159">
            <v>312.73</v>
          </cell>
          <cell r="J159">
            <v>6103.96</v>
          </cell>
          <cell r="K159">
            <v>6103.96</v>
          </cell>
          <cell r="L159">
            <v>163.75</v>
          </cell>
          <cell r="M159">
            <v>9.4700000000000006</v>
          </cell>
          <cell r="N159">
            <v>9.4700000000000006</v>
          </cell>
          <cell r="O159">
            <v>8.35</v>
          </cell>
        </row>
        <row r="160">
          <cell r="A160" t="str">
            <v>01480</v>
          </cell>
          <cell r="B160">
            <v>79500012</v>
          </cell>
          <cell r="C160">
            <v>36892</v>
          </cell>
          <cell r="D160">
            <v>37256</v>
          </cell>
          <cell r="E160">
            <v>46.829999999999927</v>
          </cell>
          <cell r="F160">
            <v>3274.23</v>
          </cell>
          <cell r="G160">
            <v>1951.25</v>
          </cell>
          <cell r="H160">
            <v>900.21</v>
          </cell>
          <cell r="I160">
            <v>878.27</v>
          </cell>
          <cell r="J160">
            <v>7003.96</v>
          </cell>
          <cell r="K160">
            <v>7003.96</v>
          </cell>
          <cell r="L160">
            <v>1609.66</v>
          </cell>
          <cell r="M160">
            <v>21.76</v>
          </cell>
          <cell r="N160">
            <v>21.76</v>
          </cell>
          <cell r="O160">
            <v>23.45</v>
          </cell>
        </row>
        <row r="161">
          <cell r="A161" t="str">
            <v>01490</v>
          </cell>
          <cell r="B161">
            <v>79500013</v>
          </cell>
          <cell r="C161">
            <v>36892</v>
          </cell>
          <cell r="D161">
            <v>37256</v>
          </cell>
          <cell r="E161">
            <v>58.430000000000291</v>
          </cell>
          <cell r="F161">
            <v>6582.71</v>
          </cell>
          <cell r="G161">
            <v>2691.45</v>
          </cell>
          <cell r="H161">
            <v>1308.0899999999999</v>
          </cell>
          <cell r="I161">
            <v>3707.82</v>
          </cell>
          <cell r="J161">
            <v>14290.07</v>
          </cell>
          <cell r="K161">
            <v>14290.07</v>
          </cell>
          <cell r="L161">
            <v>5001.49</v>
          </cell>
          <cell r="M161">
            <v>32</v>
          </cell>
          <cell r="N161">
            <v>32</v>
          </cell>
          <cell r="O161">
            <v>99</v>
          </cell>
        </row>
        <row r="162">
          <cell r="A162" t="str">
            <v>01500</v>
          </cell>
          <cell r="B162">
            <v>79500014</v>
          </cell>
          <cell r="C162">
            <v>36892</v>
          </cell>
          <cell r="D162">
            <v>37256</v>
          </cell>
          <cell r="E162">
            <v>61.329999999999927</v>
          </cell>
          <cell r="F162">
            <v>12001.08</v>
          </cell>
          <cell r="G162">
            <v>5209.92</v>
          </cell>
          <cell r="H162">
            <v>3089.84</v>
          </cell>
          <cell r="I162">
            <v>3425.42</v>
          </cell>
          <cell r="J162">
            <v>23726.26</v>
          </cell>
          <cell r="K162">
            <v>23726.26</v>
          </cell>
          <cell r="L162">
            <v>11351.88</v>
          </cell>
          <cell r="M162">
            <v>78.62</v>
          </cell>
          <cell r="N162">
            <v>78.62</v>
          </cell>
          <cell r="O162">
            <v>91.46</v>
          </cell>
        </row>
        <row r="163">
          <cell r="A163" t="str">
            <v>01510</v>
          </cell>
          <cell r="B163">
            <v>79500015</v>
          </cell>
          <cell r="C163">
            <v>36892</v>
          </cell>
          <cell r="D163">
            <v>37256</v>
          </cell>
          <cell r="E163">
            <v>35.299999999999272</v>
          </cell>
          <cell r="F163">
            <v>3234.2</v>
          </cell>
          <cell r="G163">
            <v>1797.52</v>
          </cell>
          <cell r="H163">
            <v>913.75</v>
          </cell>
          <cell r="I163">
            <v>973.32</v>
          </cell>
          <cell r="J163">
            <v>6918.79</v>
          </cell>
          <cell r="K163">
            <v>6918.79</v>
          </cell>
          <cell r="L163">
            <v>2131.52</v>
          </cell>
          <cell r="M163">
            <v>22.571000000000002</v>
          </cell>
          <cell r="N163">
            <v>22.571000000000002</v>
          </cell>
          <cell r="O163">
            <v>25.988</v>
          </cell>
        </row>
        <row r="164">
          <cell r="A164" t="str">
            <v>01520</v>
          </cell>
          <cell r="B164">
            <v>79500601</v>
          </cell>
          <cell r="C164">
            <v>36892</v>
          </cell>
          <cell r="D164">
            <v>37256</v>
          </cell>
          <cell r="E164">
            <v>95.399999999999636</v>
          </cell>
          <cell r="F164">
            <v>0</v>
          </cell>
          <cell r="G164">
            <v>0</v>
          </cell>
          <cell r="H164">
            <v>0</v>
          </cell>
          <cell r="I164">
            <v>44493.81</v>
          </cell>
          <cell r="J164">
            <v>44493.81</v>
          </cell>
          <cell r="K164">
            <v>44493.81</v>
          </cell>
          <cell r="L164">
            <v>0</v>
          </cell>
          <cell r="M164">
            <v>0</v>
          </cell>
          <cell r="N164">
            <v>0</v>
          </cell>
          <cell r="O164">
            <v>1188</v>
          </cell>
        </row>
        <row r="165">
          <cell r="A165" t="str">
            <v>01530</v>
          </cell>
          <cell r="B165">
            <v>79500602</v>
          </cell>
          <cell r="C165">
            <v>36892</v>
          </cell>
          <cell r="D165">
            <v>37256</v>
          </cell>
          <cell r="E165">
            <v>25.010000000000218</v>
          </cell>
          <cell r="F165">
            <v>0</v>
          </cell>
          <cell r="G165">
            <v>0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0</v>
          </cell>
        </row>
        <row r="166">
          <cell r="A166" t="str">
            <v>01540</v>
          </cell>
          <cell r="B166">
            <v>79600001</v>
          </cell>
          <cell r="C166">
            <v>36892</v>
          </cell>
          <cell r="D166">
            <v>37256</v>
          </cell>
          <cell r="E166">
            <v>67.920000000000073</v>
          </cell>
          <cell r="F166">
            <v>8234.89</v>
          </cell>
          <cell r="G166">
            <v>6262.38</v>
          </cell>
          <cell r="H166">
            <v>3776.47</v>
          </cell>
          <cell r="I166">
            <v>3616.43</v>
          </cell>
          <cell r="J166">
            <v>21890.17</v>
          </cell>
          <cell r="K166">
            <v>21890.17</v>
          </cell>
          <cell r="L166">
            <v>6512.55</v>
          </cell>
          <cell r="M166">
            <v>96.37</v>
          </cell>
          <cell r="N166">
            <v>96.37</v>
          </cell>
          <cell r="O166">
            <v>96.56</v>
          </cell>
        </row>
        <row r="167">
          <cell r="A167" t="str">
            <v>01550</v>
          </cell>
          <cell r="B167">
            <v>79600002</v>
          </cell>
          <cell r="C167">
            <v>36892</v>
          </cell>
          <cell r="D167">
            <v>37256</v>
          </cell>
          <cell r="E167">
            <v>43.829999999999927</v>
          </cell>
          <cell r="F167">
            <v>5976.01</v>
          </cell>
          <cell r="G167">
            <v>2092.3200000000002</v>
          </cell>
          <cell r="H167">
            <v>1034.0899999999999</v>
          </cell>
          <cell r="I167">
            <v>1423.58</v>
          </cell>
          <cell r="J167">
            <v>10526</v>
          </cell>
          <cell r="K167">
            <v>10526</v>
          </cell>
          <cell r="L167">
            <v>4995.92</v>
          </cell>
          <cell r="M167">
            <v>25.39</v>
          </cell>
          <cell r="N167">
            <v>25.39</v>
          </cell>
          <cell r="O167">
            <v>38.01</v>
          </cell>
        </row>
        <row r="168">
          <cell r="A168" t="str">
            <v>01560</v>
          </cell>
          <cell r="B168">
            <v>79600003</v>
          </cell>
          <cell r="C168">
            <v>36892</v>
          </cell>
          <cell r="D168">
            <v>37256</v>
          </cell>
          <cell r="E168">
            <v>44.229999999999563</v>
          </cell>
          <cell r="F168">
            <v>6530.92</v>
          </cell>
          <cell r="G168">
            <v>1919.62</v>
          </cell>
          <cell r="H168">
            <v>905.43</v>
          </cell>
          <cell r="I168">
            <v>1310.85</v>
          </cell>
          <cell r="J168">
            <v>10666.82</v>
          </cell>
          <cell r="K168">
            <v>10666.82</v>
          </cell>
          <cell r="L168">
            <v>5641.19</v>
          </cell>
          <cell r="M168">
            <v>22</v>
          </cell>
          <cell r="N168">
            <v>22</v>
          </cell>
          <cell r="O168">
            <v>35</v>
          </cell>
        </row>
        <row r="169">
          <cell r="A169" t="str">
            <v>01570</v>
          </cell>
          <cell r="B169">
            <v>79600004</v>
          </cell>
          <cell r="C169">
            <v>36892</v>
          </cell>
          <cell r="D169">
            <v>37256</v>
          </cell>
          <cell r="E169">
            <v>58.780000000000655</v>
          </cell>
          <cell r="F169">
            <v>6041.09</v>
          </cell>
          <cell r="G169">
            <v>1865.94</v>
          </cell>
          <cell r="H169">
            <v>710.08</v>
          </cell>
          <cell r="I169">
            <v>1710.46</v>
          </cell>
          <cell r="J169">
            <v>10327.57</v>
          </cell>
          <cell r="K169">
            <v>10327.57</v>
          </cell>
          <cell r="L169">
            <v>4335.08</v>
          </cell>
          <cell r="M169">
            <v>16.3</v>
          </cell>
          <cell r="N169">
            <v>16.3</v>
          </cell>
          <cell r="O169">
            <v>45.67</v>
          </cell>
        </row>
        <row r="170">
          <cell r="A170" t="str">
            <v>01580</v>
          </cell>
          <cell r="B170">
            <v>79600005</v>
          </cell>
          <cell r="C170">
            <v>36892</v>
          </cell>
          <cell r="D170">
            <v>37256</v>
          </cell>
          <cell r="E170">
            <v>60.920000000000073</v>
          </cell>
          <cell r="F170">
            <v>4023.48</v>
          </cell>
          <cell r="G170">
            <v>3097.22</v>
          </cell>
          <cell r="H170">
            <v>1573.39</v>
          </cell>
          <cell r="I170">
            <v>1439.68</v>
          </cell>
          <cell r="J170">
            <v>10133.77</v>
          </cell>
          <cell r="K170">
            <v>10133.77</v>
          </cell>
          <cell r="L170">
            <v>1811.27</v>
          </cell>
          <cell r="M170">
            <v>38.86</v>
          </cell>
          <cell r="N170">
            <v>38.86</v>
          </cell>
          <cell r="O170">
            <v>38.44</v>
          </cell>
        </row>
        <row r="171">
          <cell r="A171" t="str">
            <v>01590</v>
          </cell>
          <cell r="B171">
            <v>79600006</v>
          </cell>
          <cell r="C171">
            <v>36892</v>
          </cell>
          <cell r="D171">
            <v>37256</v>
          </cell>
          <cell r="E171">
            <v>43.829999999999927</v>
          </cell>
          <cell r="F171">
            <v>7110.34</v>
          </cell>
          <cell r="G171">
            <v>3289.76</v>
          </cell>
          <cell r="H171">
            <v>1896.07</v>
          </cell>
          <cell r="I171">
            <v>2808.96</v>
          </cell>
          <cell r="J171">
            <v>15105.13</v>
          </cell>
          <cell r="K171">
            <v>15105.13</v>
          </cell>
          <cell r="L171">
            <v>6355.38</v>
          </cell>
          <cell r="M171">
            <v>48</v>
          </cell>
          <cell r="N171">
            <v>48</v>
          </cell>
          <cell r="O171">
            <v>75</v>
          </cell>
        </row>
        <row r="172">
          <cell r="A172" t="str">
            <v>01600</v>
          </cell>
          <cell r="B172">
            <v>79600007</v>
          </cell>
          <cell r="C172">
            <v>36892</v>
          </cell>
          <cell r="D172">
            <v>37256</v>
          </cell>
          <cell r="E172">
            <v>44.229999999999563</v>
          </cell>
          <cell r="F172">
            <v>2299.2399999999998</v>
          </cell>
          <cell r="G172">
            <v>1280.9100000000001</v>
          </cell>
          <cell r="H172">
            <v>445.65</v>
          </cell>
          <cell r="I172">
            <v>1228.07</v>
          </cell>
          <cell r="J172">
            <v>5253.87</v>
          </cell>
          <cell r="K172">
            <v>5253.87</v>
          </cell>
          <cell r="L172">
            <v>569.66999999999996</v>
          </cell>
          <cell r="M172">
            <v>9.94</v>
          </cell>
          <cell r="N172">
            <v>9.94</v>
          </cell>
          <cell r="O172">
            <v>32.79</v>
          </cell>
        </row>
        <row r="173">
          <cell r="A173" t="str">
            <v>01610</v>
          </cell>
          <cell r="B173">
            <v>79600008</v>
          </cell>
          <cell r="C173">
            <v>36892</v>
          </cell>
          <cell r="D173">
            <v>37256</v>
          </cell>
          <cell r="E173">
            <v>58.780000000000655</v>
          </cell>
          <cell r="F173">
            <v>5725.71</v>
          </cell>
          <cell r="G173">
            <v>1789.68</v>
          </cell>
          <cell r="H173">
            <v>655.17999999999995</v>
          </cell>
          <cell r="I173">
            <v>2154.65</v>
          </cell>
          <cell r="J173">
            <v>10325.219999999999</v>
          </cell>
          <cell r="K173">
            <v>10325.219999999999</v>
          </cell>
          <cell r="L173">
            <v>3957.1</v>
          </cell>
          <cell r="M173">
            <v>14.86</v>
          </cell>
          <cell r="N173">
            <v>14.86</v>
          </cell>
          <cell r="O173">
            <v>57.53</v>
          </cell>
        </row>
        <row r="174">
          <cell r="A174" t="str">
            <v>01620</v>
          </cell>
          <cell r="B174">
            <v>79600009</v>
          </cell>
          <cell r="C174">
            <v>36892</v>
          </cell>
          <cell r="D174">
            <v>37256</v>
          </cell>
          <cell r="E174">
            <v>60.920000000000073</v>
          </cell>
          <cell r="F174">
            <v>2527.2399999999998</v>
          </cell>
          <cell r="G174">
            <v>2299.66</v>
          </cell>
          <cell r="H174">
            <v>999.24</v>
          </cell>
          <cell r="I174">
            <v>1628.82</v>
          </cell>
          <cell r="J174">
            <v>7454.96</v>
          </cell>
          <cell r="K174">
            <v>7454.96</v>
          </cell>
          <cell r="L174">
            <v>18.09</v>
          </cell>
          <cell r="M174">
            <v>23.8</v>
          </cell>
          <cell r="N174">
            <v>23.8</v>
          </cell>
          <cell r="O174">
            <v>43.49</v>
          </cell>
        </row>
        <row r="175">
          <cell r="A175" t="str">
            <v>01630</v>
          </cell>
          <cell r="B175">
            <v>79600010</v>
          </cell>
          <cell r="C175">
            <v>36892</v>
          </cell>
          <cell r="D175">
            <v>37134</v>
          </cell>
          <cell r="E175">
            <v>43.83</v>
          </cell>
          <cell r="F175">
            <v>1463.72</v>
          </cell>
          <cell r="G175">
            <v>3604.72</v>
          </cell>
          <cell r="H175">
            <v>2280.61</v>
          </cell>
          <cell r="I175">
            <v>3195.95</v>
          </cell>
          <cell r="J175">
            <v>10545</v>
          </cell>
          <cell r="K175">
            <v>10545</v>
          </cell>
          <cell r="L175">
            <v>454.54</v>
          </cell>
          <cell r="M175">
            <v>58.665999999999997</v>
          </cell>
          <cell r="N175">
            <v>58.665999999999997</v>
          </cell>
          <cell r="O175">
            <v>85.332999999999998</v>
          </cell>
        </row>
        <row r="176">
          <cell r="A176" t="str">
            <v>01630</v>
          </cell>
          <cell r="B176">
            <v>79600010</v>
          </cell>
          <cell r="C176">
            <v>37135</v>
          </cell>
          <cell r="D176">
            <v>37256</v>
          </cell>
          <cell r="E176">
            <v>43.83</v>
          </cell>
          <cell r="F176">
            <v>722.96</v>
          </cell>
          <cell r="G176">
            <v>249.91</v>
          </cell>
          <cell r="H176">
            <v>22.1</v>
          </cell>
          <cell r="I176">
            <v>0</v>
          </cell>
          <cell r="J176">
            <v>994.97</v>
          </cell>
          <cell r="K176">
            <v>994.97</v>
          </cell>
          <cell r="L176">
            <v>0</v>
          </cell>
          <cell r="M176">
            <v>0</v>
          </cell>
          <cell r="N176">
            <v>0</v>
          </cell>
          <cell r="O176">
            <v>0</v>
          </cell>
        </row>
        <row r="177">
          <cell r="A177" t="str">
            <v>01640</v>
          </cell>
          <cell r="B177">
            <v>79600011</v>
          </cell>
          <cell r="C177">
            <v>36892</v>
          </cell>
          <cell r="D177">
            <v>37256</v>
          </cell>
          <cell r="E177">
            <v>44.229999999999563</v>
          </cell>
          <cell r="F177">
            <v>2422.0300000000002</v>
          </cell>
          <cell r="G177">
            <v>2408.96</v>
          </cell>
          <cell r="H177">
            <v>1257.7</v>
          </cell>
          <cell r="I177">
            <v>1580.13</v>
          </cell>
          <cell r="J177">
            <v>7668.82</v>
          </cell>
          <cell r="K177">
            <v>7668.82</v>
          </cell>
          <cell r="L177">
            <v>716.83</v>
          </cell>
          <cell r="M177">
            <v>31.24</v>
          </cell>
          <cell r="N177">
            <v>31.24</v>
          </cell>
          <cell r="O177">
            <v>42.19</v>
          </cell>
        </row>
        <row r="178">
          <cell r="A178" t="str">
            <v>01650</v>
          </cell>
          <cell r="B178">
            <v>79600012</v>
          </cell>
          <cell r="C178">
            <v>36892</v>
          </cell>
          <cell r="D178">
            <v>37011</v>
          </cell>
          <cell r="E178">
            <v>58.78</v>
          </cell>
          <cell r="F178">
            <v>2153.42</v>
          </cell>
          <cell r="G178">
            <v>773.67</v>
          </cell>
          <cell r="H178">
            <v>348.78</v>
          </cell>
          <cell r="I178">
            <v>547.94000000000005</v>
          </cell>
          <cell r="J178">
            <v>3823.81</v>
          </cell>
          <cell r="K178">
            <v>3823.81</v>
          </cell>
          <cell r="L178">
            <v>895.92600000000004</v>
          </cell>
          <cell r="M178">
            <v>8.3840000000000003</v>
          </cell>
          <cell r="N178">
            <v>8.3840000000000003</v>
          </cell>
          <cell r="O178">
            <v>14.63</v>
          </cell>
        </row>
        <row r="179">
          <cell r="A179" t="str">
            <v>01650</v>
          </cell>
          <cell r="B179">
            <v>79600012</v>
          </cell>
          <cell r="C179">
            <v>37012</v>
          </cell>
          <cell r="D179">
            <v>37103</v>
          </cell>
          <cell r="E179">
            <v>58.78</v>
          </cell>
          <cell r="F179">
            <v>74.260000000000005</v>
          </cell>
          <cell r="G179">
            <v>593.11</v>
          </cell>
          <cell r="H179">
            <v>267.37</v>
          </cell>
          <cell r="I179">
            <v>420.07</v>
          </cell>
          <cell r="J179">
            <v>1354.81</v>
          </cell>
          <cell r="K179">
            <v>1354.81</v>
          </cell>
          <cell r="L179">
            <v>30.893999999999998</v>
          </cell>
          <cell r="M179">
            <v>6.4269999999999996</v>
          </cell>
          <cell r="N179">
            <v>6.4269999999999996</v>
          </cell>
          <cell r="O179">
            <v>11.215999999999999</v>
          </cell>
        </row>
        <row r="180">
          <cell r="A180" t="str">
            <v>01650</v>
          </cell>
          <cell r="B180">
            <v>79600012</v>
          </cell>
          <cell r="C180">
            <v>37104</v>
          </cell>
          <cell r="D180">
            <v>37256</v>
          </cell>
          <cell r="E180">
            <v>58.78</v>
          </cell>
          <cell r="F180">
            <v>3054.7</v>
          </cell>
          <cell r="G180">
            <v>986.4</v>
          </cell>
          <cell r="H180">
            <v>444.67</v>
          </cell>
          <cell r="I180">
            <v>698.6</v>
          </cell>
          <cell r="J180">
            <v>5184.37</v>
          </cell>
          <cell r="K180">
            <v>5184.37</v>
          </cell>
          <cell r="L180">
            <v>2498.96</v>
          </cell>
          <cell r="M180">
            <v>10.689</v>
          </cell>
          <cell r="N180">
            <v>10.689</v>
          </cell>
          <cell r="O180">
            <v>18.652999999999999</v>
          </cell>
        </row>
        <row r="181">
          <cell r="A181" t="str">
            <v>01660</v>
          </cell>
          <cell r="B181">
            <v>79600013</v>
          </cell>
          <cell r="C181">
            <v>36892</v>
          </cell>
          <cell r="D181">
            <v>37256</v>
          </cell>
          <cell r="E181">
            <v>60.920000000000073</v>
          </cell>
          <cell r="F181">
            <v>6196.15</v>
          </cell>
          <cell r="G181">
            <v>3264.57</v>
          </cell>
          <cell r="H181">
            <v>1693.86</v>
          </cell>
          <cell r="I181">
            <v>1741.93</v>
          </cell>
          <cell r="J181">
            <v>12896.51</v>
          </cell>
          <cell r="K181">
            <v>12896.51</v>
          </cell>
          <cell r="L181">
            <v>4415.16</v>
          </cell>
          <cell r="M181">
            <v>42.02</v>
          </cell>
          <cell r="N181">
            <v>42.02</v>
          </cell>
          <cell r="O181">
            <v>46.51</v>
          </cell>
        </row>
        <row r="182">
          <cell r="A182" t="str">
            <v>01670</v>
          </cell>
          <cell r="B182">
            <v>79600014</v>
          </cell>
          <cell r="C182">
            <v>36892</v>
          </cell>
          <cell r="D182">
            <v>37256</v>
          </cell>
          <cell r="E182">
            <v>43.829999999999927</v>
          </cell>
          <cell r="F182">
            <v>7936.44</v>
          </cell>
          <cell r="G182">
            <v>3481.48</v>
          </cell>
          <cell r="H182">
            <v>2034.09</v>
          </cell>
          <cell r="I182">
            <v>1256.9100000000001</v>
          </cell>
          <cell r="J182">
            <v>14708.92</v>
          </cell>
          <cell r="K182">
            <v>14708.92</v>
          </cell>
          <cell r="L182">
            <v>7345.42</v>
          </cell>
          <cell r="M182">
            <v>51.62</v>
          </cell>
          <cell r="N182">
            <v>51.62</v>
          </cell>
          <cell r="O182">
            <v>33.56</v>
          </cell>
        </row>
        <row r="183">
          <cell r="A183" t="str">
            <v>01680</v>
          </cell>
          <cell r="B183">
            <v>79600015</v>
          </cell>
          <cell r="C183">
            <v>36892</v>
          </cell>
          <cell r="D183">
            <v>37256</v>
          </cell>
          <cell r="E183">
            <v>43.829999999999927</v>
          </cell>
          <cell r="F183">
            <v>6401.79</v>
          </cell>
          <cell r="G183">
            <v>4845.2</v>
          </cell>
          <cell r="H183">
            <v>3015.78</v>
          </cell>
          <cell r="I183">
            <v>2365.89</v>
          </cell>
          <cell r="J183">
            <v>16628.66</v>
          </cell>
          <cell r="K183">
            <v>16628.66</v>
          </cell>
          <cell r="L183">
            <v>5506.2</v>
          </cell>
          <cell r="M183">
            <v>77.37</v>
          </cell>
          <cell r="N183">
            <v>77.37</v>
          </cell>
          <cell r="O183">
            <v>63.17</v>
          </cell>
        </row>
        <row r="184">
          <cell r="A184" t="str">
            <v>01690</v>
          </cell>
          <cell r="B184">
            <v>79600016</v>
          </cell>
          <cell r="C184">
            <v>36892</v>
          </cell>
          <cell r="D184">
            <v>37256</v>
          </cell>
          <cell r="E184">
            <v>58.780000000000655</v>
          </cell>
          <cell r="F184">
            <v>9288.23</v>
          </cell>
          <cell r="G184">
            <v>1638.74</v>
          </cell>
          <cell r="H184">
            <v>546.52</v>
          </cell>
          <cell r="I184">
            <v>1367.39</v>
          </cell>
          <cell r="J184">
            <v>12840.88</v>
          </cell>
          <cell r="K184">
            <v>12840.88</v>
          </cell>
          <cell r="L184">
            <v>8226.66</v>
          </cell>
          <cell r="M184">
            <v>12.01</v>
          </cell>
          <cell r="N184">
            <v>12.01</v>
          </cell>
          <cell r="O184">
            <v>36.51</v>
          </cell>
        </row>
        <row r="185">
          <cell r="A185" t="str">
            <v>01700</v>
          </cell>
          <cell r="B185">
            <v>79600017</v>
          </cell>
          <cell r="C185">
            <v>36892</v>
          </cell>
          <cell r="D185">
            <v>37256</v>
          </cell>
          <cell r="E185">
            <v>70.329999999999927</v>
          </cell>
          <cell r="F185">
            <v>12061.63</v>
          </cell>
          <cell r="G185">
            <v>7025.33</v>
          </cell>
          <cell r="H185">
            <v>4299.75</v>
          </cell>
          <cell r="I185">
            <v>6366.96</v>
          </cell>
          <cell r="J185">
            <v>29753.67</v>
          </cell>
          <cell r="K185">
            <v>29753.67</v>
          </cell>
          <cell r="L185">
            <v>10979.65</v>
          </cell>
          <cell r="M185">
            <v>110</v>
          </cell>
          <cell r="N185">
            <v>110</v>
          </cell>
          <cell r="O185">
            <v>170</v>
          </cell>
        </row>
        <row r="186">
          <cell r="A186" t="str">
            <v>01710</v>
          </cell>
          <cell r="B186">
            <v>79600018</v>
          </cell>
          <cell r="C186">
            <v>36892</v>
          </cell>
          <cell r="D186">
            <v>37256</v>
          </cell>
          <cell r="E186">
            <v>56.1299999999992</v>
          </cell>
          <cell r="F186">
            <v>4279.22</v>
          </cell>
          <cell r="G186">
            <v>2652.22</v>
          </cell>
          <cell r="H186">
            <v>1304.6400000000001</v>
          </cell>
          <cell r="I186">
            <v>2322.0700000000002</v>
          </cell>
          <cell r="J186">
            <v>10558.15</v>
          </cell>
          <cell r="K186">
            <v>10558.15</v>
          </cell>
          <cell r="L186">
            <v>2354.5100000000002</v>
          </cell>
          <cell r="M186">
            <v>32</v>
          </cell>
          <cell r="N186">
            <v>32</v>
          </cell>
          <cell r="O186">
            <v>62</v>
          </cell>
        </row>
        <row r="187">
          <cell r="A187" t="str">
            <v>01720</v>
          </cell>
          <cell r="B187">
            <v>79600601</v>
          </cell>
          <cell r="C187">
            <v>36892</v>
          </cell>
          <cell r="D187">
            <v>37256</v>
          </cell>
          <cell r="E187">
            <v>98.690000000000509</v>
          </cell>
          <cell r="F187">
            <v>0</v>
          </cell>
          <cell r="G187">
            <v>0</v>
          </cell>
          <cell r="H187">
            <v>0</v>
          </cell>
          <cell r="I187">
            <v>4214.18</v>
          </cell>
          <cell r="J187">
            <v>4214.18</v>
          </cell>
          <cell r="K187">
            <v>4214.18</v>
          </cell>
          <cell r="L187">
            <v>0</v>
          </cell>
          <cell r="M187">
            <v>0</v>
          </cell>
          <cell r="N187">
            <v>0</v>
          </cell>
          <cell r="O187">
            <v>112.52</v>
          </cell>
        </row>
        <row r="188">
          <cell r="A188" t="str">
            <v>01730</v>
          </cell>
          <cell r="B188">
            <v>79600602</v>
          </cell>
          <cell r="C188">
            <v>36892</v>
          </cell>
          <cell r="D188">
            <v>37256</v>
          </cell>
          <cell r="E188">
            <v>60.329999999999927</v>
          </cell>
          <cell r="F188">
            <v>0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</row>
        <row r="189">
          <cell r="A189" t="str">
            <v>01740</v>
          </cell>
          <cell r="B189">
            <v>79700001</v>
          </cell>
          <cell r="C189">
            <v>36892</v>
          </cell>
          <cell r="D189">
            <v>37256</v>
          </cell>
          <cell r="E189">
            <v>77.1299999999992</v>
          </cell>
          <cell r="F189">
            <v>11409.87</v>
          </cell>
          <cell r="G189">
            <v>5663.74</v>
          </cell>
          <cell r="H189">
            <v>3246.33</v>
          </cell>
          <cell r="I189">
            <v>3468.12</v>
          </cell>
          <cell r="J189">
            <v>23788.06</v>
          </cell>
          <cell r="K189">
            <v>23788.06</v>
          </cell>
          <cell r="L189">
            <v>9862.48</v>
          </cell>
          <cell r="M189">
            <v>82.1</v>
          </cell>
          <cell r="N189">
            <v>82.1</v>
          </cell>
          <cell r="O189">
            <v>92.6</v>
          </cell>
        </row>
        <row r="190">
          <cell r="A190" t="str">
            <v>01750</v>
          </cell>
          <cell r="B190">
            <v>79700002</v>
          </cell>
          <cell r="C190">
            <v>36892</v>
          </cell>
          <cell r="D190">
            <v>37256</v>
          </cell>
          <cell r="E190">
            <v>44.1299999999992</v>
          </cell>
          <cell r="F190">
            <v>6615.19</v>
          </cell>
          <cell r="G190">
            <v>2827.76</v>
          </cell>
          <cell r="H190">
            <v>1560.26</v>
          </cell>
          <cell r="I190">
            <v>2413.4499999999998</v>
          </cell>
          <cell r="J190">
            <v>13416.66</v>
          </cell>
          <cell r="K190">
            <v>13416.66</v>
          </cell>
          <cell r="L190">
            <v>5747.13</v>
          </cell>
          <cell r="M190">
            <v>39.18</v>
          </cell>
          <cell r="N190">
            <v>39.18</v>
          </cell>
          <cell r="O190">
            <v>64.44</v>
          </cell>
        </row>
        <row r="191">
          <cell r="A191" t="str">
            <v>01760</v>
          </cell>
          <cell r="B191">
            <v>79700003</v>
          </cell>
          <cell r="C191">
            <v>36892</v>
          </cell>
          <cell r="D191">
            <v>37256</v>
          </cell>
          <cell r="E191">
            <v>85.430000000000291</v>
          </cell>
          <cell r="F191">
            <v>4503.21</v>
          </cell>
          <cell r="G191">
            <v>6491.16</v>
          </cell>
          <cell r="H191">
            <v>3752.57</v>
          </cell>
          <cell r="I191">
            <v>3719.43</v>
          </cell>
          <cell r="J191">
            <v>18466.37</v>
          </cell>
          <cell r="K191">
            <v>18466.37</v>
          </cell>
          <cell r="L191">
            <v>1174.92</v>
          </cell>
          <cell r="M191">
            <v>95.05</v>
          </cell>
          <cell r="N191">
            <v>95.05</v>
          </cell>
          <cell r="O191">
            <v>99.31</v>
          </cell>
        </row>
        <row r="192">
          <cell r="A192" t="str">
            <v>01770</v>
          </cell>
          <cell r="B192">
            <v>79700004</v>
          </cell>
          <cell r="C192">
            <v>36892</v>
          </cell>
          <cell r="D192">
            <v>37256</v>
          </cell>
          <cell r="E192">
            <v>77.1299999999992</v>
          </cell>
          <cell r="F192">
            <v>4748.04</v>
          </cell>
          <cell r="G192">
            <v>3847.21</v>
          </cell>
          <cell r="H192">
            <v>1938.67</v>
          </cell>
          <cell r="I192">
            <v>1378.26</v>
          </cell>
          <cell r="J192">
            <v>11912.18</v>
          </cell>
          <cell r="K192">
            <v>11912.18</v>
          </cell>
          <cell r="L192">
            <v>1878.52</v>
          </cell>
          <cell r="M192">
            <v>47.8</v>
          </cell>
          <cell r="N192">
            <v>47.8</v>
          </cell>
          <cell r="O192">
            <v>36.799999999999997</v>
          </cell>
        </row>
        <row r="193">
          <cell r="A193" t="str">
            <v>01780</v>
          </cell>
          <cell r="B193">
            <v>79700005</v>
          </cell>
          <cell r="C193">
            <v>36892</v>
          </cell>
          <cell r="D193">
            <v>37256</v>
          </cell>
          <cell r="E193">
            <v>44.1299999999992</v>
          </cell>
          <cell r="F193">
            <v>2137.12</v>
          </cell>
          <cell r="G193">
            <v>1707.12</v>
          </cell>
          <cell r="H193">
            <v>753.55</v>
          </cell>
          <cell r="I193">
            <v>776.39</v>
          </cell>
          <cell r="J193">
            <v>5374.18</v>
          </cell>
          <cell r="K193">
            <v>5374.18</v>
          </cell>
          <cell r="L193">
            <v>380.32</v>
          </cell>
          <cell r="M193">
            <v>18.02</v>
          </cell>
          <cell r="N193">
            <v>18.02</v>
          </cell>
          <cell r="O193">
            <v>20.73</v>
          </cell>
        </row>
        <row r="194">
          <cell r="A194" t="str">
            <v>01790</v>
          </cell>
          <cell r="B194">
            <v>79700006</v>
          </cell>
          <cell r="C194">
            <v>36892</v>
          </cell>
          <cell r="D194">
            <v>37256</v>
          </cell>
          <cell r="E194">
            <v>88.430000000000291</v>
          </cell>
          <cell r="F194">
            <v>9460.7900000000009</v>
          </cell>
          <cell r="G194">
            <v>2781.63</v>
          </cell>
          <cell r="H194">
            <v>1049.8699999999999</v>
          </cell>
          <cell r="I194">
            <v>1522.83</v>
          </cell>
          <cell r="J194">
            <v>14815.12</v>
          </cell>
          <cell r="K194">
            <v>14815.12</v>
          </cell>
          <cell r="L194">
            <v>6968.13</v>
          </cell>
          <cell r="M194">
            <v>24.04</v>
          </cell>
          <cell r="N194">
            <v>24.04</v>
          </cell>
          <cell r="O194">
            <v>40.659999999999997</v>
          </cell>
        </row>
        <row r="195">
          <cell r="A195" t="str">
            <v>01800</v>
          </cell>
          <cell r="B195">
            <v>79700007</v>
          </cell>
          <cell r="C195">
            <v>36892</v>
          </cell>
          <cell r="D195">
            <v>37256</v>
          </cell>
          <cell r="E195">
            <v>77.1299999999992</v>
          </cell>
          <cell r="F195">
            <v>11821.78</v>
          </cell>
          <cell r="G195">
            <v>4771.3599999999997</v>
          </cell>
          <cell r="H195">
            <v>2603.9299999999998</v>
          </cell>
          <cell r="I195">
            <v>3639.28</v>
          </cell>
          <cell r="J195">
            <v>22836.35</v>
          </cell>
          <cell r="K195">
            <v>22836.35</v>
          </cell>
          <cell r="L195">
            <v>10356.16</v>
          </cell>
          <cell r="M195">
            <v>65.25</v>
          </cell>
          <cell r="N195">
            <v>65.25</v>
          </cell>
          <cell r="O195">
            <v>97.17</v>
          </cell>
        </row>
        <row r="196">
          <cell r="A196" t="str">
            <v>01810</v>
          </cell>
          <cell r="B196">
            <v>79700008</v>
          </cell>
          <cell r="C196">
            <v>36892</v>
          </cell>
          <cell r="D196">
            <v>37256</v>
          </cell>
          <cell r="E196">
            <v>44.1299999999992</v>
          </cell>
          <cell r="F196">
            <v>2317.84</v>
          </cell>
          <cell r="G196">
            <v>3018.43</v>
          </cell>
          <cell r="H196">
            <v>1697.52</v>
          </cell>
          <cell r="I196">
            <v>2563.2600000000002</v>
          </cell>
          <cell r="J196">
            <v>9597.0499999999993</v>
          </cell>
          <cell r="K196">
            <v>9597.0499999999993</v>
          </cell>
          <cell r="L196">
            <v>596.9</v>
          </cell>
          <cell r="M196">
            <v>42.78</v>
          </cell>
          <cell r="N196">
            <v>42.78</v>
          </cell>
          <cell r="O196">
            <v>68.44</v>
          </cell>
        </row>
        <row r="197">
          <cell r="A197" t="str">
            <v>01820</v>
          </cell>
          <cell r="B197">
            <v>79700009</v>
          </cell>
          <cell r="C197">
            <v>36892</v>
          </cell>
          <cell r="D197">
            <v>37256</v>
          </cell>
          <cell r="E197">
            <v>85.430000000000291</v>
          </cell>
          <cell r="F197">
            <v>5371.03</v>
          </cell>
          <cell r="G197">
            <v>3719.75</v>
          </cell>
          <cell r="H197">
            <v>1757.51</v>
          </cell>
          <cell r="I197">
            <v>2308.59</v>
          </cell>
          <cell r="J197">
            <v>13156.88</v>
          </cell>
          <cell r="K197">
            <v>13156.88</v>
          </cell>
          <cell r="L197">
            <v>2214.96</v>
          </cell>
          <cell r="M197">
            <v>42.72</v>
          </cell>
          <cell r="N197">
            <v>42.72</v>
          </cell>
          <cell r="O197">
            <v>61.64</v>
          </cell>
        </row>
        <row r="198">
          <cell r="A198" t="str">
            <v>01830</v>
          </cell>
          <cell r="B198">
            <v>79700010</v>
          </cell>
          <cell r="C198">
            <v>36892</v>
          </cell>
          <cell r="D198">
            <v>37256</v>
          </cell>
          <cell r="E198">
            <v>77.1299999999992</v>
          </cell>
          <cell r="F198">
            <v>5128.58</v>
          </cell>
          <cell r="G198">
            <v>2823.49</v>
          </cell>
          <cell r="H198">
            <v>1201.72</v>
          </cell>
          <cell r="I198">
            <v>1853.91</v>
          </cell>
          <cell r="J198">
            <v>11007.7</v>
          </cell>
          <cell r="K198">
            <v>11007.7</v>
          </cell>
          <cell r="L198">
            <v>2334.6</v>
          </cell>
          <cell r="M198">
            <v>28.47</v>
          </cell>
          <cell r="N198">
            <v>28.47</v>
          </cell>
          <cell r="O198">
            <v>49.5</v>
          </cell>
        </row>
        <row r="199">
          <cell r="A199" t="str">
            <v>01840</v>
          </cell>
          <cell r="B199">
            <v>79700011</v>
          </cell>
          <cell r="C199">
            <v>36892</v>
          </cell>
          <cell r="D199">
            <v>37256</v>
          </cell>
          <cell r="E199">
            <v>44.1299999999992</v>
          </cell>
          <cell r="F199">
            <v>6341.88</v>
          </cell>
          <cell r="G199">
            <v>1917.91</v>
          </cell>
          <cell r="H199">
            <v>905.29</v>
          </cell>
          <cell r="I199">
            <v>1273.3900000000001</v>
          </cell>
          <cell r="J199">
            <v>10438.469999999999</v>
          </cell>
          <cell r="K199">
            <v>10438.469999999999</v>
          </cell>
          <cell r="L199">
            <v>5419.57</v>
          </cell>
          <cell r="M199">
            <v>22</v>
          </cell>
          <cell r="N199">
            <v>22</v>
          </cell>
          <cell r="O199">
            <v>34</v>
          </cell>
        </row>
        <row r="200">
          <cell r="A200" t="str">
            <v>01850</v>
          </cell>
          <cell r="B200">
            <v>79700012</v>
          </cell>
          <cell r="C200">
            <v>36892</v>
          </cell>
          <cell r="D200">
            <v>37256</v>
          </cell>
          <cell r="E200">
            <v>85.430000000000291</v>
          </cell>
          <cell r="F200">
            <v>10686.98</v>
          </cell>
          <cell r="G200">
            <v>3994.62</v>
          </cell>
          <cell r="H200">
            <v>1955.37</v>
          </cell>
          <cell r="I200">
            <v>2602.59</v>
          </cell>
          <cell r="J200">
            <v>19239.560000000001</v>
          </cell>
          <cell r="K200">
            <v>19239.560000000001</v>
          </cell>
          <cell r="L200">
            <v>8585.93</v>
          </cell>
          <cell r="M200">
            <v>47.91</v>
          </cell>
          <cell r="N200">
            <v>47.91</v>
          </cell>
          <cell r="O200">
            <v>69.489999999999995</v>
          </cell>
        </row>
        <row r="201">
          <cell r="A201" t="str">
            <v>01860</v>
          </cell>
          <cell r="B201">
            <v>79700013</v>
          </cell>
          <cell r="C201">
            <v>36892</v>
          </cell>
          <cell r="D201">
            <v>37256</v>
          </cell>
          <cell r="E201">
            <v>59.430000000000291</v>
          </cell>
          <cell r="F201">
            <v>8412.2000000000007</v>
          </cell>
          <cell r="G201">
            <v>5228.34</v>
          </cell>
          <cell r="H201">
            <v>3123.58</v>
          </cell>
          <cell r="I201">
            <v>4086.46</v>
          </cell>
          <cell r="J201">
            <v>20850.580000000002</v>
          </cell>
          <cell r="K201">
            <v>20850.580000000002</v>
          </cell>
          <cell r="L201">
            <v>7144.65</v>
          </cell>
          <cell r="M201">
            <v>79.58</v>
          </cell>
          <cell r="N201">
            <v>79.58</v>
          </cell>
          <cell r="O201">
            <v>109.11</v>
          </cell>
        </row>
        <row r="202">
          <cell r="A202" t="str">
            <v>01870</v>
          </cell>
          <cell r="B202">
            <v>79700014</v>
          </cell>
          <cell r="C202">
            <v>36892</v>
          </cell>
          <cell r="D202">
            <v>37256</v>
          </cell>
          <cell r="E202">
            <v>35.5</v>
          </cell>
          <cell r="F202">
            <v>1684.28</v>
          </cell>
          <cell r="G202">
            <v>3405.05</v>
          </cell>
          <cell r="H202">
            <v>2068.79</v>
          </cell>
          <cell r="I202">
            <v>1916.08</v>
          </cell>
          <cell r="J202">
            <v>9074.2000000000007</v>
          </cell>
          <cell r="K202">
            <v>9074.2000000000007</v>
          </cell>
          <cell r="L202">
            <v>264.11</v>
          </cell>
          <cell r="M202">
            <v>52.86</v>
          </cell>
          <cell r="N202">
            <v>52.86</v>
          </cell>
          <cell r="O202">
            <v>51.16</v>
          </cell>
        </row>
        <row r="203">
          <cell r="A203" t="str">
            <v>01880</v>
          </cell>
          <cell r="B203">
            <v>79700015</v>
          </cell>
          <cell r="C203">
            <v>36892</v>
          </cell>
          <cell r="D203">
            <v>37256</v>
          </cell>
          <cell r="E203">
            <v>65.229999999999563</v>
          </cell>
          <cell r="F203">
            <v>5753</v>
          </cell>
          <cell r="G203">
            <v>2677.69</v>
          </cell>
          <cell r="H203">
            <v>1224.95</v>
          </cell>
          <cell r="I203">
            <v>1897.35</v>
          </cell>
          <cell r="J203">
            <v>11552.99</v>
          </cell>
          <cell r="K203">
            <v>11552.99</v>
          </cell>
          <cell r="L203">
            <v>3671.05</v>
          </cell>
          <cell r="M203">
            <v>29.55</v>
          </cell>
          <cell r="N203">
            <v>29.55</v>
          </cell>
          <cell r="O203">
            <v>50.66</v>
          </cell>
        </row>
        <row r="204">
          <cell r="A204" t="str">
            <v>01890</v>
          </cell>
          <cell r="B204">
            <v>79700101</v>
          </cell>
          <cell r="C204">
            <v>36892</v>
          </cell>
          <cell r="D204">
            <v>37134</v>
          </cell>
          <cell r="E204">
            <v>78.81</v>
          </cell>
          <cell r="F204">
            <v>0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</row>
        <row r="205">
          <cell r="A205" t="str">
            <v>01890</v>
          </cell>
          <cell r="B205">
            <v>79700101</v>
          </cell>
          <cell r="C205">
            <v>37135</v>
          </cell>
          <cell r="D205">
            <v>37256</v>
          </cell>
          <cell r="E205">
            <v>78.81</v>
          </cell>
          <cell r="F205">
            <v>0</v>
          </cell>
          <cell r="G205">
            <v>0</v>
          </cell>
          <cell r="H205">
            <v>0</v>
          </cell>
          <cell r="I205">
            <v>149.81</v>
          </cell>
          <cell r="J205">
            <v>149.81</v>
          </cell>
          <cell r="K205">
            <v>149.81</v>
          </cell>
          <cell r="L205">
            <v>0</v>
          </cell>
          <cell r="M205">
            <v>0</v>
          </cell>
          <cell r="N205">
            <v>0</v>
          </cell>
          <cell r="O205">
            <v>4</v>
          </cell>
        </row>
        <row r="206">
          <cell r="A206" t="str">
            <v>01900</v>
          </cell>
          <cell r="B206">
            <v>79700250</v>
          </cell>
          <cell r="C206">
            <v>36892</v>
          </cell>
          <cell r="D206">
            <v>36922</v>
          </cell>
          <cell r="E206">
            <v>72.5</v>
          </cell>
          <cell r="F206">
            <v>0</v>
          </cell>
          <cell r="G206">
            <v>0</v>
          </cell>
          <cell r="H206">
            <v>0</v>
          </cell>
          <cell r="I206">
            <v>37.46</v>
          </cell>
          <cell r="J206">
            <v>37.46</v>
          </cell>
          <cell r="K206">
            <v>37.46</v>
          </cell>
          <cell r="L206">
            <v>0</v>
          </cell>
          <cell r="M206">
            <v>0</v>
          </cell>
          <cell r="N206">
            <v>0</v>
          </cell>
          <cell r="O206">
            <v>1</v>
          </cell>
        </row>
        <row r="207">
          <cell r="A207" t="str">
            <v>01900</v>
          </cell>
          <cell r="B207">
            <v>79700250</v>
          </cell>
          <cell r="C207">
            <v>36923</v>
          </cell>
          <cell r="D207">
            <v>37256</v>
          </cell>
          <cell r="E207">
            <v>72.5</v>
          </cell>
          <cell r="F207">
            <v>0</v>
          </cell>
          <cell r="G207">
            <v>0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</row>
        <row r="208">
          <cell r="A208" t="str">
            <v>01910</v>
          </cell>
          <cell r="B208">
            <v>79800001</v>
          </cell>
          <cell r="C208">
            <v>36892</v>
          </cell>
          <cell r="D208">
            <v>37256</v>
          </cell>
          <cell r="E208">
            <v>62.5</v>
          </cell>
          <cell r="F208">
            <v>8332.92</v>
          </cell>
          <cell r="G208">
            <v>3873.04</v>
          </cell>
          <cell r="H208">
            <v>2114.85</v>
          </cell>
          <cell r="I208">
            <v>4289.46</v>
          </cell>
          <cell r="J208">
            <v>18610.27</v>
          </cell>
          <cell r="K208">
            <v>18610.27</v>
          </cell>
          <cell r="L208">
            <v>6897.89</v>
          </cell>
          <cell r="M208">
            <v>53</v>
          </cell>
          <cell r="N208">
            <v>53</v>
          </cell>
          <cell r="O208">
            <v>114.53</v>
          </cell>
        </row>
        <row r="209">
          <cell r="A209" t="str">
            <v>01920</v>
          </cell>
          <cell r="B209">
            <v>79800002</v>
          </cell>
          <cell r="C209">
            <v>36892</v>
          </cell>
          <cell r="D209">
            <v>37256</v>
          </cell>
          <cell r="E209">
            <v>79.700000000000728</v>
          </cell>
          <cell r="F209">
            <v>6032.84</v>
          </cell>
          <cell r="G209">
            <v>6764.14</v>
          </cell>
          <cell r="H209">
            <v>4010.8</v>
          </cell>
          <cell r="I209">
            <v>4129.53</v>
          </cell>
          <cell r="J209">
            <v>20937.310000000001</v>
          </cell>
          <cell r="K209">
            <v>20937.310000000001</v>
          </cell>
          <cell r="L209">
            <v>3291.31</v>
          </cell>
          <cell r="M209">
            <v>102.05</v>
          </cell>
          <cell r="N209">
            <v>102.05</v>
          </cell>
          <cell r="O209">
            <v>110.26</v>
          </cell>
        </row>
        <row r="210">
          <cell r="A210" t="str">
            <v>01930</v>
          </cell>
          <cell r="B210">
            <v>79800003</v>
          </cell>
          <cell r="C210">
            <v>36892</v>
          </cell>
          <cell r="D210">
            <v>37256</v>
          </cell>
          <cell r="E210">
            <v>82.6299999999992</v>
          </cell>
          <cell r="F210">
            <v>5987.66</v>
          </cell>
          <cell r="G210">
            <v>4511.9399999999996</v>
          </cell>
          <cell r="H210">
            <v>2357.94</v>
          </cell>
          <cell r="I210">
            <v>3153.52</v>
          </cell>
          <cell r="J210">
            <v>16011.06</v>
          </cell>
          <cell r="K210">
            <v>16011.06</v>
          </cell>
          <cell r="L210">
            <v>3092.35</v>
          </cell>
          <cell r="M210">
            <v>58.58</v>
          </cell>
          <cell r="N210">
            <v>58.58</v>
          </cell>
          <cell r="O210">
            <v>84.2</v>
          </cell>
        </row>
        <row r="211">
          <cell r="A211" t="str">
            <v>01940</v>
          </cell>
          <cell r="B211">
            <v>79800004</v>
          </cell>
          <cell r="C211">
            <v>36892</v>
          </cell>
          <cell r="D211">
            <v>37256</v>
          </cell>
          <cell r="E211">
            <v>62.5</v>
          </cell>
          <cell r="F211">
            <v>6609.39</v>
          </cell>
          <cell r="G211">
            <v>5112.83</v>
          </cell>
          <cell r="H211">
            <v>3007.34</v>
          </cell>
          <cell r="I211">
            <v>2964.75</v>
          </cell>
          <cell r="J211">
            <v>17694.310000000001</v>
          </cell>
          <cell r="K211">
            <v>17694.310000000001</v>
          </cell>
          <cell r="L211">
            <v>4832.3100000000004</v>
          </cell>
          <cell r="M211">
            <v>76.41</v>
          </cell>
          <cell r="N211">
            <v>76.41</v>
          </cell>
          <cell r="O211">
            <v>79.16</v>
          </cell>
        </row>
        <row r="212">
          <cell r="A212" t="str">
            <v>01950</v>
          </cell>
          <cell r="B212">
            <v>79800005</v>
          </cell>
          <cell r="C212">
            <v>36892</v>
          </cell>
          <cell r="D212">
            <v>37256</v>
          </cell>
          <cell r="E212">
            <v>79.700000000000728</v>
          </cell>
          <cell r="F212">
            <v>6027.62</v>
          </cell>
          <cell r="G212">
            <v>3213.16</v>
          </cell>
          <cell r="H212">
            <v>1454.55</v>
          </cell>
          <cell r="I212">
            <v>1685.38</v>
          </cell>
          <cell r="J212">
            <v>12380.71</v>
          </cell>
          <cell r="K212">
            <v>12380.71</v>
          </cell>
          <cell r="L212">
            <v>3285.05</v>
          </cell>
          <cell r="M212">
            <v>35</v>
          </cell>
          <cell r="N212">
            <v>35</v>
          </cell>
          <cell r="O212">
            <v>45</v>
          </cell>
        </row>
        <row r="213">
          <cell r="A213" t="str">
            <v>01960</v>
          </cell>
          <cell r="B213">
            <v>79800006</v>
          </cell>
          <cell r="C213">
            <v>36892</v>
          </cell>
          <cell r="D213">
            <v>37256</v>
          </cell>
          <cell r="E213">
            <v>82.6299999999992</v>
          </cell>
          <cell r="F213">
            <v>5929.14</v>
          </cell>
          <cell r="G213">
            <v>9131.1200000000008</v>
          </cell>
          <cell r="H213">
            <v>5683.16</v>
          </cell>
          <cell r="I213">
            <v>3738.9</v>
          </cell>
          <cell r="J213">
            <v>24482.32</v>
          </cell>
          <cell r="K213">
            <v>24482.32</v>
          </cell>
          <cell r="L213">
            <v>3022.22</v>
          </cell>
          <cell r="M213">
            <v>145.80000000000001</v>
          </cell>
          <cell r="N213">
            <v>145.80000000000001</v>
          </cell>
          <cell r="O213">
            <v>99.83</v>
          </cell>
        </row>
        <row r="214">
          <cell r="A214" t="str">
            <v>01970</v>
          </cell>
          <cell r="B214">
            <v>79800007</v>
          </cell>
          <cell r="C214">
            <v>36892</v>
          </cell>
          <cell r="D214">
            <v>37256</v>
          </cell>
          <cell r="E214">
            <v>62.5</v>
          </cell>
          <cell r="F214">
            <v>9869.36</v>
          </cell>
          <cell r="G214">
            <v>1792.77</v>
          </cell>
          <cell r="H214">
            <v>617.32000000000005</v>
          </cell>
          <cell r="I214">
            <v>882.76</v>
          </cell>
          <cell r="J214">
            <v>13162.21</v>
          </cell>
          <cell r="K214">
            <v>13162.21</v>
          </cell>
          <cell r="L214">
            <v>8739.27</v>
          </cell>
          <cell r="M214">
            <v>13.72</v>
          </cell>
          <cell r="N214">
            <v>13.72</v>
          </cell>
          <cell r="O214">
            <v>23.57</v>
          </cell>
        </row>
        <row r="215">
          <cell r="A215" t="str">
            <v>01980</v>
          </cell>
          <cell r="B215">
            <v>79800008</v>
          </cell>
          <cell r="C215">
            <v>36892</v>
          </cell>
          <cell r="D215">
            <v>37256</v>
          </cell>
          <cell r="E215">
            <v>79.700000000000728</v>
          </cell>
          <cell r="F215">
            <v>5210.76</v>
          </cell>
          <cell r="G215">
            <v>4696.04</v>
          </cell>
          <cell r="H215">
            <v>2522.0300000000002</v>
          </cell>
          <cell r="I215">
            <v>4269.6099999999997</v>
          </cell>
          <cell r="J215">
            <v>16698.439999999999</v>
          </cell>
          <cell r="K215">
            <v>16698.439999999999</v>
          </cell>
          <cell r="L215">
            <v>2306.06</v>
          </cell>
          <cell r="M215">
            <v>63</v>
          </cell>
          <cell r="N215">
            <v>63</v>
          </cell>
          <cell r="O215">
            <v>114</v>
          </cell>
        </row>
        <row r="216">
          <cell r="A216" t="str">
            <v>01990</v>
          </cell>
          <cell r="B216">
            <v>79800009</v>
          </cell>
          <cell r="C216">
            <v>36892</v>
          </cell>
          <cell r="D216">
            <v>37256</v>
          </cell>
          <cell r="E216">
            <v>82.6299999999992</v>
          </cell>
          <cell r="F216">
            <v>4829.13</v>
          </cell>
          <cell r="G216">
            <v>5920.68</v>
          </cell>
          <cell r="H216">
            <v>3372.05</v>
          </cell>
          <cell r="I216">
            <v>4247.13</v>
          </cell>
          <cell r="J216">
            <v>18368.990000000002</v>
          </cell>
          <cell r="K216">
            <v>18368.990000000002</v>
          </cell>
          <cell r="L216">
            <v>1703.89</v>
          </cell>
          <cell r="M216">
            <v>85.18</v>
          </cell>
          <cell r="N216">
            <v>85.18</v>
          </cell>
          <cell r="O216">
            <v>113.4</v>
          </cell>
        </row>
        <row r="217">
          <cell r="A217" t="str">
            <v>02000</v>
          </cell>
          <cell r="B217">
            <v>79800010</v>
          </cell>
          <cell r="C217">
            <v>36892</v>
          </cell>
          <cell r="D217">
            <v>37256</v>
          </cell>
          <cell r="E217">
            <v>62.5</v>
          </cell>
          <cell r="F217">
            <v>7057.34</v>
          </cell>
          <cell r="G217">
            <v>2638.53</v>
          </cell>
          <cell r="H217">
            <v>1226.18</v>
          </cell>
          <cell r="I217">
            <v>1905.22</v>
          </cell>
          <cell r="J217">
            <v>12827.27</v>
          </cell>
          <cell r="K217">
            <v>12827.27</v>
          </cell>
          <cell r="L217">
            <v>5369.17</v>
          </cell>
          <cell r="M217">
            <v>29.69</v>
          </cell>
          <cell r="N217">
            <v>29.69</v>
          </cell>
          <cell r="O217">
            <v>50.87</v>
          </cell>
        </row>
        <row r="218">
          <cell r="A218" t="str">
            <v>02010</v>
          </cell>
          <cell r="B218">
            <v>79800011</v>
          </cell>
          <cell r="C218">
            <v>36892</v>
          </cell>
          <cell r="D218">
            <v>37256</v>
          </cell>
          <cell r="E218">
            <v>79.700000000000728</v>
          </cell>
          <cell r="F218">
            <v>4811.96</v>
          </cell>
          <cell r="G218">
            <v>5906.71</v>
          </cell>
          <cell r="H218">
            <v>3393.56</v>
          </cell>
          <cell r="I218">
            <v>3804.07</v>
          </cell>
          <cell r="J218">
            <v>17916.3</v>
          </cell>
          <cell r="K218">
            <v>17916.3</v>
          </cell>
          <cell r="L218">
            <v>1828.13</v>
          </cell>
          <cell r="M218">
            <v>85.86</v>
          </cell>
          <cell r="N218">
            <v>85.86</v>
          </cell>
          <cell r="O218">
            <v>101.57</v>
          </cell>
        </row>
        <row r="219">
          <cell r="A219" t="str">
            <v>02020</v>
          </cell>
          <cell r="B219">
            <v>79800012</v>
          </cell>
          <cell r="C219">
            <v>36892</v>
          </cell>
          <cell r="D219">
            <v>37256</v>
          </cell>
          <cell r="E219">
            <v>82.6299999999992</v>
          </cell>
          <cell r="F219">
            <v>9367.19</v>
          </cell>
          <cell r="G219">
            <v>5900.03</v>
          </cell>
          <cell r="H219">
            <v>3357.18</v>
          </cell>
          <cell r="I219">
            <v>3282.73</v>
          </cell>
          <cell r="J219">
            <v>21907.13</v>
          </cell>
          <cell r="K219">
            <v>21907.13</v>
          </cell>
          <cell r="L219">
            <v>7142.6</v>
          </cell>
          <cell r="M219">
            <v>84.79</v>
          </cell>
          <cell r="N219">
            <v>84.79</v>
          </cell>
          <cell r="O219">
            <v>87.65</v>
          </cell>
        </row>
        <row r="220">
          <cell r="A220" t="str">
            <v>02030</v>
          </cell>
          <cell r="B220">
            <v>79800013</v>
          </cell>
          <cell r="C220">
            <v>36892</v>
          </cell>
          <cell r="D220">
            <v>37256</v>
          </cell>
          <cell r="E220">
            <v>105.1</v>
          </cell>
          <cell r="F220">
            <v>16313.1</v>
          </cell>
          <cell r="G220">
            <v>6063.54</v>
          </cell>
          <cell r="H220">
            <v>3232.85</v>
          </cell>
          <cell r="I220">
            <v>2998.47</v>
          </cell>
          <cell r="J220">
            <v>28607.96</v>
          </cell>
          <cell r="K220">
            <v>28607.96</v>
          </cell>
          <cell r="L220">
            <v>14356.53</v>
          </cell>
          <cell r="M220">
            <v>80.64</v>
          </cell>
          <cell r="N220">
            <v>80.64</v>
          </cell>
          <cell r="O220">
            <v>80.06</v>
          </cell>
        </row>
        <row r="221">
          <cell r="A221" t="str">
            <v>02040</v>
          </cell>
          <cell r="B221">
            <v>79800014</v>
          </cell>
          <cell r="C221">
            <v>36892</v>
          </cell>
          <cell r="D221">
            <v>37256</v>
          </cell>
          <cell r="E221">
            <v>61.729999999999563</v>
          </cell>
          <cell r="F221">
            <v>5947.2</v>
          </cell>
          <cell r="G221">
            <v>3397.55</v>
          </cell>
          <cell r="H221">
            <v>1780.87</v>
          </cell>
          <cell r="I221">
            <v>995.86</v>
          </cell>
          <cell r="J221">
            <v>12121.48</v>
          </cell>
          <cell r="K221">
            <v>12121.48</v>
          </cell>
          <cell r="L221">
            <v>4076.76</v>
          </cell>
          <cell r="M221">
            <v>44.27</v>
          </cell>
          <cell r="N221">
            <v>44.27</v>
          </cell>
          <cell r="O221">
            <v>26.59</v>
          </cell>
        </row>
        <row r="222">
          <cell r="A222" t="str">
            <v>02290</v>
          </cell>
          <cell r="B222">
            <v>79800101</v>
          </cell>
          <cell r="C222">
            <v>36892</v>
          </cell>
          <cell r="D222">
            <v>37164</v>
          </cell>
          <cell r="E222">
            <v>22.649999999999636</v>
          </cell>
          <cell r="F222">
            <v>0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</row>
        <row r="223">
          <cell r="A223" t="str">
            <v>02290</v>
          </cell>
          <cell r="B223">
            <v>79800101</v>
          </cell>
          <cell r="C223">
            <v>37165</v>
          </cell>
          <cell r="D223">
            <v>37256</v>
          </cell>
          <cell r="E223">
            <v>22.65</v>
          </cell>
          <cell r="F223">
            <v>0</v>
          </cell>
          <cell r="G223">
            <v>0</v>
          </cell>
          <cell r="H223">
            <v>0</v>
          </cell>
          <cell r="I223">
            <v>898.86</v>
          </cell>
          <cell r="J223">
            <v>898.86</v>
          </cell>
          <cell r="K223">
            <v>898.86</v>
          </cell>
          <cell r="L223">
            <v>0</v>
          </cell>
          <cell r="M223">
            <v>0</v>
          </cell>
          <cell r="N223">
            <v>0</v>
          </cell>
          <cell r="O223">
            <v>24</v>
          </cell>
        </row>
        <row r="224">
          <cell r="A224" t="str">
            <v>02050</v>
          </cell>
          <cell r="B224">
            <v>79800601</v>
          </cell>
          <cell r="C224">
            <v>36892</v>
          </cell>
          <cell r="D224">
            <v>37256</v>
          </cell>
          <cell r="E224">
            <v>70.030000000000655</v>
          </cell>
          <cell r="F224">
            <v>0</v>
          </cell>
          <cell r="G224">
            <v>0</v>
          </cell>
          <cell r="H224">
            <v>0</v>
          </cell>
          <cell r="I224">
            <v>146.07</v>
          </cell>
          <cell r="J224">
            <v>146.07</v>
          </cell>
          <cell r="K224">
            <v>146.07</v>
          </cell>
          <cell r="L224">
            <v>0</v>
          </cell>
          <cell r="M224">
            <v>0</v>
          </cell>
          <cell r="N224">
            <v>0</v>
          </cell>
          <cell r="O224">
            <v>3.9</v>
          </cell>
        </row>
        <row r="225">
          <cell r="A225" t="str">
            <v>02060</v>
          </cell>
          <cell r="B225">
            <v>79800602</v>
          </cell>
          <cell r="C225">
            <v>36892</v>
          </cell>
          <cell r="D225">
            <v>37256</v>
          </cell>
          <cell r="E225">
            <v>219.5</v>
          </cell>
          <cell r="F225">
            <v>0</v>
          </cell>
          <cell r="G225">
            <v>0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</row>
        <row r="226">
          <cell r="A226" t="str">
            <v>02070</v>
          </cell>
          <cell r="B226">
            <v>79800603</v>
          </cell>
          <cell r="C226">
            <v>36892</v>
          </cell>
          <cell r="D226">
            <v>37256</v>
          </cell>
          <cell r="E226">
            <v>73.819999999999709</v>
          </cell>
          <cell r="F226">
            <v>0</v>
          </cell>
          <cell r="G226">
            <v>0</v>
          </cell>
          <cell r="H226">
            <v>0</v>
          </cell>
          <cell r="I226">
            <v>575.65</v>
          </cell>
          <cell r="J226">
            <v>575.65</v>
          </cell>
          <cell r="K226">
            <v>575.65</v>
          </cell>
          <cell r="L226">
            <v>0</v>
          </cell>
          <cell r="M226">
            <v>0</v>
          </cell>
          <cell r="N226">
            <v>0</v>
          </cell>
          <cell r="O226">
            <v>15.37</v>
          </cell>
        </row>
        <row r="227">
          <cell r="A227" t="str">
            <v>02080</v>
          </cell>
          <cell r="B227">
            <v>79900001</v>
          </cell>
          <cell r="C227">
            <v>36892</v>
          </cell>
          <cell r="D227">
            <v>37256</v>
          </cell>
          <cell r="E227">
            <v>67.920000000000073</v>
          </cell>
          <cell r="F227">
            <v>6396.7</v>
          </cell>
          <cell r="G227">
            <v>2171.21</v>
          </cell>
          <cell r="H227">
            <v>831.36</v>
          </cell>
          <cell r="I227">
            <v>1835.93</v>
          </cell>
          <cell r="J227">
            <v>11235.2</v>
          </cell>
          <cell r="K227">
            <v>11235.2</v>
          </cell>
          <cell r="L227">
            <v>4309.5600000000004</v>
          </cell>
          <cell r="M227">
            <v>19.12</v>
          </cell>
          <cell r="N227">
            <v>19.12</v>
          </cell>
          <cell r="O227">
            <v>49.02</v>
          </cell>
        </row>
        <row r="228">
          <cell r="A228" t="str">
            <v>02090</v>
          </cell>
          <cell r="B228">
            <v>79900002</v>
          </cell>
          <cell r="C228">
            <v>36892</v>
          </cell>
          <cell r="D228">
            <v>37256</v>
          </cell>
          <cell r="E228">
            <v>43.829999999999927</v>
          </cell>
          <cell r="F228">
            <v>6209.11</v>
          </cell>
          <cell r="G228">
            <v>3243.15</v>
          </cell>
          <cell r="H228">
            <v>1862.53</v>
          </cell>
          <cell r="I228">
            <v>1637.81</v>
          </cell>
          <cell r="J228">
            <v>12952.6</v>
          </cell>
          <cell r="K228">
            <v>12952.6</v>
          </cell>
          <cell r="L228">
            <v>5275.27</v>
          </cell>
          <cell r="M228">
            <v>47.12</v>
          </cell>
          <cell r="N228">
            <v>47.12</v>
          </cell>
          <cell r="O228">
            <v>43.73</v>
          </cell>
        </row>
        <row r="229">
          <cell r="A229" t="str">
            <v>02100</v>
          </cell>
          <cell r="B229">
            <v>79900003</v>
          </cell>
          <cell r="C229">
            <v>36892</v>
          </cell>
          <cell r="D229">
            <v>37256</v>
          </cell>
          <cell r="E229">
            <v>44.229999999999563</v>
          </cell>
          <cell r="F229">
            <v>4931.6899999999996</v>
          </cell>
          <cell r="G229">
            <v>2542.96</v>
          </cell>
          <cell r="H229">
            <v>1354.16</v>
          </cell>
          <cell r="I229">
            <v>2093.23</v>
          </cell>
          <cell r="J229">
            <v>10922.04</v>
          </cell>
          <cell r="K229">
            <v>10922.04</v>
          </cell>
          <cell r="L229">
            <v>3724.57</v>
          </cell>
          <cell r="M229">
            <v>33.770000000000003</v>
          </cell>
          <cell r="N229">
            <v>33.770000000000003</v>
          </cell>
          <cell r="O229">
            <v>55.89</v>
          </cell>
        </row>
        <row r="230">
          <cell r="A230" t="str">
            <v>02110</v>
          </cell>
          <cell r="B230">
            <v>79900004</v>
          </cell>
          <cell r="C230">
            <v>36892</v>
          </cell>
          <cell r="D230">
            <v>37256</v>
          </cell>
          <cell r="E230">
            <v>58.780000000000655</v>
          </cell>
          <cell r="F230">
            <v>6047.67</v>
          </cell>
          <cell r="G230">
            <v>4474.76</v>
          </cell>
          <cell r="H230">
            <v>2588.08</v>
          </cell>
          <cell r="I230">
            <v>2820.93</v>
          </cell>
          <cell r="J230">
            <v>15931.44</v>
          </cell>
          <cell r="K230">
            <v>15931.44</v>
          </cell>
          <cell r="L230">
            <v>4342.96</v>
          </cell>
          <cell r="M230">
            <v>65.56</v>
          </cell>
          <cell r="N230">
            <v>65.56</v>
          </cell>
          <cell r="O230">
            <v>75.319999999999993</v>
          </cell>
        </row>
        <row r="231">
          <cell r="A231" t="str">
            <v>02120</v>
          </cell>
          <cell r="B231">
            <v>79900005</v>
          </cell>
          <cell r="C231">
            <v>36892</v>
          </cell>
          <cell r="D231">
            <v>37256</v>
          </cell>
          <cell r="E231">
            <v>60.920000000000073</v>
          </cell>
          <cell r="F231">
            <v>4376.2299999999996</v>
          </cell>
          <cell r="G231">
            <v>3051.15</v>
          </cell>
          <cell r="H231">
            <v>1540.22</v>
          </cell>
          <cell r="I231">
            <v>2231.44</v>
          </cell>
          <cell r="J231">
            <v>11199.04</v>
          </cell>
          <cell r="K231">
            <v>11199.04</v>
          </cell>
          <cell r="L231">
            <v>2234.0300000000002</v>
          </cell>
          <cell r="M231">
            <v>37.99</v>
          </cell>
          <cell r="N231">
            <v>37.99</v>
          </cell>
          <cell r="O231">
            <v>59.58</v>
          </cell>
        </row>
        <row r="232">
          <cell r="A232" t="str">
            <v>02130</v>
          </cell>
          <cell r="B232">
            <v>79900006</v>
          </cell>
          <cell r="C232">
            <v>36892</v>
          </cell>
          <cell r="D232">
            <v>37256</v>
          </cell>
          <cell r="E232">
            <v>43.829999999999927</v>
          </cell>
          <cell r="F232">
            <v>3742.7</v>
          </cell>
          <cell r="G232">
            <v>3404.68</v>
          </cell>
          <cell r="H232">
            <v>1978.8</v>
          </cell>
          <cell r="I232">
            <v>1864.77</v>
          </cell>
          <cell r="J232">
            <v>10990.95</v>
          </cell>
          <cell r="K232">
            <v>10990.95</v>
          </cell>
          <cell r="L232">
            <v>2319.38</v>
          </cell>
          <cell r="M232">
            <v>50.17</v>
          </cell>
          <cell r="N232">
            <v>50.17</v>
          </cell>
          <cell r="O232">
            <v>49.79</v>
          </cell>
        </row>
        <row r="233">
          <cell r="A233" t="str">
            <v>02140</v>
          </cell>
          <cell r="B233">
            <v>79900007</v>
          </cell>
          <cell r="C233">
            <v>36892</v>
          </cell>
          <cell r="D233">
            <v>37256</v>
          </cell>
          <cell r="E233">
            <v>44.229999999999563</v>
          </cell>
          <cell r="F233">
            <v>3956.62</v>
          </cell>
          <cell r="G233">
            <v>2605.98</v>
          </cell>
          <cell r="H233">
            <v>1399.54</v>
          </cell>
          <cell r="I233">
            <v>1495.86</v>
          </cell>
          <cell r="J233">
            <v>9458</v>
          </cell>
          <cell r="K233">
            <v>9458</v>
          </cell>
          <cell r="L233">
            <v>2555.9899999999998</v>
          </cell>
          <cell r="M233">
            <v>34.96</v>
          </cell>
          <cell r="N233">
            <v>34.96</v>
          </cell>
          <cell r="O233">
            <v>39.94</v>
          </cell>
        </row>
        <row r="234">
          <cell r="A234" t="str">
            <v>02150</v>
          </cell>
          <cell r="B234">
            <v>79900008</v>
          </cell>
          <cell r="C234">
            <v>36892</v>
          </cell>
          <cell r="D234">
            <v>37256</v>
          </cell>
          <cell r="E234">
            <v>58.780000000000655</v>
          </cell>
          <cell r="F234">
            <v>13463.31</v>
          </cell>
          <cell r="G234">
            <v>4281.45</v>
          </cell>
          <cell r="H234">
            <v>2448.9299999999998</v>
          </cell>
          <cell r="I234">
            <v>2295.85</v>
          </cell>
          <cell r="J234">
            <v>22489.54</v>
          </cell>
          <cell r="K234">
            <v>22489.54</v>
          </cell>
          <cell r="L234">
            <v>13230.34</v>
          </cell>
          <cell r="M234">
            <v>61.91</v>
          </cell>
          <cell r="N234">
            <v>61.91</v>
          </cell>
          <cell r="O234">
            <v>61.3</v>
          </cell>
        </row>
        <row r="235">
          <cell r="A235" t="str">
            <v>02160</v>
          </cell>
          <cell r="B235">
            <v>79900009</v>
          </cell>
          <cell r="C235">
            <v>36892</v>
          </cell>
          <cell r="D235">
            <v>37256</v>
          </cell>
          <cell r="E235">
            <v>60.920000000000073</v>
          </cell>
          <cell r="F235">
            <v>6138.2</v>
          </cell>
          <cell r="G235">
            <v>4534.57</v>
          </cell>
          <cell r="H235">
            <v>2608.09</v>
          </cell>
          <cell r="I235">
            <v>3820.17</v>
          </cell>
          <cell r="J235">
            <v>17101.03</v>
          </cell>
          <cell r="K235">
            <v>17101.03</v>
          </cell>
          <cell r="L235">
            <v>4345.6899999999996</v>
          </cell>
          <cell r="M235">
            <v>66</v>
          </cell>
          <cell r="N235">
            <v>66</v>
          </cell>
          <cell r="O235">
            <v>102</v>
          </cell>
        </row>
        <row r="236">
          <cell r="A236" t="str">
            <v>02170</v>
          </cell>
          <cell r="B236">
            <v>79900010</v>
          </cell>
          <cell r="C236">
            <v>36892</v>
          </cell>
          <cell r="D236">
            <v>37256</v>
          </cell>
          <cell r="E236">
            <v>43.829999999999927</v>
          </cell>
          <cell r="F236">
            <v>3364.97</v>
          </cell>
          <cell r="G236">
            <v>2106.09</v>
          </cell>
          <cell r="H236">
            <v>1043.98</v>
          </cell>
          <cell r="I236">
            <v>1336.69</v>
          </cell>
          <cell r="J236">
            <v>7851.73</v>
          </cell>
          <cell r="K236">
            <v>7851.73</v>
          </cell>
          <cell r="L236">
            <v>1866.67</v>
          </cell>
          <cell r="M236">
            <v>25.65</v>
          </cell>
          <cell r="N236">
            <v>25.65</v>
          </cell>
          <cell r="O236">
            <v>35.69</v>
          </cell>
        </row>
        <row r="237">
          <cell r="A237" t="str">
            <v>02180</v>
          </cell>
          <cell r="B237">
            <v>79900011</v>
          </cell>
          <cell r="C237">
            <v>36892</v>
          </cell>
          <cell r="D237">
            <v>37256</v>
          </cell>
          <cell r="E237">
            <v>44.229999999999563</v>
          </cell>
          <cell r="F237">
            <v>2712.09</v>
          </cell>
          <cell r="G237">
            <v>2056.2600000000002</v>
          </cell>
          <cell r="H237">
            <v>1003.8</v>
          </cell>
          <cell r="I237">
            <v>574.9</v>
          </cell>
          <cell r="J237">
            <v>6347.05</v>
          </cell>
          <cell r="K237">
            <v>6347.05</v>
          </cell>
          <cell r="L237">
            <v>1064.47</v>
          </cell>
          <cell r="M237">
            <v>24.58</v>
          </cell>
          <cell r="N237">
            <v>24.58</v>
          </cell>
          <cell r="O237">
            <v>15.35</v>
          </cell>
        </row>
        <row r="238">
          <cell r="A238" t="str">
            <v>02190</v>
          </cell>
          <cell r="B238">
            <v>79900012</v>
          </cell>
          <cell r="C238">
            <v>36892</v>
          </cell>
          <cell r="D238">
            <v>37256</v>
          </cell>
          <cell r="E238">
            <v>58.780000000000655</v>
          </cell>
          <cell r="F238">
            <v>7188.76</v>
          </cell>
          <cell r="G238">
            <v>3544.77</v>
          </cell>
          <cell r="H238">
            <v>1918.63</v>
          </cell>
          <cell r="I238">
            <v>1086.1300000000001</v>
          </cell>
          <cell r="J238">
            <v>13738.29</v>
          </cell>
          <cell r="K238">
            <v>13738.29</v>
          </cell>
          <cell r="L238">
            <v>5710.51</v>
          </cell>
          <cell r="M238">
            <v>48</v>
          </cell>
          <cell r="N238">
            <v>48</v>
          </cell>
          <cell r="O238">
            <v>29</v>
          </cell>
        </row>
        <row r="239">
          <cell r="A239" t="str">
            <v>02200</v>
          </cell>
          <cell r="B239">
            <v>79900013</v>
          </cell>
          <cell r="C239">
            <v>36892</v>
          </cell>
          <cell r="D239">
            <v>37256</v>
          </cell>
          <cell r="E239">
            <v>60.920000000000073</v>
          </cell>
          <cell r="F239">
            <v>6766.32</v>
          </cell>
          <cell r="G239">
            <v>4799.38</v>
          </cell>
          <cell r="H239">
            <v>2798.7</v>
          </cell>
          <cell r="I239">
            <v>3071.12</v>
          </cell>
          <cell r="J239">
            <v>17435.52</v>
          </cell>
          <cell r="K239">
            <v>17435.52</v>
          </cell>
          <cell r="L239">
            <v>5098.47</v>
          </cell>
          <cell r="M239">
            <v>71</v>
          </cell>
          <cell r="N239">
            <v>71</v>
          </cell>
          <cell r="O239">
            <v>82</v>
          </cell>
        </row>
        <row r="240">
          <cell r="A240" t="str">
            <v>02210</v>
          </cell>
          <cell r="B240">
            <v>79900014</v>
          </cell>
          <cell r="C240">
            <v>36892</v>
          </cell>
          <cell r="D240">
            <v>37256</v>
          </cell>
          <cell r="E240">
            <v>43.829999999999927</v>
          </cell>
          <cell r="F240">
            <v>3836.42</v>
          </cell>
          <cell r="G240">
            <v>896.48</v>
          </cell>
          <cell r="H240">
            <v>173.23</v>
          </cell>
          <cell r="I240">
            <v>216.48</v>
          </cell>
          <cell r="J240">
            <v>5122.6099999999997</v>
          </cell>
          <cell r="K240">
            <v>5122.6099999999997</v>
          </cell>
          <cell r="L240">
            <v>2431.6999999999998</v>
          </cell>
          <cell r="M240">
            <v>2.81</v>
          </cell>
          <cell r="N240">
            <v>2.81</v>
          </cell>
          <cell r="O240">
            <v>5.78</v>
          </cell>
        </row>
        <row r="241">
          <cell r="A241" t="str">
            <v>02220</v>
          </cell>
          <cell r="B241">
            <v>79900015</v>
          </cell>
          <cell r="C241">
            <v>36892</v>
          </cell>
          <cell r="D241">
            <v>37256</v>
          </cell>
          <cell r="E241">
            <v>44.229999999999563</v>
          </cell>
          <cell r="F241">
            <v>3087.41</v>
          </cell>
          <cell r="G241">
            <v>2410.0300000000002</v>
          </cell>
          <cell r="H241">
            <v>1258.48</v>
          </cell>
          <cell r="I241">
            <v>718.34</v>
          </cell>
          <cell r="J241">
            <v>7474.26</v>
          </cell>
          <cell r="K241">
            <v>7474.26</v>
          </cell>
          <cell r="L241">
            <v>1514.27</v>
          </cell>
          <cell r="M241">
            <v>31.26</v>
          </cell>
          <cell r="N241">
            <v>31.26</v>
          </cell>
          <cell r="O241">
            <v>19.18</v>
          </cell>
        </row>
        <row r="242">
          <cell r="A242" t="str">
            <v>02230</v>
          </cell>
          <cell r="B242">
            <v>79900016</v>
          </cell>
          <cell r="C242">
            <v>36892</v>
          </cell>
          <cell r="D242">
            <v>37256</v>
          </cell>
          <cell r="E242">
            <v>58.780000000000655</v>
          </cell>
          <cell r="F242">
            <v>14055.77</v>
          </cell>
          <cell r="G242">
            <v>3329.76</v>
          </cell>
          <cell r="H242">
            <v>1763.83</v>
          </cell>
          <cell r="I242">
            <v>1599.23</v>
          </cell>
          <cell r="J242">
            <v>20748.59</v>
          </cell>
          <cell r="K242">
            <v>20748.59</v>
          </cell>
          <cell r="L242">
            <v>13940.39</v>
          </cell>
          <cell r="M242">
            <v>43.94</v>
          </cell>
          <cell r="N242">
            <v>43.94</v>
          </cell>
          <cell r="O242">
            <v>42.7</v>
          </cell>
        </row>
        <row r="243">
          <cell r="A243" t="str">
            <v>02240</v>
          </cell>
          <cell r="B243">
            <v>79900017</v>
          </cell>
          <cell r="C243">
            <v>36892</v>
          </cell>
          <cell r="D243">
            <v>37256</v>
          </cell>
          <cell r="E243">
            <v>70.329999999999927</v>
          </cell>
          <cell r="F243">
            <v>11373.33</v>
          </cell>
          <cell r="G243">
            <v>5456.12</v>
          </cell>
          <cell r="H243">
            <v>3170.12</v>
          </cell>
          <cell r="I243">
            <v>2405.96</v>
          </cell>
          <cell r="J243">
            <v>22405.53</v>
          </cell>
          <cell r="K243">
            <v>22405.53</v>
          </cell>
          <cell r="L243">
            <v>10154.75</v>
          </cell>
          <cell r="M243">
            <v>80.37</v>
          </cell>
          <cell r="N243">
            <v>80.37</v>
          </cell>
          <cell r="O243">
            <v>64.239999999999995</v>
          </cell>
        </row>
        <row r="244">
          <cell r="A244" t="str">
            <v>02250</v>
          </cell>
          <cell r="B244">
            <v>79900601</v>
          </cell>
          <cell r="C244">
            <v>36892</v>
          </cell>
          <cell r="D244">
            <v>37256</v>
          </cell>
          <cell r="E244">
            <v>99.399999999999636</v>
          </cell>
          <cell r="F244">
            <v>0</v>
          </cell>
          <cell r="G244">
            <v>0</v>
          </cell>
          <cell r="H244">
            <v>0</v>
          </cell>
          <cell r="I244">
            <v>2703.34</v>
          </cell>
          <cell r="J244">
            <v>2703.34</v>
          </cell>
          <cell r="K244">
            <v>2703.34</v>
          </cell>
          <cell r="L244">
            <v>0</v>
          </cell>
          <cell r="M244">
            <v>0</v>
          </cell>
          <cell r="N244">
            <v>0</v>
          </cell>
          <cell r="O244">
            <v>72.180000000000007</v>
          </cell>
        </row>
        <row r="245">
          <cell r="A245" t="str">
            <v>02260</v>
          </cell>
          <cell r="B245">
            <v>79900602</v>
          </cell>
          <cell r="C245">
            <v>36892</v>
          </cell>
          <cell r="D245">
            <v>37256</v>
          </cell>
          <cell r="E245">
            <v>50</v>
          </cell>
          <cell r="F245">
            <v>0</v>
          </cell>
          <cell r="G245">
            <v>0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</row>
        <row r="246">
          <cell r="A246" t="str">
            <v>02270</v>
          </cell>
          <cell r="B246">
            <v>79900603</v>
          </cell>
          <cell r="C246">
            <v>36892</v>
          </cell>
          <cell r="D246">
            <v>37256</v>
          </cell>
          <cell r="E246">
            <v>49.66</v>
          </cell>
          <cell r="F246">
            <v>0</v>
          </cell>
          <cell r="G246">
            <v>0</v>
          </cell>
          <cell r="H246">
            <v>0</v>
          </cell>
          <cell r="I246">
            <v>235.95</v>
          </cell>
          <cell r="J246">
            <v>235.95</v>
          </cell>
          <cell r="K246">
            <v>235.95</v>
          </cell>
          <cell r="L246">
            <v>0</v>
          </cell>
          <cell r="M246">
            <v>0</v>
          </cell>
          <cell r="N246">
            <v>0</v>
          </cell>
          <cell r="O246">
            <v>6.3</v>
          </cell>
        </row>
      </sheetData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otřeby"/>
      <sheetName val="Klimatické údaje"/>
      <sheetName val="A1"/>
      <sheetName val="A2"/>
      <sheetName val="A3"/>
      <sheetName val="A4"/>
      <sheetName val="A5"/>
      <sheetName val="A6"/>
      <sheetName val="A7"/>
      <sheetName val="A8"/>
      <sheetName val="A9"/>
      <sheetName val="A10"/>
      <sheetName val="A11"/>
      <sheetName val="A12"/>
      <sheetName val="A13"/>
      <sheetName val="A14"/>
      <sheetName val="A15"/>
      <sheetName val="Sazby"/>
      <sheetName val="Výpočet nákladů a úspor"/>
      <sheetName val="Investice a úspory"/>
      <sheetName val="Garantovaná úspora"/>
      <sheetName val="Financování"/>
      <sheetName val="Rekapitulace"/>
      <sheetName val="Cenová příloha"/>
      <sheetName val="Body"/>
      <sheetName val="Body_skut"/>
      <sheetName val="Body_skut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en_vyh_nab_n0 (2)"/>
      <sheetName val="cen_navrh"/>
      <sheetName val="cen_vyh_nab_MSA"/>
      <sheetName val="Popis opatření"/>
      <sheetName val=" kursy"/>
      <sheetName val="List1"/>
      <sheetName val="titulni list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vytapeni.tzb-info.cz/tabulky-a-vypocty/103-vypocet-denostupnu?stanice=18&amp;action=1&amp;otopne_obdobi=&amp;start_day=01&amp;start_month=01&amp;start_year=2021&amp;end_day=31&amp;end_month=12&amp;end_year=2021&amp;ti=19.0&amp;tem=13.0&amp;chkbox_sumtbl=1&amp;chkbox_deg=1&amp;chkbox_dnu=1&amp;chkbox_prumerne_teploty=1&amp;deg_x=740&amp;deg_y=270&amp;otop_dny_x=740&amp;otop_dny_y=270&amp;prum_teploty_x=740&amp;prum_teploty_y=270" TargetMode="External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7AFB6"/>
    <pageSetUpPr fitToPage="1"/>
  </sheetPr>
  <dimension ref="B2:AA65"/>
  <sheetViews>
    <sheetView showGridLines="0" topLeftCell="A31" zoomScale="70" zoomScaleNormal="70" workbookViewId="0">
      <selection activeCell="M40" sqref="M40"/>
    </sheetView>
  </sheetViews>
  <sheetFormatPr defaultColWidth="9.140625" defaultRowHeight="12.75" outlineLevelCol="1" x14ac:dyDescent="0.2"/>
  <cols>
    <col min="1" max="1" width="1.7109375" style="22" customWidth="1"/>
    <col min="2" max="2" width="8.28515625" style="22" customWidth="1"/>
    <col min="3" max="3" width="27.28515625" style="22" customWidth="1"/>
    <col min="4" max="4" width="13.140625" style="22" customWidth="1"/>
    <col min="5" max="5" width="17.28515625" style="22" customWidth="1"/>
    <col min="6" max="6" width="11.5703125" style="22" customWidth="1"/>
    <col min="7" max="8" width="11.85546875" style="22" customWidth="1"/>
    <col min="9" max="9" width="11.140625" style="22" customWidth="1"/>
    <col min="10" max="10" width="11.7109375" style="22" customWidth="1"/>
    <col min="11" max="11" width="12.7109375" style="22" customWidth="1"/>
    <col min="12" max="12" width="11.7109375" style="22" customWidth="1"/>
    <col min="13" max="14" width="12" style="22" customWidth="1"/>
    <col min="15" max="16" width="11.140625" style="22" customWidth="1"/>
    <col min="17" max="18" width="11.140625" style="22" customWidth="1" outlineLevel="1"/>
    <col min="19" max="19" width="11.5703125" style="22" customWidth="1" outlineLevel="1"/>
    <col min="20" max="22" width="11.140625" style="22" customWidth="1" outlineLevel="1"/>
    <col min="23" max="23" width="11.5703125" style="22" customWidth="1" outlineLevel="1"/>
    <col min="24" max="24" width="11.140625" style="22" customWidth="1" outlineLevel="1"/>
    <col min="25" max="25" width="12.140625" style="22" customWidth="1" outlineLevel="1"/>
    <col min="26" max="26" width="10.7109375" style="22" customWidth="1"/>
    <col min="27" max="27" width="11" style="22" customWidth="1"/>
    <col min="28" max="16384" width="9.140625" style="22"/>
  </cols>
  <sheetData>
    <row r="2" spans="2:27" ht="18.75" customHeight="1" thickBot="1" x14ac:dyDescent="0.25">
      <c r="B2" s="19" t="s">
        <v>12</v>
      </c>
      <c r="C2" s="20"/>
      <c r="D2" s="515" t="s">
        <v>130</v>
      </c>
      <c r="E2" s="516"/>
      <c r="F2" s="517"/>
      <c r="G2" s="517"/>
      <c r="H2" s="517"/>
      <c r="I2" s="517"/>
      <c r="J2" s="517"/>
      <c r="K2" s="517"/>
      <c r="L2" s="517"/>
      <c r="M2" s="517"/>
      <c r="N2" s="517"/>
      <c r="O2" s="517"/>
      <c r="P2" s="517"/>
      <c r="Q2" s="517"/>
      <c r="R2" s="517"/>
      <c r="S2" s="517"/>
      <c r="T2" s="517"/>
      <c r="U2" s="517"/>
      <c r="V2" s="517"/>
      <c r="W2" s="517"/>
      <c r="X2" s="517"/>
      <c r="Y2" s="518"/>
      <c r="Z2" s="21"/>
    </row>
    <row r="3" spans="2:27" x14ac:dyDescent="0.2">
      <c r="B3" s="519" t="s">
        <v>13</v>
      </c>
      <c r="C3" s="521" t="s">
        <v>14</v>
      </c>
      <c r="D3" s="523" t="s">
        <v>133</v>
      </c>
      <c r="E3" s="521" t="s">
        <v>15</v>
      </c>
      <c r="F3" s="202" t="s">
        <v>16</v>
      </c>
      <c r="G3" s="23" t="s">
        <v>17</v>
      </c>
      <c r="H3" s="23" t="s">
        <v>18</v>
      </c>
      <c r="I3" s="23" t="s">
        <v>19</v>
      </c>
      <c r="J3" s="23" t="s">
        <v>20</v>
      </c>
      <c r="K3" s="23" t="s">
        <v>21</v>
      </c>
      <c r="L3" s="23" t="s">
        <v>22</v>
      </c>
      <c r="M3" s="23" t="s">
        <v>23</v>
      </c>
      <c r="N3" s="23" t="s">
        <v>24</v>
      </c>
      <c r="O3" s="23" t="s">
        <v>25</v>
      </c>
      <c r="P3" s="202" t="s">
        <v>26</v>
      </c>
      <c r="Q3" s="23" t="s">
        <v>27</v>
      </c>
      <c r="R3" s="23" t="s">
        <v>28</v>
      </c>
      <c r="S3" s="23" t="s">
        <v>29</v>
      </c>
      <c r="T3" s="23" t="s">
        <v>30</v>
      </c>
      <c r="U3" s="23" t="s">
        <v>31</v>
      </c>
      <c r="V3" s="23" t="s">
        <v>32</v>
      </c>
      <c r="W3" s="23" t="s">
        <v>33</v>
      </c>
      <c r="X3" s="23" t="s">
        <v>34</v>
      </c>
      <c r="Y3" s="24" t="s">
        <v>35</v>
      </c>
      <c r="AA3" s="25"/>
    </row>
    <row r="4" spans="2:27" ht="15" customHeight="1" x14ac:dyDescent="0.2">
      <c r="B4" s="520"/>
      <c r="C4" s="522"/>
      <c r="D4" s="524"/>
      <c r="E4" s="522"/>
      <c r="F4" s="525"/>
      <c r="G4" s="526"/>
      <c r="H4" s="526"/>
      <c r="I4" s="526"/>
      <c r="J4" s="526"/>
      <c r="K4" s="526"/>
      <c r="L4" s="526"/>
      <c r="M4" s="526"/>
      <c r="N4" s="526"/>
      <c r="O4" s="526"/>
      <c r="P4" s="526"/>
      <c r="Q4" s="526"/>
      <c r="R4" s="526"/>
      <c r="S4" s="526"/>
      <c r="T4" s="526"/>
      <c r="U4" s="526"/>
      <c r="V4" s="526"/>
      <c r="W4" s="526"/>
      <c r="X4" s="526"/>
      <c r="Y4" s="527"/>
    </row>
    <row r="5" spans="2:27" x14ac:dyDescent="0.2">
      <c r="B5" s="520"/>
      <c r="C5" s="522"/>
      <c r="D5" s="524"/>
      <c r="E5" s="522"/>
      <c r="F5" s="525"/>
      <c r="G5" s="526"/>
      <c r="H5" s="526"/>
      <c r="I5" s="526"/>
      <c r="J5" s="526"/>
      <c r="K5" s="526"/>
      <c r="L5" s="526"/>
      <c r="M5" s="526"/>
      <c r="N5" s="526"/>
      <c r="O5" s="526"/>
      <c r="P5" s="526"/>
      <c r="Q5" s="526"/>
      <c r="R5" s="526"/>
      <c r="S5" s="526"/>
      <c r="T5" s="526"/>
      <c r="U5" s="526"/>
      <c r="V5" s="526"/>
      <c r="W5" s="526"/>
      <c r="X5" s="526"/>
      <c r="Y5" s="527"/>
    </row>
    <row r="6" spans="2:27" x14ac:dyDescent="0.2">
      <c r="B6" s="520"/>
      <c r="C6" s="522"/>
      <c r="D6" s="524"/>
      <c r="E6" s="522"/>
      <c r="F6" s="525"/>
      <c r="G6" s="526"/>
      <c r="H6" s="526"/>
      <c r="I6" s="526"/>
      <c r="J6" s="526"/>
      <c r="K6" s="526"/>
      <c r="L6" s="526"/>
      <c r="M6" s="526"/>
      <c r="N6" s="526"/>
      <c r="O6" s="526"/>
      <c r="P6" s="526"/>
      <c r="Q6" s="526"/>
      <c r="R6" s="526"/>
      <c r="S6" s="526"/>
      <c r="T6" s="526"/>
      <c r="U6" s="526"/>
      <c r="V6" s="526"/>
      <c r="W6" s="526"/>
      <c r="X6" s="526"/>
      <c r="Y6" s="527"/>
    </row>
    <row r="7" spans="2:27" x14ac:dyDescent="0.2">
      <c r="B7" s="520"/>
      <c r="C7" s="522"/>
      <c r="D7" s="524"/>
      <c r="E7" s="522"/>
      <c r="F7" s="525"/>
      <c r="G7" s="526"/>
      <c r="H7" s="526"/>
      <c r="I7" s="526"/>
      <c r="J7" s="526"/>
      <c r="K7" s="526"/>
      <c r="L7" s="526"/>
      <c r="M7" s="526"/>
      <c r="N7" s="526"/>
      <c r="O7" s="526"/>
      <c r="P7" s="526"/>
      <c r="Q7" s="526"/>
      <c r="R7" s="526"/>
      <c r="S7" s="526"/>
      <c r="T7" s="526"/>
      <c r="U7" s="526"/>
      <c r="V7" s="526"/>
      <c r="W7" s="526"/>
      <c r="X7" s="526"/>
      <c r="Y7" s="527"/>
    </row>
    <row r="8" spans="2:27" ht="57.75" customHeight="1" x14ac:dyDescent="0.2">
      <c r="B8" s="520"/>
      <c r="C8" s="522"/>
      <c r="D8" s="524"/>
      <c r="E8" s="522"/>
      <c r="F8" s="525"/>
      <c r="G8" s="526"/>
      <c r="H8" s="526"/>
      <c r="I8" s="526"/>
      <c r="J8" s="526"/>
      <c r="K8" s="526"/>
      <c r="L8" s="526"/>
      <c r="M8" s="526"/>
      <c r="N8" s="526"/>
      <c r="O8" s="526"/>
      <c r="P8" s="526"/>
      <c r="Q8" s="526"/>
      <c r="R8" s="526"/>
      <c r="S8" s="526"/>
      <c r="T8" s="526"/>
      <c r="U8" s="526"/>
      <c r="V8" s="526"/>
      <c r="W8" s="526"/>
      <c r="X8" s="526"/>
      <c r="Y8" s="527"/>
    </row>
    <row r="9" spans="2:27" ht="25.5" customHeight="1" x14ac:dyDescent="0.25">
      <c r="B9" s="197">
        <v>1</v>
      </c>
      <c r="C9" s="325" t="s">
        <v>163</v>
      </c>
      <c r="D9" s="207">
        <f t="shared" ref="D9" si="0">SUM(F9:Y9)</f>
        <v>0</v>
      </c>
      <c r="E9" s="507" t="s">
        <v>36</v>
      </c>
      <c r="F9" s="505"/>
      <c r="G9" s="201"/>
      <c r="H9" s="201"/>
      <c r="I9" s="201"/>
      <c r="J9" s="201"/>
      <c r="K9" s="201"/>
      <c r="L9" s="201"/>
      <c r="M9" s="201"/>
      <c r="N9" s="201"/>
      <c r="O9" s="201"/>
      <c r="P9" s="201"/>
      <c r="Q9" s="201"/>
      <c r="R9" s="201"/>
      <c r="S9" s="201"/>
      <c r="T9" s="201"/>
      <c r="U9" s="201"/>
      <c r="V9" s="201"/>
      <c r="W9" s="201"/>
      <c r="X9" s="201"/>
      <c r="Y9" s="203"/>
      <c r="Z9" s="270" t="s">
        <v>91</v>
      </c>
    </row>
    <row r="10" spans="2:27" ht="25.5" customHeight="1" x14ac:dyDescent="0.25">
      <c r="B10" s="197">
        <v>2</v>
      </c>
      <c r="C10" s="325" t="s">
        <v>228</v>
      </c>
      <c r="D10" s="207">
        <f t="shared" ref="D10:D12" si="1">SUM(F10:Y10)</f>
        <v>0</v>
      </c>
      <c r="E10" s="507" t="s">
        <v>36</v>
      </c>
      <c r="F10" s="505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1"/>
      <c r="W10" s="201"/>
      <c r="X10" s="201"/>
      <c r="Y10" s="203"/>
      <c r="Z10" s="270" t="s">
        <v>91</v>
      </c>
    </row>
    <row r="11" spans="2:27" ht="25.5" customHeight="1" x14ac:dyDescent="0.25">
      <c r="B11" s="197">
        <v>3</v>
      </c>
      <c r="C11" s="325" t="s">
        <v>164</v>
      </c>
      <c r="D11" s="207">
        <f t="shared" si="1"/>
        <v>0</v>
      </c>
      <c r="E11" s="507" t="s">
        <v>36</v>
      </c>
      <c r="F11" s="505"/>
      <c r="G11" s="201"/>
      <c r="H11" s="201"/>
      <c r="I11" s="201"/>
      <c r="J11" s="201"/>
      <c r="K11" s="201"/>
      <c r="L11" s="201"/>
      <c r="M11" s="201"/>
      <c r="N11" s="201"/>
      <c r="O11" s="201"/>
      <c r="P11" s="201"/>
      <c r="Q11" s="201"/>
      <c r="R11" s="201"/>
      <c r="S11" s="201"/>
      <c r="T11" s="201"/>
      <c r="U11" s="201"/>
      <c r="V11" s="201"/>
      <c r="W11" s="201"/>
      <c r="X11" s="201"/>
      <c r="Y11" s="203"/>
      <c r="Z11" s="270" t="s">
        <v>91</v>
      </c>
    </row>
    <row r="12" spans="2:27" ht="25.5" customHeight="1" x14ac:dyDescent="0.25">
      <c r="B12" s="197">
        <v>4</v>
      </c>
      <c r="C12" s="325" t="s">
        <v>162</v>
      </c>
      <c r="D12" s="207">
        <f t="shared" si="1"/>
        <v>0</v>
      </c>
      <c r="E12" s="507" t="s">
        <v>36</v>
      </c>
      <c r="F12" s="505"/>
      <c r="G12" s="201"/>
      <c r="H12" s="201"/>
      <c r="I12" s="201"/>
      <c r="J12" s="201"/>
      <c r="K12" s="201"/>
      <c r="L12" s="201"/>
      <c r="M12" s="201"/>
      <c r="N12" s="201"/>
      <c r="O12" s="201"/>
      <c r="P12" s="201"/>
      <c r="Q12" s="201"/>
      <c r="R12" s="201"/>
      <c r="S12" s="201"/>
      <c r="T12" s="201"/>
      <c r="U12" s="201"/>
      <c r="V12" s="201"/>
      <c r="W12" s="201"/>
      <c r="X12" s="201"/>
      <c r="Y12" s="203"/>
      <c r="Z12" s="270" t="s">
        <v>91</v>
      </c>
    </row>
    <row r="13" spans="2:27" ht="25.5" customHeight="1" x14ac:dyDescent="0.25">
      <c r="B13" s="197">
        <v>5</v>
      </c>
      <c r="C13" s="325" t="s">
        <v>166</v>
      </c>
      <c r="D13" s="207">
        <f t="shared" ref="D13" si="2">SUM(F13:Y13)</f>
        <v>0</v>
      </c>
      <c r="E13" s="507" t="s">
        <v>36</v>
      </c>
      <c r="F13" s="505"/>
      <c r="G13" s="201"/>
      <c r="H13" s="201"/>
      <c r="I13" s="201"/>
      <c r="J13" s="201"/>
      <c r="K13" s="201"/>
      <c r="L13" s="201"/>
      <c r="M13" s="201"/>
      <c r="N13" s="201"/>
      <c r="O13" s="201"/>
      <c r="P13" s="201"/>
      <c r="Q13" s="201"/>
      <c r="R13" s="201"/>
      <c r="S13" s="201"/>
      <c r="T13" s="201"/>
      <c r="U13" s="201"/>
      <c r="V13" s="201"/>
      <c r="W13" s="201"/>
      <c r="X13" s="201"/>
      <c r="Y13" s="203"/>
      <c r="Z13" s="270" t="s">
        <v>91</v>
      </c>
    </row>
    <row r="14" spans="2:27" ht="25.5" customHeight="1" x14ac:dyDescent="0.25">
      <c r="B14" s="197">
        <v>6</v>
      </c>
      <c r="C14" s="325" t="s">
        <v>167</v>
      </c>
      <c r="D14" s="207">
        <f t="shared" ref="D14" si="3">SUM(F14:Y14)</f>
        <v>0</v>
      </c>
      <c r="E14" s="507" t="s">
        <v>36</v>
      </c>
      <c r="F14" s="505"/>
      <c r="G14" s="201"/>
      <c r="H14" s="201"/>
      <c r="I14" s="201"/>
      <c r="J14" s="201"/>
      <c r="K14" s="201"/>
      <c r="L14" s="201"/>
      <c r="M14" s="201"/>
      <c r="N14" s="201"/>
      <c r="O14" s="201"/>
      <c r="P14" s="201"/>
      <c r="Q14" s="201"/>
      <c r="R14" s="201"/>
      <c r="S14" s="201"/>
      <c r="T14" s="201"/>
      <c r="U14" s="201"/>
      <c r="V14" s="201"/>
      <c r="W14" s="201"/>
      <c r="X14" s="201"/>
      <c r="Y14" s="203"/>
      <c r="Z14" s="270" t="s">
        <v>91</v>
      </c>
    </row>
    <row r="15" spans="2:27" ht="25.5" customHeight="1" thickBot="1" x14ac:dyDescent="0.3">
      <c r="B15" s="198">
        <v>7</v>
      </c>
      <c r="C15" s="488" t="s">
        <v>165</v>
      </c>
      <c r="D15" s="206">
        <f>SUM(F15:Y15)</f>
        <v>0</v>
      </c>
      <c r="E15" s="508" t="s">
        <v>36</v>
      </c>
      <c r="F15" s="506"/>
      <c r="G15" s="200"/>
      <c r="H15" s="200"/>
      <c r="I15" s="200"/>
      <c r="J15" s="200"/>
      <c r="K15" s="200"/>
      <c r="L15" s="200"/>
      <c r="M15" s="200"/>
      <c r="N15" s="200"/>
      <c r="O15" s="200"/>
      <c r="P15" s="200"/>
      <c r="Q15" s="200"/>
      <c r="R15" s="200"/>
      <c r="S15" s="200"/>
      <c r="T15" s="200"/>
      <c r="U15" s="200"/>
      <c r="V15" s="200"/>
      <c r="W15" s="200"/>
      <c r="X15" s="200"/>
      <c r="Y15" s="205"/>
      <c r="Z15" s="270" t="s">
        <v>91</v>
      </c>
    </row>
    <row r="16" spans="2:27" ht="25.5" customHeight="1" thickBot="1" x14ac:dyDescent="0.3">
      <c r="B16" s="198" t="s">
        <v>11</v>
      </c>
      <c r="C16" s="199" t="s">
        <v>10</v>
      </c>
      <c r="D16" s="206">
        <f>SUM(D9:D15)</f>
        <v>0</v>
      </c>
      <c r="E16" s="509" t="s">
        <v>11</v>
      </c>
      <c r="F16" s="204">
        <f t="shared" ref="F16:W16" si="4">SUM(F9:F15)</f>
        <v>0</v>
      </c>
      <c r="G16" s="204">
        <f t="shared" si="4"/>
        <v>0</v>
      </c>
      <c r="H16" s="204">
        <f t="shared" si="4"/>
        <v>0</v>
      </c>
      <c r="I16" s="204">
        <f t="shared" si="4"/>
        <v>0</v>
      </c>
      <c r="J16" s="204">
        <f t="shared" si="4"/>
        <v>0</v>
      </c>
      <c r="K16" s="204">
        <f t="shared" si="4"/>
        <v>0</v>
      </c>
      <c r="L16" s="204">
        <f t="shared" si="4"/>
        <v>0</v>
      </c>
      <c r="M16" s="204">
        <f t="shared" si="4"/>
        <v>0</v>
      </c>
      <c r="N16" s="204">
        <f t="shared" si="4"/>
        <v>0</v>
      </c>
      <c r="O16" s="204">
        <f t="shared" si="4"/>
        <v>0</v>
      </c>
      <c r="P16" s="204">
        <f t="shared" si="4"/>
        <v>0</v>
      </c>
      <c r="Q16" s="204">
        <f t="shared" si="4"/>
        <v>0</v>
      </c>
      <c r="R16" s="204">
        <f t="shared" si="4"/>
        <v>0</v>
      </c>
      <c r="S16" s="204">
        <f t="shared" si="4"/>
        <v>0</v>
      </c>
      <c r="T16" s="204">
        <f t="shared" si="4"/>
        <v>0</v>
      </c>
      <c r="U16" s="204">
        <f t="shared" si="4"/>
        <v>0</v>
      </c>
      <c r="V16" s="204">
        <f t="shared" si="4"/>
        <v>0</v>
      </c>
      <c r="W16" s="204">
        <f t="shared" si="4"/>
        <v>0</v>
      </c>
      <c r="X16" s="204">
        <f>SUM(X9:X15)</f>
        <v>0</v>
      </c>
      <c r="Y16" s="208">
        <f>SUM(Y9:Y15)</f>
        <v>0</v>
      </c>
      <c r="Z16" s="270" t="s">
        <v>91</v>
      </c>
    </row>
    <row r="17" spans="2:27" x14ac:dyDescent="0.2"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</row>
    <row r="18" spans="2:27" x14ac:dyDescent="0.2">
      <c r="D18" s="26"/>
      <c r="F18" s="26"/>
      <c r="G18" s="26"/>
      <c r="H18" s="26"/>
      <c r="I18" s="26"/>
      <c r="J18" s="26"/>
      <c r="K18" s="26"/>
      <c r="L18" s="26"/>
      <c r="M18" s="26"/>
    </row>
    <row r="20" spans="2:27" ht="18" customHeight="1" thickBot="1" x14ac:dyDescent="0.25">
      <c r="B20" s="27" t="s">
        <v>37</v>
      </c>
      <c r="C20" s="28"/>
      <c r="D20" s="515" t="s">
        <v>131</v>
      </c>
      <c r="E20" s="516"/>
      <c r="F20" s="516"/>
      <c r="G20" s="516"/>
      <c r="H20" s="516"/>
      <c r="I20" s="516"/>
      <c r="J20" s="516"/>
      <c r="K20" s="516"/>
      <c r="L20" s="516"/>
      <c r="M20" s="516"/>
      <c r="N20" s="516"/>
      <c r="O20" s="516"/>
      <c r="P20" s="516"/>
      <c r="Q20" s="516"/>
      <c r="R20" s="516"/>
      <c r="S20" s="516"/>
      <c r="T20" s="516"/>
      <c r="U20" s="516"/>
      <c r="V20" s="516"/>
      <c r="W20" s="516"/>
      <c r="X20" s="516"/>
      <c r="Y20" s="516"/>
      <c r="Z20" s="516"/>
      <c r="AA20" s="21"/>
    </row>
    <row r="21" spans="2:27" ht="15" customHeight="1" x14ac:dyDescent="0.2">
      <c r="B21" s="519" t="s">
        <v>13</v>
      </c>
      <c r="C21" s="521" t="s">
        <v>14</v>
      </c>
      <c r="D21" s="523" t="s">
        <v>132</v>
      </c>
      <c r="E21" s="521" t="s">
        <v>15</v>
      </c>
      <c r="F21" s="202" t="str">
        <f t="shared" ref="F21:Y21" si="5">F3</f>
        <v>Opatření 1</v>
      </c>
      <c r="G21" s="23" t="str">
        <f t="shared" si="5"/>
        <v>Opatření 2</v>
      </c>
      <c r="H21" s="23" t="str">
        <f t="shared" si="5"/>
        <v>Opatření 3</v>
      </c>
      <c r="I21" s="23" t="str">
        <f t="shared" si="5"/>
        <v>Opatření 4</v>
      </c>
      <c r="J21" s="23" t="str">
        <f t="shared" si="5"/>
        <v>Opatření 5</v>
      </c>
      <c r="K21" s="23" t="str">
        <f t="shared" si="5"/>
        <v>Opatření 6</v>
      </c>
      <c r="L21" s="23" t="str">
        <f t="shared" si="5"/>
        <v>Opatření 7</v>
      </c>
      <c r="M21" s="23" t="str">
        <f t="shared" si="5"/>
        <v>Opatření 8</v>
      </c>
      <c r="N21" s="23" t="str">
        <f t="shared" si="5"/>
        <v>Opatření 9</v>
      </c>
      <c r="O21" s="23" t="str">
        <f t="shared" si="5"/>
        <v>Opatření 10</v>
      </c>
      <c r="P21" s="23" t="str">
        <f t="shared" si="5"/>
        <v>Opatření 11</v>
      </c>
      <c r="Q21" s="23" t="str">
        <f t="shared" si="5"/>
        <v>Opatření 12</v>
      </c>
      <c r="R21" s="23" t="str">
        <f t="shared" si="5"/>
        <v>Opatření 13</v>
      </c>
      <c r="S21" s="23" t="str">
        <f t="shared" si="5"/>
        <v>Opatření 14</v>
      </c>
      <c r="T21" s="23" t="str">
        <f t="shared" si="5"/>
        <v>Opatření 15</v>
      </c>
      <c r="U21" s="23" t="str">
        <f t="shared" si="5"/>
        <v>Opatření 16</v>
      </c>
      <c r="V21" s="23" t="str">
        <f t="shared" si="5"/>
        <v>Opatření 17</v>
      </c>
      <c r="W21" s="23" t="str">
        <f t="shared" si="5"/>
        <v>Opatření 18</v>
      </c>
      <c r="X21" s="23" t="str">
        <f t="shared" si="5"/>
        <v>Opatření 19</v>
      </c>
      <c r="Y21" s="23" t="str">
        <f t="shared" si="5"/>
        <v>Opatření 20</v>
      </c>
      <c r="Z21" s="528" t="s">
        <v>38</v>
      </c>
    </row>
    <row r="22" spans="2:27" x14ac:dyDescent="0.2">
      <c r="B22" s="520"/>
      <c r="C22" s="522"/>
      <c r="D22" s="524"/>
      <c r="E22" s="522"/>
      <c r="F22" s="530">
        <f t="shared" ref="F22:Y22" si="6">F4</f>
        <v>0</v>
      </c>
      <c r="G22" s="522">
        <f t="shared" si="6"/>
        <v>0</v>
      </c>
      <c r="H22" s="522">
        <f t="shared" si="6"/>
        <v>0</v>
      </c>
      <c r="I22" s="522">
        <f t="shared" si="6"/>
        <v>0</v>
      </c>
      <c r="J22" s="522">
        <f t="shared" si="6"/>
        <v>0</v>
      </c>
      <c r="K22" s="522">
        <f t="shared" si="6"/>
        <v>0</v>
      </c>
      <c r="L22" s="522">
        <f t="shared" si="6"/>
        <v>0</v>
      </c>
      <c r="M22" s="522">
        <f t="shared" si="6"/>
        <v>0</v>
      </c>
      <c r="N22" s="522">
        <f t="shared" si="6"/>
        <v>0</v>
      </c>
      <c r="O22" s="522">
        <f t="shared" si="6"/>
        <v>0</v>
      </c>
      <c r="P22" s="522">
        <f t="shared" si="6"/>
        <v>0</v>
      </c>
      <c r="Q22" s="522">
        <f t="shared" si="6"/>
        <v>0</v>
      </c>
      <c r="R22" s="522">
        <f t="shared" si="6"/>
        <v>0</v>
      </c>
      <c r="S22" s="522">
        <f t="shared" si="6"/>
        <v>0</v>
      </c>
      <c r="T22" s="522">
        <f t="shared" si="6"/>
        <v>0</v>
      </c>
      <c r="U22" s="522">
        <f t="shared" si="6"/>
        <v>0</v>
      </c>
      <c r="V22" s="522">
        <f t="shared" si="6"/>
        <v>0</v>
      </c>
      <c r="W22" s="522">
        <f t="shared" si="6"/>
        <v>0</v>
      </c>
      <c r="X22" s="522">
        <f t="shared" si="6"/>
        <v>0</v>
      </c>
      <c r="Y22" s="522">
        <f t="shared" si="6"/>
        <v>0</v>
      </c>
      <c r="Z22" s="529"/>
    </row>
    <row r="23" spans="2:27" x14ac:dyDescent="0.2">
      <c r="B23" s="520"/>
      <c r="C23" s="522"/>
      <c r="D23" s="524"/>
      <c r="E23" s="522"/>
      <c r="F23" s="530"/>
      <c r="G23" s="522"/>
      <c r="H23" s="522"/>
      <c r="I23" s="522"/>
      <c r="J23" s="522"/>
      <c r="K23" s="522"/>
      <c r="L23" s="522"/>
      <c r="M23" s="522"/>
      <c r="N23" s="522"/>
      <c r="O23" s="522"/>
      <c r="P23" s="522"/>
      <c r="Q23" s="522"/>
      <c r="R23" s="522"/>
      <c r="S23" s="522"/>
      <c r="T23" s="522"/>
      <c r="U23" s="522"/>
      <c r="V23" s="522"/>
      <c r="W23" s="522"/>
      <c r="X23" s="522"/>
      <c r="Y23" s="522"/>
      <c r="Z23" s="529"/>
    </row>
    <row r="24" spans="2:27" x14ac:dyDescent="0.2">
      <c r="B24" s="520"/>
      <c r="C24" s="522"/>
      <c r="D24" s="524"/>
      <c r="E24" s="522"/>
      <c r="F24" s="530"/>
      <c r="G24" s="522"/>
      <c r="H24" s="522"/>
      <c r="I24" s="522"/>
      <c r="J24" s="522"/>
      <c r="K24" s="522"/>
      <c r="L24" s="522"/>
      <c r="M24" s="522"/>
      <c r="N24" s="522"/>
      <c r="O24" s="522"/>
      <c r="P24" s="522"/>
      <c r="Q24" s="522"/>
      <c r="R24" s="522"/>
      <c r="S24" s="522"/>
      <c r="T24" s="522"/>
      <c r="U24" s="522"/>
      <c r="V24" s="522"/>
      <c r="W24" s="522"/>
      <c r="X24" s="522"/>
      <c r="Y24" s="522"/>
      <c r="Z24" s="529"/>
    </row>
    <row r="25" spans="2:27" x14ac:dyDescent="0.2">
      <c r="B25" s="520"/>
      <c r="C25" s="522"/>
      <c r="D25" s="524"/>
      <c r="E25" s="522"/>
      <c r="F25" s="530"/>
      <c r="G25" s="522"/>
      <c r="H25" s="522"/>
      <c r="I25" s="522"/>
      <c r="J25" s="522"/>
      <c r="K25" s="522"/>
      <c r="L25" s="522"/>
      <c r="M25" s="522"/>
      <c r="N25" s="522"/>
      <c r="O25" s="522"/>
      <c r="P25" s="522"/>
      <c r="Q25" s="522"/>
      <c r="R25" s="522"/>
      <c r="S25" s="522"/>
      <c r="T25" s="522"/>
      <c r="U25" s="522"/>
      <c r="V25" s="522"/>
      <c r="W25" s="522"/>
      <c r="X25" s="522"/>
      <c r="Y25" s="522"/>
      <c r="Z25" s="529"/>
    </row>
    <row r="26" spans="2:27" ht="57.75" customHeight="1" x14ac:dyDescent="0.2">
      <c r="B26" s="520"/>
      <c r="C26" s="522"/>
      <c r="D26" s="524"/>
      <c r="E26" s="522"/>
      <c r="F26" s="530"/>
      <c r="G26" s="522"/>
      <c r="H26" s="522"/>
      <c r="I26" s="522"/>
      <c r="J26" s="522"/>
      <c r="K26" s="522"/>
      <c r="L26" s="522"/>
      <c r="M26" s="522"/>
      <c r="N26" s="522"/>
      <c r="O26" s="522"/>
      <c r="P26" s="522"/>
      <c r="Q26" s="522"/>
      <c r="R26" s="522"/>
      <c r="S26" s="522"/>
      <c r="T26" s="522"/>
      <c r="U26" s="522"/>
      <c r="V26" s="522"/>
      <c r="W26" s="522"/>
      <c r="X26" s="522"/>
      <c r="Y26" s="522"/>
      <c r="Z26" s="529"/>
    </row>
    <row r="27" spans="2:27" ht="27.75" customHeight="1" x14ac:dyDescent="0.25">
      <c r="B27" s="197">
        <f t="shared" ref="B27:C33" si="7">B9</f>
        <v>1</v>
      </c>
      <c r="C27" s="326" t="str">
        <f t="shared" si="7"/>
        <v>OA, SPgŠ a JŠ Beroun</v>
      </c>
      <c r="D27" s="207">
        <f t="shared" ref="D27" si="8">SUM(F27:Z27)</f>
        <v>0</v>
      </c>
      <c r="E27" s="507" t="s">
        <v>36</v>
      </c>
      <c r="F27" s="505"/>
      <c r="G27" s="201"/>
      <c r="H27" s="201"/>
      <c r="I27" s="201"/>
      <c r="J27" s="201"/>
      <c r="K27" s="201"/>
      <c r="L27" s="201"/>
      <c r="M27" s="201"/>
      <c r="N27" s="201"/>
      <c r="O27" s="201"/>
      <c r="P27" s="201"/>
      <c r="Q27" s="201"/>
      <c r="R27" s="201"/>
      <c r="S27" s="201"/>
      <c r="T27" s="201"/>
      <c r="U27" s="201"/>
      <c r="V27" s="201"/>
      <c r="W27" s="201"/>
      <c r="X27" s="201"/>
      <c r="Y27" s="201"/>
      <c r="Z27" s="203"/>
      <c r="AA27" s="270" t="s">
        <v>91</v>
      </c>
    </row>
    <row r="28" spans="2:27" ht="27.75" customHeight="1" x14ac:dyDescent="0.25">
      <c r="B28" s="197">
        <f t="shared" si="7"/>
        <v>2</v>
      </c>
      <c r="C28" s="326" t="str">
        <f t="shared" si="7"/>
        <v>SOŠ a SOU Jílové u Prahy - jídelna</v>
      </c>
      <c r="D28" s="207">
        <f t="shared" ref="D28:D30" si="9">SUM(F28:Z28)</f>
        <v>0</v>
      </c>
      <c r="E28" s="507" t="s">
        <v>36</v>
      </c>
      <c r="F28" s="505"/>
      <c r="G28" s="201"/>
      <c r="H28" s="201"/>
      <c r="I28" s="201"/>
      <c r="J28" s="201"/>
      <c r="K28" s="201"/>
      <c r="L28" s="201"/>
      <c r="M28" s="201"/>
      <c r="N28" s="201"/>
      <c r="O28" s="201"/>
      <c r="P28" s="201"/>
      <c r="Q28" s="201"/>
      <c r="R28" s="201"/>
      <c r="S28" s="201"/>
      <c r="T28" s="201"/>
      <c r="U28" s="201"/>
      <c r="V28" s="201"/>
      <c r="W28" s="201"/>
      <c r="X28" s="201"/>
      <c r="Y28" s="201"/>
      <c r="Z28" s="203"/>
      <c r="AA28" s="270" t="s">
        <v>91</v>
      </c>
    </row>
    <row r="29" spans="2:27" ht="27.75" customHeight="1" x14ac:dyDescent="0.25">
      <c r="B29" s="197">
        <f t="shared" si="7"/>
        <v>3</v>
      </c>
      <c r="C29" s="326" t="str">
        <f t="shared" si="7"/>
        <v>Regionální muzeum Jílové</v>
      </c>
      <c r="D29" s="207">
        <f t="shared" si="9"/>
        <v>0</v>
      </c>
      <c r="E29" s="507" t="s">
        <v>36</v>
      </c>
      <c r="F29" s="505"/>
      <c r="G29" s="201"/>
      <c r="H29" s="201"/>
      <c r="I29" s="201"/>
      <c r="J29" s="201"/>
      <c r="K29" s="201"/>
      <c r="L29" s="201"/>
      <c r="M29" s="201"/>
      <c r="N29" s="201"/>
      <c r="O29" s="201"/>
      <c r="P29" s="201"/>
      <c r="Q29" s="201"/>
      <c r="R29" s="201"/>
      <c r="S29" s="201"/>
      <c r="T29" s="201"/>
      <c r="U29" s="201"/>
      <c r="V29" s="201"/>
      <c r="W29" s="201"/>
      <c r="X29" s="201"/>
      <c r="Y29" s="201"/>
      <c r="Z29" s="203"/>
      <c r="AA29" s="270" t="s">
        <v>91</v>
      </c>
    </row>
    <row r="30" spans="2:27" ht="27.75" customHeight="1" x14ac:dyDescent="0.25">
      <c r="B30" s="197">
        <f t="shared" si="7"/>
        <v>4</v>
      </c>
      <c r="C30" s="326" t="str">
        <f t="shared" si="7"/>
        <v>Domov Kytín</v>
      </c>
      <c r="D30" s="207">
        <f t="shared" si="9"/>
        <v>0</v>
      </c>
      <c r="E30" s="507" t="s">
        <v>36</v>
      </c>
      <c r="F30" s="505"/>
      <c r="G30" s="201"/>
      <c r="H30" s="201"/>
      <c r="I30" s="201"/>
      <c r="J30" s="201"/>
      <c r="K30" s="201"/>
      <c r="L30" s="201"/>
      <c r="M30" s="201"/>
      <c r="N30" s="201"/>
      <c r="O30" s="201"/>
      <c r="P30" s="201"/>
      <c r="Q30" s="201"/>
      <c r="R30" s="201"/>
      <c r="S30" s="201"/>
      <c r="T30" s="201"/>
      <c r="U30" s="201"/>
      <c r="V30" s="201"/>
      <c r="W30" s="201"/>
      <c r="X30" s="201"/>
      <c r="Y30" s="201"/>
      <c r="Z30" s="203"/>
      <c r="AA30" s="270" t="s">
        <v>91</v>
      </c>
    </row>
    <row r="31" spans="2:27" ht="27.75" customHeight="1" x14ac:dyDescent="0.25">
      <c r="B31" s="197">
        <f t="shared" si="7"/>
        <v>5</v>
      </c>
      <c r="C31" s="326" t="str">
        <f t="shared" si="7"/>
        <v>ZŠ a DD Sedlec-Prčice, Přestavlky</v>
      </c>
      <c r="D31" s="207">
        <f t="shared" ref="D31" si="10">SUM(F31:Z31)</f>
        <v>0</v>
      </c>
      <c r="E31" s="507" t="s">
        <v>36</v>
      </c>
      <c r="F31" s="505"/>
      <c r="G31" s="201"/>
      <c r="H31" s="201"/>
      <c r="I31" s="201"/>
      <c r="J31" s="201"/>
      <c r="K31" s="201"/>
      <c r="L31" s="201"/>
      <c r="M31" s="201"/>
      <c r="N31" s="201"/>
      <c r="O31" s="201"/>
      <c r="P31" s="201"/>
      <c r="Q31" s="201"/>
      <c r="R31" s="201"/>
      <c r="S31" s="201"/>
      <c r="T31" s="201"/>
      <c r="U31" s="201"/>
      <c r="V31" s="201"/>
      <c r="W31" s="201"/>
      <c r="X31" s="201"/>
      <c r="Y31" s="201"/>
      <c r="Z31" s="203"/>
      <c r="AA31" s="270" t="s">
        <v>91</v>
      </c>
    </row>
    <row r="32" spans="2:27" ht="27.75" customHeight="1" x14ac:dyDescent="0.25">
      <c r="B32" s="197">
        <f t="shared" si="7"/>
        <v>6</v>
      </c>
      <c r="C32" s="326" t="str">
        <f t="shared" si="7"/>
        <v>DS Nové strašecí - Domov Pohoda</v>
      </c>
      <c r="D32" s="207">
        <f t="shared" ref="D32" si="11">SUM(F32:Z32)</f>
        <v>0</v>
      </c>
      <c r="E32" s="507" t="s">
        <v>36</v>
      </c>
      <c r="F32" s="505"/>
      <c r="G32" s="201"/>
      <c r="H32" s="201"/>
      <c r="I32" s="201"/>
      <c r="J32" s="201"/>
      <c r="K32" s="201"/>
      <c r="L32" s="201"/>
      <c r="M32" s="201"/>
      <c r="N32" s="201"/>
      <c r="O32" s="201"/>
      <c r="P32" s="201"/>
      <c r="Q32" s="201"/>
      <c r="R32" s="201"/>
      <c r="S32" s="201"/>
      <c r="T32" s="201"/>
      <c r="U32" s="201"/>
      <c r="V32" s="201"/>
      <c r="W32" s="201"/>
      <c r="X32" s="201"/>
      <c r="Y32" s="201"/>
      <c r="Z32" s="203"/>
      <c r="AA32" s="270" t="s">
        <v>91</v>
      </c>
    </row>
    <row r="33" spans="2:27" ht="27.75" customHeight="1" thickBot="1" x14ac:dyDescent="0.3">
      <c r="B33" s="489">
        <f t="shared" si="7"/>
        <v>7</v>
      </c>
      <c r="C33" s="490" t="str">
        <f t="shared" si="7"/>
        <v>SOU Sedlčany - DDM</v>
      </c>
      <c r="D33" s="491">
        <f t="shared" ref="D33" si="12">SUM(F33:Z33)</f>
        <v>0</v>
      </c>
      <c r="E33" s="513" t="s">
        <v>36</v>
      </c>
      <c r="F33" s="511"/>
      <c r="G33" s="492"/>
      <c r="H33" s="492"/>
      <c r="I33" s="492"/>
      <c r="J33" s="492"/>
      <c r="K33" s="492"/>
      <c r="L33" s="492"/>
      <c r="M33" s="492"/>
      <c r="N33" s="492"/>
      <c r="O33" s="492"/>
      <c r="P33" s="492"/>
      <c r="Q33" s="492"/>
      <c r="R33" s="492"/>
      <c r="S33" s="492"/>
      <c r="T33" s="492"/>
      <c r="U33" s="492"/>
      <c r="V33" s="492"/>
      <c r="W33" s="492"/>
      <c r="X33" s="492"/>
      <c r="Y33" s="492"/>
      <c r="Z33" s="493"/>
      <c r="AA33" s="270" t="s">
        <v>91</v>
      </c>
    </row>
    <row r="34" spans="2:27" ht="27.75" customHeight="1" thickBot="1" x14ac:dyDescent="0.3">
      <c r="B34" s="209" t="s">
        <v>11</v>
      </c>
      <c r="C34" s="210" t="s">
        <v>10</v>
      </c>
      <c r="D34" s="510">
        <f>SUM(D27:D33)</f>
        <v>0</v>
      </c>
      <c r="E34" s="514" t="s">
        <v>11</v>
      </c>
      <c r="F34" s="512">
        <f>SUM(F27:F33)</f>
        <v>0</v>
      </c>
      <c r="G34" s="494">
        <f>SUM(G27:G33)</f>
        <v>0</v>
      </c>
      <c r="H34" s="494">
        <f t="shared" ref="H34:Y34" si="13">SUM(H27:H33)</f>
        <v>0</v>
      </c>
      <c r="I34" s="494">
        <f t="shared" si="13"/>
        <v>0</v>
      </c>
      <c r="J34" s="494">
        <f t="shared" si="13"/>
        <v>0</v>
      </c>
      <c r="K34" s="494">
        <f t="shared" si="13"/>
        <v>0</v>
      </c>
      <c r="L34" s="494">
        <f t="shared" si="13"/>
        <v>0</v>
      </c>
      <c r="M34" s="494">
        <f t="shared" si="13"/>
        <v>0</v>
      </c>
      <c r="N34" s="494">
        <f t="shared" si="13"/>
        <v>0</v>
      </c>
      <c r="O34" s="494">
        <f t="shared" si="13"/>
        <v>0</v>
      </c>
      <c r="P34" s="494">
        <f t="shared" si="13"/>
        <v>0</v>
      </c>
      <c r="Q34" s="494">
        <f t="shared" si="13"/>
        <v>0</v>
      </c>
      <c r="R34" s="494">
        <f t="shared" si="13"/>
        <v>0</v>
      </c>
      <c r="S34" s="494">
        <f t="shared" si="13"/>
        <v>0</v>
      </c>
      <c r="T34" s="494">
        <f t="shared" si="13"/>
        <v>0</v>
      </c>
      <c r="U34" s="494">
        <f t="shared" si="13"/>
        <v>0</v>
      </c>
      <c r="V34" s="494">
        <f t="shared" si="13"/>
        <v>0</v>
      </c>
      <c r="W34" s="494">
        <f t="shared" si="13"/>
        <v>0</v>
      </c>
      <c r="X34" s="494">
        <f t="shared" si="13"/>
        <v>0</v>
      </c>
      <c r="Y34" s="494">
        <f t="shared" si="13"/>
        <v>0</v>
      </c>
      <c r="Z34" s="495">
        <f>SUM(Z27:Z33)</f>
        <v>0</v>
      </c>
      <c r="AA34" s="270" t="s">
        <v>91</v>
      </c>
    </row>
    <row r="35" spans="2:27" x14ac:dyDescent="0.2"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</row>
    <row r="36" spans="2:27" x14ac:dyDescent="0.2">
      <c r="D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</row>
    <row r="38" spans="2:27" ht="18" customHeight="1" thickBot="1" x14ac:dyDescent="0.25">
      <c r="B38" s="19" t="s">
        <v>39</v>
      </c>
      <c r="C38" s="145"/>
      <c r="D38" s="533" t="s">
        <v>86</v>
      </c>
      <c r="E38" s="534"/>
      <c r="F38" s="534"/>
      <c r="G38" s="534"/>
      <c r="H38" s="534"/>
      <c r="I38" s="535"/>
    </row>
    <row r="39" spans="2:27" ht="30.75" customHeight="1" x14ac:dyDescent="0.2">
      <c r="B39" s="519" t="s">
        <v>13</v>
      </c>
      <c r="C39" s="521" t="s">
        <v>40</v>
      </c>
      <c r="D39" s="538" t="s">
        <v>107</v>
      </c>
      <c r="E39" s="531" t="s">
        <v>11</v>
      </c>
      <c r="F39" s="246" t="s">
        <v>41</v>
      </c>
      <c r="G39" s="246" t="s">
        <v>138</v>
      </c>
      <c r="H39" s="247" t="s">
        <v>42</v>
      </c>
      <c r="I39" s="249" t="s">
        <v>43</v>
      </c>
    </row>
    <row r="40" spans="2:27" ht="24" customHeight="1" thickBot="1" x14ac:dyDescent="0.25">
      <c r="B40" s="536"/>
      <c r="C40" s="537"/>
      <c r="D40" s="539"/>
      <c r="E40" s="532"/>
      <c r="F40" s="243" t="s">
        <v>105</v>
      </c>
      <c r="G40" s="243" t="s">
        <v>105</v>
      </c>
      <c r="H40" s="143" t="s">
        <v>105</v>
      </c>
      <c r="I40" s="144" t="s">
        <v>47</v>
      </c>
    </row>
    <row r="41" spans="2:27" ht="22.5" customHeight="1" x14ac:dyDescent="0.2">
      <c r="B41" s="289">
        <f t="shared" ref="B41:C47" si="14">B27</f>
        <v>1</v>
      </c>
      <c r="C41" s="327" t="str">
        <f t="shared" si="14"/>
        <v>OA, SPgŠ a JŠ Beroun</v>
      </c>
      <c r="D41" s="290" t="s">
        <v>11</v>
      </c>
      <c r="E41" s="291" t="s">
        <v>85</v>
      </c>
      <c r="F41" s="292"/>
      <c r="G41" s="292"/>
      <c r="H41" s="293"/>
      <c r="I41" s="294"/>
      <c r="J41" s="244"/>
      <c r="K41" s="484">
        <f>F41/'REFERENČNÍ ÚDAJE'!E14</f>
        <v>0</v>
      </c>
      <c r="L41" s="484"/>
      <c r="M41" s="484">
        <f>H41/'REFERENČNÍ ÚDAJE'!N14</f>
        <v>0</v>
      </c>
      <c r="N41" s="484">
        <f>I41/'REFERENČNÍ ÚDAJE'!R14</f>
        <v>0</v>
      </c>
      <c r="O41" s="485"/>
    </row>
    <row r="42" spans="2:27" ht="22.5" customHeight="1" x14ac:dyDescent="0.2">
      <c r="B42" s="289">
        <f t="shared" si="14"/>
        <v>2</v>
      </c>
      <c r="C42" s="327" t="str">
        <f t="shared" si="14"/>
        <v>SOŠ a SOU Jílové u Prahy - jídelna</v>
      </c>
      <c r="D42" s="290" t="s">
        <v>11</v>
      </c>
      <c r="E42" s="291" t="s">
        <v>85</v>
      </c>
      <c r="F42" s="292"/>
      <c r="G42" s="292"/>
      <c r="H42" s="293"/>
      <c r="I42" s="294"/>
      <c r="J42" s="244"/>
      <c r="K42" s="484"/>
      <c r="L42" s="484"/>
      <c r="M42" s="484">
        <f>H42/'REFERENČNÍ ÚDAJE'!N15</f>
        <v>0</v>
      </c>
      <c r="N42" s="484">
        <f>I42/'REFERENČNÍ ÚDAJE'!R15</f>
        <v>0</v>
      </c>
      <c r="O42" s="485"/>
    </row>
    <row r="43" spans="2:27" ht="22.5" customHeight="1" x14ac:dyDescent="0.2">
      <c r="B43" s="289">
        <f t="shared" si="14"/>
        <v>3</v>
      </c>
      <c r="C43" s="327" t="str">
        <f t="shared" si="14"/>
        <v>Regionální muzeum Jílové</v>
      </c>
      <c r="D43" s="290" t="s">
        <v>11</v>
      </c>
      <c r="E43" s="291" t="s">
        <v>85</v>
      </c>
      <c r="F43" s="292"/>
      <c r="G43" s="292"/>
      <c r="H43" s="293"/>
      <c r="I43" s="294"/>
      <c r="J43" s="244"/>
      <c r="K43" s="484"/>
      <c r="L43" s="484"/>
      <c r="M43" s="484">
        <f>H43/'REFERENČNÍ ÚDAJE'!N16</f>
        <v>0</v>
      </c>
      <c r="N43" s="484">
        <f>I43/'REFERENČNÍ ÚDAJE'!R16</f>
        <v>0</v>
      </c>
      <c r="O43" s="485"/>
    </row>
    <row r="44" spans="2:27" ht="22.5" customHeight="1" x14ac:dyDescent="0.2">
      <c r="B44" s="289">
        <f t="shared" si="14"/>
        <v>4</v>
      </c>
      <c r="C44" s="327" t="str">
        <f t="shared" si="14"/>
        <v>Domov Kytín</v>
      </c>
      <c r="D44" s="290" t="s">
        <v>11</v>
      </c>
      <c r="E44" s="291" t="s">
        <v>85</v>
      </c>
      <c r="F44" s="292"/>
      <c r="G44" s="292"/>
      <c r="H44" s="293"/>
      <c r="I44" s="294"/>
      <c r="J44" s="244"/>
      <c r="K44" s="484"/>
      <c r="L44" s="484">
        <f>G44/'REFERENČNÍ ÚDAJE'!J17</f>
        <v>0</v>
      </c>
      <c r="M44" s="484">
        <f>H44/'REFERENČNÍ ÚDAJE'!N17</f>
        <v>0</v>
      </c>
      <c r="N44" s="484">
        <f>I44/'REFERENČNÍ ÚDAJE'!R17</f>
        <v>0</v>
      </c>
      <c r="O44" s="485"/>
    </row>
    <row r="45" spans="2:27" ht="22.5" customHeight="1" x14ac:dyDescent="0.2">
      <c r="B45" s="289">
        <f t="shared" si="14"/>
        <v>5</v>
      </c>
      <c r="C45" s="327" t="str">
        <f t="shared" si="14"/>
        <v>ZŠ a DD Sedlec-Prčice, Přestavlky</v>
      </c>
      <c r="D45" s="290" t="s">
        <v>11</v>
      </c>
      <c r="E45" s="291" t="s">
        <v>85</v>
      </c>
      <c r="F45" s="292"/>
      <c r="G45" s="292"/>
      <c r="H45" s="293"/>
      <c r="I45" s="294"/>
      <c r="J45" s="244"/>
      <c r="K45" s="484">
        <f>F45/'REFERENČNÍ ÚDAJE'!E18</f>
        <v>0</v>
      </c>
      <c r="L45" s="484"/>
      <c r="M45" s="484">
        <f>H45/'REFERENČNÍ ÚDAJE'!N18</f>
        <v>0</v>
      </c>
      <c r="N45" s="484">
        <f>I45/'REFERENČNÍ ÚDAJE'!R18</f>
        <v>0</v>
      </c>
      <c r="O45" s="485"/>
    </row>
    <row r="46" spans="2:27" ht="22.5" customHeight="1" x14ac:dyDescent="0.2">
      <c r="B46" s="197">
        <f t="shared" si="14"/>
        <v>6</v>
      </c>
      <c r="C46" s="326" t="str">
        <f t="shared" si="14"/>
        <v>DS Nové strašecí - Domov Pohoda</v>
      </c>
      <c r="D46" s="496" t="s">
        <v>11</v>
      </c>
      <c r="E46" s="497" t="s">
        <v>85</v>
      </c>
      <c r="F46" s="498"/>
      <c r="G46" s="498"/>
      <c r="H46" s="499"/>
      <c r="I46" s="500"/>
      <c r="J46" s="244"/>
      <c r="K46" s="484">
        <f>F46/'REFERENČNÍ ÚDAJE'!E19</f>
        <v>0</v>
      </c>
      <c r="L46" s="484"/>
      <c r="M46" s="484">
        <f>H46/'REFERENČNÍ ÚDAJE'!N19</f>
        <v>0</v>
      </c>
      <c r="N46" s="484">
        <f>I46/'REFERENČNÍ ÚDAJE'!R19</f>
        <v>0</v>
      </c>
      <c r="O46" s="485"/>
    </row>
    <row r="47" spans="2:27" ht="22.5" customHeight="1" thickBot="1" x14ac:dyDescent="0.25">
      <c r="B47" s="289">
        <f t="shared" si="14"/>
        <v>7</v>
      </c>
      <c r="C47" s="327" t="str">
        <f t="shared" si="14"/>
        <v>SOU Sedlčany - DDM</v>
      </c>
      <c r="D47" s="290" t="s">
        <v>11</v>
      </c>
      <c r="E47" s="291" t="s">
        <v>85</v>
      </c>
      <c r="F47" s="292"/>
      <c r="G47" s="292"/>
      <c r="H47" s="293"/>
      <c r="I47" s="294"/>
      <c r="J47" s="244"/>
      <c r="K47" s="484"/>
      <c r="L47" s="484"/>
      <c r="M47" s="484">
        <f>H47/'REFERENČNÍ ÚDAJE'!N20</f>
        <v>0</v>
      </c>
      <c r="N47" s="484">
        <f>I47/'REFERENČNÍ ÚDAJE'!R20</f>
        <v>0</v>
      </c>
      <c r="O47" s="485"/>
    </row>
    <row r="48" spans="2:27" ht="22.5" customHeight="1" thickBot="1" x14ac:dyDescent="0.25">
      <c r="B48" s="209" t="s">
        <v>11</v>
      </c>
      <c r="C48" s="210" t="s">
        <v>10</v>
      </c>
      <c r="D48" s="211" t="s">
        <v>11</v>
      </c>
      <c r="E48" s="253" t="s">
        <v>53</v>
      </c>
      <c r="F48" s="283">
        <f>SUM(F41:F47)</f>
        <v>0</v>
      </c>
      <c r="G48" s="283">
        <f>SUM(G41:G47)</f>
        <v>0</v>
      </c>
      <c r="H48" s="283">
        <f>SUM(H41:H47)</f>
        <v>0</v>
      </c>
      <c r="I48" s="284">
        <f>SUM(I41:I47)</f>
        <v>0</v>
      </c>
      <c r="J48" s="244"/>
      <c r="K48" s="486">
        <f>F48/'REFERENČNÍ ÚDAJE'!E21</f>
        <v>0</v>
      </c>
      <c r="L48" s="486">
        <f>G48/'REFERENČNÍ ÚDAJE'!J21</f>
        <v>0</v>
      </c>
      <c r="M48" s="486">
        <f>H48/'REFERENČNÍ ÚDAJE'!N21</f>
        <v>0</v>
      </c>
      <c r="N48" s="486">
        <f>I48/'REFERENČNÍ ÚDAJE'!R21</f>
        <v>0</v>
      </c>
      <c r="O48" s="485"/>
    </row>
    <row r="49" spans="2:26" x14ac:dyDescent="0.2">
      <c r="D49" s="52"/>
      <c r="F49" s="282"/>
      <c r="G49" s="282"/>
      <c r="H49" s="282"/>
      <c r="I49" s="282"/>
      <c r="L49" s="26"/>
      <c r="M49" s="26"/>
      <c r="N49" s="26"/>
    </row>
    <row r="50" spans="2:26" x14ac:dyDescent="0.2">
      <c r="D50" s="26"/>
      <c r="E50" s="26"/>
      <c r="F50" s="282"/>
      <c r="G50" s="282"/>
      <c r="H50" s="282"/>
      <c r="I50" s="282"/>
      <c r="J50" s="26"/>
      <c r="L50" s="26"/>
      <c r="M50" s="26"/>
      <c r="N50" s="26"/>
      <c r="O50" s="26"/>
      <c r="P50" s="26"/>
      <c r="R50" s="26"/>
      <c r="S50" s="26"/>
      <c r="T50" s="26"/>
      <c r="U50" s="26"/>
      <c r="V50" s="26"/>
      <c r="W50" s="26"/>
      <c r="X50" s="26"/>
      <c r="Y50" s="26"/>
      <c r="Z50" s="26"/>
    </row>
    <row r="52" spans="2:26" ht="18.75" customHeight="1" thickBot="1" x14ac:dyDescent="0.25">
      <c r="B52" s="19" t="s">
        <v>44</v>
      </c>
      <c r="C52" s="145"/>
      <c r="D52" s="533" t="s">
        <v>87</v>
      </c>
      <c r="E52" s="534"/>
      <c r="F52" s="534"/>
      <c r="G52" s="534"/>
      <c r="H52" s="534"/>
      <c r="I52" s="534"/>
      <c r="J52" s="535"/>
    </row>
    <row r="53" spans="2:26" ht="25.5" customHeight="1" x14ac:dyDescent="0.25">
      <c r="B53" s="519" t="s">
        <v>13</v>
      </c>
      <c r="C53" s="521" t="s">
        <v>40</v>
      </c>
      <c r="D53" s="523" t="s">
        <v>106</v>
      </c>
      <c r="E53" s="531" t="s">
        <v>11</v>
      </c>
      <c r="F53" s="248" t="str">
        <f>F39</f>
        <v>Zemní plyn</v>
      </c>
      <c r="G53" s="247" t="str">
        <f>G39</f>
        <v>Propan</v>
      </c>
      <c r="H53" s="247" t="str">
        <f>H39</f>
        <v>Elektřina</v>
      </c>
      <c r="I53" s="246" t="str">
        <f>I39</f>
        <v>Voda</v>
      </c>
      <c r="J53" s="245" t="s">
        <v>45</v>
      </c>
      <c r="K53" s="270" t="s">
        <v>91</v>
      </c>
    </row>
    <row r="54" spans="2:26" ht="18.75" customHeight="1" thickBot="1" x14ac:dyDescent="0.25">
      <c r="B54" s="536"/>
      <c r="C54" s="537"/>
      <c r="D54" s="540"/>
      <c r="E54" s="532"/>
      <c r="F54" s="243" t="s">
        <v>88</v>
      </c>
      <c r="G54" s="143" t="s">
        <v>88</v>
      </c>
      <c r="H54" s="143" t="s">
        <v>88</v>
      </c>
      <c r="I54" s="143" t="s">
        <v>88</v>
      </c>
      <c r="J54" s="144" t="s">
        <v>88</v>
      </c>
      <c r="L54" s="29" t="s">
        <v>46</v>
      </c>
    </row>
    <row r="55" spans="2:26" ht="21.75" customHeight="1" x14ac:dyDescent="0.2">
      <c r="B55" s="289">
        <f t="shared" ref="B55:C61" si="15">B41</f>
        <v>1</v>
      </c>
      <c r="C55" s="327" t="str">
        <f t="shared" si="15"/>
        <v>OA, SPgŠ a JŠ Beroun</v>
      </c>
      <c r="D55" s="295">
        <f t="shared" ref="D55:D62" si="16">SUM(F55:J55)</f>
        <v>0</v>
      </c>
      <c r="E55" s="291" t="s">
        <v>85</v>
      </c>
      <c r="F55" s="296"/>
      <c r="G55" s="297"/>
      <c r="H55" s="297"/>
      <c r="I55" s="297"/>
      <c r="J55" s="298"/>
      <c r="L55" s="30" t="str">
        <f t="shared" ref="L55:L62" si="17">IF(D55=D27,"OK","!")</f>
        <v>OK</v>
      </c>
      <c r="M55" s="18" t="str">
        <f t="shared" ref="M55:M62" si="18">CONCATENATE("(Buňka ",ADDRESS(ROW(D55),COLUMN(D55),4)," se musí rovnat buňce ",ADDRESS(ROW(D27),COLUMN(D27),4),")")</f>
        <v>(Buňka D55 se musí rovnat buňce D27)</v>
      </c>
    </row>
    <row r="56" spans="2:26" ht="21.75" customHeight="1" x14ac:dyDescent="0.2">
      <c r="B56" s="289">
        <f t="shared" si="15"/>
        <v>2</v>
      </c>
      <c r="C56" s="327" t="str">
        <f t="shared" si="15"/>
        <v>SOŠ a SOU Jílové u Prahy - jídelna</v>
      </c>
      <c r="D56" s="295">
        <f t="shared" si="16"/>
        <v>0</v>
      </c>
      <c r="E56" s="291" t="s">
        <v>85</v>
      </c>
      <c r="F56" s="296"/>
      <c r="G56" s="297"/>
      <c r="H56" s="297"/>
      <c r="I56" s="297"/>
      <c r="J56" s="298"/>
      <c r="L56" s="30" t="str">
        <f t="shared" si="17"/>
        <v>OK</v>
      </c>
      <c r="M56" s="18" t="str">
        <f t="shared" si="18"/>
        <v>(Buňka D56 se musí rovnat buňce D28)</v>
      </c>
    </row>
    <row r="57" spans="2:26" ht="21.75" customHeight="1" x14ac:dyDescent="0.2">
      <c r="B57" s="289">
        <f t="shared" si="15"/>
        <v>3</v>
      </c>
      <c r="C57" s="327" t="str">
        <f t="shared" si="15"/>
        <v>Regionální muzeum Jílové</v>
      </c>
      <c r="D57" s="295">
        <f t="shared" si="16"/>
        <v>0</v>
      </c>
      <c r="E57" s="291" t="s">
        <v>85</v>
      </c>
      <c r="F57" s="296"/>
      <c r="G57" s="297"/>
      <c r="H57" s="297"/>
      <c r="I57" s="297"/>
      <c r="J57" s="298"/>
      <c r="L57" s="30" t="str">
        <f t="shared" si="17"/>
        <v>OK</v>
      </c>
      <c r="M57" s="18" t="str">
        <f t="shared" si="18"/>
        <v>(Buňka D57 se musí rovnat buňce D29)</v>
      </c>
    </row>
    <row r="58" spans="2:26" ht="21.75" customHeight="1" x14ac:dyDescent="0.2">
      <c r="B58" s="289">
        <f t="shared" si="15"/>
        <v>4</v>
      </c>
      <c r="C58" s="327" t="str">
        <f t="shared" si="15"/>
        <v>Domov Kytín</v>
      </c>
      <c r="D58" s="295">
        <f t="shared" si="16"/>
        <v>0</v>
      </c>
      <c r="E58" s="291" t="s">
        <v>85</v>
      </c>
      <c r="F58" s="296"/>
      <c r="G58" s="297"/>
      <c r="H58" s="297"/>
      <c r="I58" s="297"/>
      <c r="J58" s="298"/>
      <c r="L58" s="30" t="str">
        <f t="shared" si="17"/>
        <v>OK</v>
      </c>
      <c r="M58" s="18" t="str">
        <f t="shared" si="18"/>
        <v>(Buňka D58 se musí rovnat buňce D30)</v>
      </c>
    </row>
    <row r="59" spans="2:26" ht="21.75" customHeight="1" x14ac:dyDescent="0.2">
      <c r="B59" s="289">
        <f t="shared" si="15"/>
        <v>5</v>
      </c>
      <c r="C59" s="327" t="str">
        <f t="shared" si="15"/>
        <v>ZŠ a DD Sedlec-Prčice, Přestavlky</v>
      </c>
      <c r="D59" s="295">
        <f t="shared" si="16"/>
        <v>0</v>
      </c>
      <c r="E59" s="291" t="s">
        <v>85</v>
      </c>
      <c r="F59" s="296"/>
      <c r="G59" s="297"/>
      <c r="H59" s="297"/>
      <c r="I59" s="297"/>
      <c r="J59" s="298"/>
      <c r="L59" s="30" t="str">
        <f t="shared" si="17"/>
        <v>OK</v>
      </c>
      <c r="M59" s="18" t="str">
        <f t="shared" si="18"/>
        <v>(Buňka D59 se musí rovnat buňce D31)</v>
      </c>
    </row>
    <row r="60" spans="2:26" ht="21.75" customHeight="1" x14ac:dyDescent="0.2">
      <c r="B60" s="197">
        <f t="shared" si="15"/>
        <v>6</v>
      </c>
      <c r="C60" s="326" t="str">
        <f t="shared" si="15"/>
        <v>DS Nové strašecí - Domov Pohoda</v>
      </c>
      <c r="D60" s="501">
        <f t="shared" si="16"/>
        <v>0</v>
      </c>
      <c r="E60" s="497" t="s">
        <v>85</v>
      </c>
      <c r="F60" s="502"/>
      <c r="G60" s="503"/>
      <c r="H60" s="503"/>
      <c r="I60" s="503"/>
      <c r="J60" s="504"/>
      <c r="L60" s="30" t="str">
        <f t="shared" si="17"/>
        <v>OK</v>
      </c>
      <c r="M60" s="18" t="str">
        <f t="shared" si="18"/>
        <v>(Buňka D60 se musí rovnat buňce D32)</v>
      </c>
    </row>
    <row r="61" spans="2:26" ht="21.75" customHeight="1" thickBot="1" x14ac:dyDescent="0.25">
      <c r="B61" s="289">
        <f t="shared" si="15"/>
        <v>7</v>
      </c>
      <c r="C61" s="327" t="str">
        <f t="shared" si="15"/>
        <v>SOU Sedlčany - DDM</v>
      </c>
      <c r="D61" s="295">
        <f t="shared" si="16"/>
        <v>0</v>
      </c>
      <c r="E61" s="291" t="s">
        <v>85</v>
      </c>
      <c r="F61" s="296"/>
      <c r="G61" s="297"/>
      <c r="H61" s="297"/>
      <c r="I61" s="297"/>
      <c r="J61" s="298"/>
      <c r="L61" s="30" t="str">
        <f t="shared" si="17"/>
        <v>OK</v>
      </c>
      <c r="M61" s="18" t="str">
        <f t="shared" si="18"/>
        <v>(Buňka D61 se musí rovnat buňce D33)</v>
      </c>
    </row>
    <row r="62" spans="2:26" ht="21.75" customHeight="1" thickBot="1" x14ac:dyDescent="0.25">
      <c r="B62" s="209" t="s">
        <v>11</v>
      </c>
      <c r="C62" s="210" t="s">
        <v>10</v>
      </c>
      <c r="D62" s="212">
        <f t="shared" si="16"/>
        <v>0</v>
      </c>
      <c r="E62" s="253" t="s">
        <v>53</v>
      </c>
      <c r="F62" s="285">
        <f>SUM(F55:F61)</f>
        <v>0</v>
      </c>
      <c r="G62" s="285">
        <f>SUM(G55:G61)</f>
        <v>0</v>
      </c>
      <c r="H62" s="285">
        <f>SUM(H55:H61)</f>
        <v>0</v>
      </c>
      <c r="I62" s="285">
        <f>SUM(I55:I61)</f>
        <v>0</v>
      </c>
      <c r="J62" s="286">
        <f>SUM(J55:J61)</f>
        <v>0</v>
      </c>
      <c r="K62" s="244"/>
      <c r="L62" s="30" t="str">
        <f t="shared" si="17"/>
        <v>OK</v>
      </c>
      <c r="M62" s="18" t="str">
        <f t="shared" si="18"/>
        <v>(Buňka D62 se musí rovnat buňce D34)</v>
      </c>
    </row>
    <row r="63" spans="2:26" x14ac:dyDescent="0.2">
      <c r="D63" s="26"/>
      <c r="F63" s="287"/>
      <c r="G63" s="287"/>
      <c r="H63" s="287"/>
      <c r="I63" s="287"/>
      <c r="J63" s="287"/>
    </row>
    <row r="64" spans="2:26" x14ac:dyDescent="0.2">
      <c r="D64" s="288"/>
      <c r="F64" s="287"/>
      <c r="G64" s="287"/>
      <c r="H64" s="287"/>
      <c r="I64" s="287"/>
      <c r="J64" s="287"/>
    </row>
    <row r="65" spans="6:10" x14ac:dyDescent="0.2">
      <c r="F65" s="484">
        <f>F62/'REFERENČNÍ ÚDAJE'!E21</f>
        <v>0</v>
      </c>
      <c r="G65" s="484">
        <f>G62/'REFERENČNÍ ÚDAJE'!J21</f>
        <v>0</v>
      </c>
      <c r="H65" s="484">
        <f>H62/'REFERENČNÍ ÚDAJE'!N21</f>
        <v>0</v>
      </c>
      <c r="I65" s="484">
        <f>I62/'REFERENČNÍ ÚDAJE'!R21</f>
        <v>0</v>
      </c>
      <c r="J65" s="244"/>
    </row>
  </sheetData>
  <mergeCells count="61">
    <mergeCell ref="E53:E54"/>
    <mergeCell ref="B39:B40"/>
    <mergeCell ref="C39:C40"/>
    <mergeCell ref="D39:D40"/>
    <mergeCell ref="B53:B54"/>
    <mergeCell ref="C53:C54"/>
    <mergeCell ref="D53:D54"/>
    <mergeCell ref="D52:J52"/>
    <mergeCell ref="S22:S26"/>
    <mergeCell ref="T22:T26"/>
    <mergeCell ref="U22:U26"/>
    <mergeCell ref="P22:P26"/>
    <mergeCell ref="E39:E40"/>
    <mergeCell ref="D38:I38"/>
    <mergeCell ref="B21:B26"/>
    <mergeCell ref="C21:C26"/>
    <mergeCell ref="D21:D26"/>
    <mergeCell ref="E21:E26"/>
    <mergeCell ref="R22:R26"/>
    <mergeCell ref="D20:Z20"/>
    <mergeCell ref="Q4:Q8"/>
    <mergeCell ref="R4:R8"/>
    <mergeCell ref="S4:S8"/>
    <mergeCell ref="T4:T8"/>
    <mergeCell ref="U4:U8"/>
    <mergeCell ref="V4:V8"/>
    <mergeCell ref="K4:K8"/>
    <mergeCell ref="L4:L8"/>
    <mergeCell ref="M4:M8"/>
    <mergeCell ref="N4:N8"/>
    <mergeCell ref="O4:O8"/>
    <mergeCell ref="P4:P8"/>
    <mergeCell ref="Z21:Z26"/>
    <mergeCell ref="Q22:Q26"/>
    <mergeCell ref="F22:F26"/>
    <mergeCell ref="G22:G26"/>
    <mergeCell ref="H22:H26"/>
    <mergeCell ref="I22:I26"/>
    <mergeCell ref="J22:J26"/>
    <mergeCell ref="K22:K26"/>
    <mergeCell ref="L22:L26"/>
    <mergeCell ref="M22:M26"/>
    <mergeCell ref="N22:N26"/>
    <mergeCell ref="O22:O26"/>
    <mergeCell ref="X22:X26"/>
    <mergeCell ref="Y22:Y26"/>
    <mergeCell ref="V22:V26"/>
    <mergeCell ref="W22:W26"/>
    <mergeCell ref="D2:Y2"/>
    <mergeCell ref="B3:B8"/>
    <mergeCell ref="C3:C8"/>
    <mergeCell ref="D3:D8"/>
    <mergeCell ref="E3:E8"/>
    <mergeCell ref="F4:F8"/>
    <mergeCell ref="G4:G8"/>
    <mergeCell ref="H4:H8"/>
    <mergeCell ref="I4:I8"/>
    <mergeCell ref="J4:J8"/>
    <mergeCell ref="W4:W8"/>
    <mergeCell ref="X4:X8"/>
    <mergeCell ref="Y4:Y8"/>
  </mergeCells>
  <pageMargins left="0.25" right="0.25" top="0.75" bottom="0.75" header="0.3" footer="0.3"/>
  <pageSetup paperSize="9" scale="62" orientation="landscape" r:id="rId1"/>
  <headerFooter>
    <oddHeader>&amp;L&amp;"Calibri"&amp;10&amp;K000000 INTERNÍ      &amp;1#_x000D_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D51"/>
  <sheetViews>
    <sheetView topLeftCell="A22" zoomScale="70" zoomScaleNormal="70" workbookViewId="0">
      <selection activeCell="AA4" sqref="AA4"/>
    </sheetView>
  </sheetViews>
  <sheetFormatPr defaultRowHeight="15" x14ac:dyDescent="0.25"/>
  <cols>
    <col min="3" max="13" width="9.140625" customWidth="1"/>
    <col min="15" max="20" width="9.140625" customWidth="1"/>
    <col min="22" max="25" width="9.140625" customWidth="1"/>
  </cols>
  <sheetData>
    <row r="2" spans="1:30" x14ac:dyDescent="0.25">
      <c r="A2" s="303"/>
      <c r="B2" s="303"/>
      <c r="C2" s="304"/>
      <c r="D2" s="304"/>
      <c r="E2" s="304"/>
      <c r="F2" s="304"/>
      <c r="G2" s="304"/>
      <c r="H2" s="304"/>
      <c r="I2" s="304"/>
      <c r="J2" s="304"/>
      <c r="K2" s="304"/>
      <c r="L2" s="304"/>
      <c r="M2" s="304"/>
      <c r="N2" s="303"/>
      <c r="O2" s="303"/>
      <c r="P2" s="303"/>
      <c r="Q2" s="303"/>
      <c r="R2" s="303"/>
      <c r="S2" s="303"/>
      <c r="T2" s="303"/>
      <c r="U2" s="303"/>
      <c r="V2" s="303"/>
      <c r="W2" s="303"/>
      <c r="X2" s="303"/>
      <c r="Y2" s="303"/>
      <c r="Z2" s="303"/>
      <c r="AA2" s="303"/>
      <c r="AB2" s="303"/>
      <c r="AC2" s="303"/>
      <c r="AD2" s="303"/>
    </row>
    <row r="3" spans="1:30" x14ac:dyDescent="0.25">
      <c r="A3" s="303"/>
      <c r="B3" s="303"/>
      <c r="C3" s="305" t="s">
        <v>41</v>
      </c>
      <c r="D3" s="305"/>
      <c r="E3" s="304"/>
      <c r="F3" s="304"/>
      <c r="G3" s="304"/>
      <c r="H3" s="443" t="s">
        <v>204</v>
      </c>
      <c r="I3" s="304"/>
      <c r="J3" s="304"/>
      <c r="K3" s="304"/>
      <c r="L3" s="304"/>
      <c r="M3" s="304"/>
      <c r="N3" s="304"/>
      <c r="O3" s="306" t="s">
        <v>42</v>
      </c>
      <c r="P3" s="306"/>
      <c r="Q3" s="306"/>
      <c r="R3" s="303"/>
      <c r="S3" s="303"/>
      <c r="T3" s="303"/>
      <c r="U3" s="303"/>
      <c r="V3" s="306" t="s">
        <v>43</v>
      </c>
      <c r="W3" s="303"/>
      <c r="X3" s="303"/>
      <c r="Y3" s="303"/>
      <c r="Z3" s="303"/>
      <c r="AA3" s="303"/>
      <c r="AB3" s="303"/>
      <c r="AC3" s="303"/>
      <c r="AD3" s="303"/>
    </row>
    <row r="4" spans="1:30" x14ac:dyDescent="0.25">
      <c r="A4" s="303"/>
      <c r="B4" s="303"/>
      <c r="C4" s="303" t="s">
        <v>200</v>
      </c>
      <c r="D4" s="304"/>
      <c r="E4" s="304"/>
      <c r="F4" s="304"/>
      <c r="G4" s="304"/>
      <c r="H4" s="442" t="s">
        <v>205</v>
      </c>
      <c r="I4" s="304"/>
      <c r="J4" s="304"/>
      <c r="K4" s="304"/>
      <c r="L4" s="304"/>
      <c r="M4" s="304"/>
      <c r="N4" s="304"/>
      <c r="O4" s="303" t="s">
        <v>199</v>
      </c>
      <c r="P4" s="303"/>
      <c r="Q4" s="303"/>
      <c r="R4" s="303"/>
      <c r="S4" s="303"/>
      <c r="T4" s="303"/>
      <c r="U4" s="303"/>
      <c r="V4" s="303" t="s">
        <v>198</v>
      </c>
      <c r="W4" s="303"/>
      <c r="X4" s="303"/>
      <c r="Y4" s="303"/>
      <c r="Z4" s="303"/>
      <c r="AA4" s="303"/>
      <c r="AB4" s="303"/>
      <c r="AC4" s="303"/>
      <c r="AD4" s="303"/>
    </row>
    <row r="5" spans="1:30" x14ac:dyDescent="0.25">
      <c r="A5" s="303"/>
      <c r="B5" s="303"/>
      <c r="C5" s="446" t="s">
        <v>93</v>
      </c>
      <c r="D5" s="446" t="s">
        <v>3</v>
      </c>
      <c r="E5" s="446" t="s">
        <v>4</v>
      </c>
      <c r="F5" s="446" t="s">
        <v>94</v>
      </c>
      <c r="G5" s="441"/>
      <c r="H5" s="307" t="s">
        <v>201</v>
      </c>
      <c r="I5" s="307" t="s">
        <v>202</v>
      </c>
      <c r="J5" s="307" t="s">
        <v>203</v>
      </c>
      <c r="K5" s="307" t="s">
        <v>3</v>
      </c>
      <c r="L5" s="307" t="s">
        <v>4</v>
      </c>
      <c r="M5" s="307" t="s">
        <v>94</v>
      </c>
      <c r="N5" s="303"/>
      <c r="O5" s="308" t="s">
        <v>150</v>
      </c>
      <c r="P5" s="308" t="s">
        <v>151</v>
      </c>
      <c r="Q5" s="308" t="s">
        <v>197</v>
      </c>
      <c r="R5" s="308" t="s">
        <v>3</v>
      </c>
      <c r="S5" s="308" t="s">
        <v>4</v>
      </c>
      <c r="T5" s="308" t="s">
        <v>94</v>
      </c>
      <c r="U5" s="303"/>
      <c r="V5" s="309" t="s">
        <v>1</v>
      </c>
      <c r="W5" s="309" t="s">
        <v>3</v>
      </c>
      <c r="X5" s="309" t="s">
        <v>4</v>
      </c>
      <c r="Y5" s="309" t="s">
        <v>153</v>
      </c>
      <c r="Z5" s="303"/>
      <c r="AA5" s="303"/>
      <c r="AB5" s="303"/>
      <c r="AC5" s="303"/>
      <c r="AD5" s="303"/>
    </row>
    <row r="6" spans="1:30" x14ac:dyDescent="0.25">
      <c r="A6" s="303"/>
      <c r="B6" s="310"/>
      <c r="C6" s="311"/>
      <c r="D6" s="311"/>
      <c r="E6" s="311"/>
      <c r="F6" s="311"/>
      <c r="G6" s="311"/>
      <c r="H6" s="311"/>
      <c r="I6" s="311"/>
      <c r="J6" s="311"/>
      <c r="K6" s="311"/>
      <c r="L6" s="311"/>
      <c r="M6" s="311"/>
      <c r="N6" s="303"/>
      <c r="O6" s="312"/>
      <c r="P6" s="312"/>
      <c r="Q6" s="312"/>
      <c r="R6" s="312"/>
      <c r="S6" s="312"/>
      <c r="T6" s="312"/>
      <c r="U6" s="303"/>
      <c r="V6" s="312"/>
      <c r="W6" s="312"/>
      <c r="X6" s="312"/>
      <c r="Y6" s="312"/>
      <c r="Z6" s="303"/>
      <c r="AA6" s="303"/>
      <c r="AB6" s="303"/>
      <c r="AC6" s="303"/>
      <c r="AD6" s="303"/>
    </row>
    <row r="7" spans="1:30" x14ac:dyDescent="0.25">
      <c r="A7" s="303">
        <v>2019</v>
      </c>
      <c r="B7" s="313" t="s">
        <v>112</v>
      </c>
      <c r="C7" s="444">
        <v>88.109066034600005</v>
      </c>
      <c r="D7" s="445">
        <f>E7/1.21</f>
        <v>74955.656108967451</v>
      </c>
      <c r="E7" s="445">
        <v>90696.343891850614</v>
      </c>
      <c r="F7" s="316">
        <f t="shared" ref="F7:F41" si="0">E7/C7</f>
        <v>1029.3644907804901</v>
      </c>
      <c r="G7" s="440"/>
      <c r="H7" s="438">
        <v>0.36253598974666668</v>
      </c>
      <c r="I7" s="438">
        <f>C7-H7</f>
        <v>87.746530044853344</v>
      </c>
      <c r="J7" s="438">
        <f>H7+I7*74.93%</f>
        <v>66.111010952355272</v>
      </c>
      <c r="K7" s="315">
        <f>D7*J7/C7</f>
        <v>56241.592664425283</v>
      </c>
      <c r="L7" s="315">
        <f>K7*1.21</f>
        <v>68052.327123954587</v>
      </c>
      <c r="M7" s="316">
        <f>L7/J7</f>
        <v>1029.3644907804901</v>
      </c>
      <c r="N7" s="314"/>
      <c r="O7" s="438">
        <v>4.266</v>
      </c>
      <c r="P7" s="438">
        <v>2.319</v>
      </c>
      <c r="Q7" s="439">
        <f>SUM(O7:P7)</f>
        <v>6.585</v>
      </c>
      <c r="R7" s="315">
        <f>S7/1.21</f>
        <v>23292.840000000004</v>
      </c>
      <c r="S7" s="315">
        <v>28184.336400000004</v>
      </c>
      <c r="T7" s="316">
        <f t="shared" ref="T7:T41" si="1">S7/Q7</f>
        <v>4280.0814578587706</v>
      </c>
      <c r="U7" s="314"/>
      <c r="V7" s="584">
        <v>1735</v>
      </c>
      <c r="W7" s="578">
        <f>X7/1.1</f>
        <v>125283.56363636364</v>
      </c>
      <c r="X7" s="578">
        <v>137811.92000000001</v>
      </c>
      <c r="Y7" s="581">
        <f t="shared" ref="Y7" si="2">X7/V7</f>
        <v>79.4305014409222</v>
      </c>
      <c r="Z7" s="303"/>
      <c r="AA7" s="313" t="s">
        <v>112</v>
      </c>
      <c r="AB7" s="303">
        <v>2019</v>
      </c>
      <c r="AC7" s="303"/>
      <c r="AD7" s="303"/>
    </row>
    <row r="8" spans="1:30" x14ac:dyDescent="0.25">
      <c r="A8" s="303"/>
      <c r="B8" s="313" t="s">
        <v>113</v>
      </c>
      <c r="C8" s="444">
        <v>68.856909251000005</v>
      </c>
      <c r="D8" s="445">
        <f t="shared" ref="D8:D42" si="3">E8/1.21</f>
        <v>59349.472777045623</v>
      </c>
      <c r="E8" s="445">
        <v>71812.862060225205</v>
      </c>
      <c r="F8" s="316">
        <f t="shared" si="0"/>
        <v>1042.9289208792402</v>
      </c>
      <c r="G8" s="440"/>
      <c r="H8" s="438">
        <v>0.30341911912000002</v>
      </c>
      <c r="I8" s="438">
        <f t="shared" ref="I8:I42" si="4">C8-H8</f>
        <v>68.553490131880011</v>
      </c>
      <c r="J8" s="438">
        <f t="shared" ref="J8:J42" si="5">H8+I8*74.93%</f>
        <v>51.670549274937699</v>
      </c>
      <c r="K8" s="315">
        <f t="shared" ref="K8:K42" si="6">D8*J8/C8</f>
        <v>44536.124129378819</v>
      </c>
      <c r="L8" s="315">
        <f t="shared" ref="L8:L42" si="7">K8*1.21</f>
        <v>53888.710196548367</v>
      </c>
      <c r="M8" s="316">
        <f t="shared" ref="M8:M42" si="8">L8/J8</f>
        <v>1042.92892087924</v>
      </c>
      <c r="N8" s="314"/>
      <c r="O8" s="438">
        <v>3.681</v>
      </c>
      <c r="P8" s="438">
        <v>2.1059999999999999</v>
      </c>
      <c r="Q8" s="439">
        <f t="shared" ref="Q8:Q42" si="9">SUM(O8:P8)</f>
        <v>5.7869999999999999</v>
      </c>
      <c r="R8" s="315">
        <f t="shared" ref="R8:R42" si="10">S8/1.21</f>
        <v>20441.239999999998</v>
      </c>
      <c r="S8" s="315">
        <v>24733.900399999999</v>
      </c>
      <c r="T8" s="316">
        <f t="shared" si="1"/>
        <v>4274.0453430101952</v>
      </c>
      <c r="U8" s="314"/>
      <c r="V8" s="585"/>
      <c r="W8" s="579"/>
      <c r="X8" s="579"/>
      <c r="Y8" s="582"/>
      <c r="Z8" s="303"/>
      <c r="AA8" s="313" t="s">
        <v>113</v>
      </c>
      <c r="AB8" s="303"/>
      <c r="AC8" s="303"/>
      <c r="AD8" s="303"/>
    </row>
    <row r="9" spans="1:30" x14ac:dyDescent="0.25">
      <c r="A9" s="303"/>
      <c r="B9" s="313" t="s">
        <v>114</v>
      </c>
      <c r="C9" s="444">
        <v>52.884670409999998</v>
      </c>
      <c r="D9" s="445">
        <f t="shared" si="3"/>
        <v>46402.056527754197</v>
      </c>
      <c r="E9" s="445">
        <v>56146.48839858258</v>
      </c>
      <c r="F9" s="316">
        <f t="shared" si="0"/>
        <v>1061.6779487003441</v>
      </c>
      <c r="G9" s="440"/>
      <c r="H9" s="438">
        <v>0.12084532991555556</v>
      </c>
      <c r="I9" s="438">
        <f t="shared" si="4"/>
        <v>52.763825080084445</v>
      </c>
      <c r="J9" s="438">
        <f t="shared" si="5"/>
        <v>39.656779462422833</v>
      </c>
      <c r="K9" s="315">
        <f t="shared" si="6"/>
        <v>34795.643199774386</v>
      </c>
      <c r="L9" s="315">
        <f t="shared" si="7"/>
        <v>42102.728271727006</v>
      </c>
      <c r="M9" s="316">
        <f t="shared" si="8"/>
        <v>1061.6779487003441</v>
      </c>
      <c r="N9" s="314"/>
      <c r="O9" s="438">
        <v>0.45800000000000002</v>
      </c>
      <c r="P9" s="438">
        <v>1.42</v>
      </c>
      <c r="Q9" s="439">
        <f t="shared" si="9"/>
        <v>1.8779999999999999</v>
      </c>
      <c r="R9" s="315">
        <f t="shared" si="10"/>
        <v>4781.9400000000005</v>
      </c>
      <c r="S9" s="315">
        <v>5786.1474000000007</v>
      </c>
      <c r="T9" s="316">
        <f t="shared" si="1"/>
        <v>3081.0156549520771</v>
      </c>
      <c r="U9" s="314"/>
      <c r="V9" s="585"/>
      <c r="W9" s="579"/>
      <c r="X9" s="579"/>
      <c r="Y9" s="582"/>
      <c r="Z9" s="303"/>
      <c r="AA9" s="313" t="s">
        <v>114</v>
      </c>
      <c r="AB9" s="303"/>
      <c r="AC9" s="303"/>
      <c r="AD9" s="303"/>
    </row>
    <row r="10" spans="1:30" x14ac:dyDescent="0.25">
      <c r="A10" s="303"/>
      <c r="B10" s="313" t="s">
        <v>115</v>
      </c>
      <c r="C10" s="444">
        <v>29.829090865599998</v>
      </c>
      <c r="D10" s="445">
        <f t="shared" si="3"/>
        <v>27712.742637472667</v>
      </c>
      <c r="E10" s="445">
        <v>33532.418591341928</v>
      </c>
      <c r="F10" s="316">
        <f t="shared" si="0"/>
        <v>1124.1515452960969</v>
      </c>
      <c r="G10" s="440"/>
      <c r="H10" s="438">
        <v>0.33297755443333332</v>
      </c>
      <c r="I10" s="438">
        <f t="shared" si="4"/>
        <v>29.496113311166663</v>
      </c>
      <c r="J10" s="438">
        <f t="shared" si="5"/>
        <v>22.434415258490517</v>
      </c>
      <c r="K10" s="315">
        <f t="shared" si="6"/>
        <v>20842.712876567315</v>
      </c>
      <c r="L10" s="315">
        <f t="shared" si="7"/>
        <v>25219.682580646451</v>
      </c>
      <c r="M10" s="316">
        <f t="shared" si="8"/>
        <v>1124.1515452960969</v>
      </c>
      <c r="N10" s="314"/>
      <c r="O10" s="438">
        <v>3.5169999999999999</v>
      </c>
      <c r="P10" s="438">
        <v>1.829</v>
      </c>
      <c r="Q10" s="439">
        <f t="shared" si="9"/>
        <v>5.3460000000000001</v>
      </c>
      <c r="R10" s="315">
        <f t="shared" si="10"/>
        <v>19249.02</v>
      </c>
      <c r="S10" s="315">
        <v>23291.314200000001</v>
      </c>
      <c r="T10" s="316">
        <f t="shared" si="1"/>
        <v>4356.7740740740737</v>
      </c>
      <c r="U10" s="314"/>
      <c r="V10" s="585"/>
      <c r="W10" s="579"/>
      <c r="X10" s="579"/>
      <c r="Y10" s="582"/>
      <c r="Z10" s="303"/>
      <c r="AA10" s="313" t="s">
        <v>115</v>
      </c>
      <c r="AB10" s="303"/>
      <c r="AC10" s="303"/>
      <c r="AD10" s="303"/>
    </row>
    <row r="11" spans="1:30" x14ac:dyDescent="0.25">
      <c r="A11" s="303"/>
      <c r="B11" s="313" t="s">
        <v>116</v>
      </c>
      <c r="C11" s="444">
        <v>25.288487850599999</v>
      </c>
      <c r="D11" s="445">
        <f t="shared" si="3"/>
        <v>24032.039021453373</v>
      </c>
      <c r="E11" s="445">
        <v>29078.767215958582</v>
      </c>
      <c r="F11" s="316">
        <f t="shared" si="0"/>
        <v>1149.8816136318983</v>
      </c>
      <c r="G11" s="440"/>
      <c r="H11" s="438">
        <v>0.36253598974666668</v>
      </c>
      <c r="I11" s="438">
        <f t="shared" si="4"/>
        <v>24.925951860853331</v>
      </c>
      <c r="J11" s="438">
        <f t="shared" si="5"/>
        <v>19.03955171908407</v>
      </c>
      <c r="K11" s="315">
        <f t="shared" si="6"/>
        <v>18093.578887246589</v>
      </c>
      <c r="L11" s="315">
        <f t="shared" si="7"/>
        <v>21893.230453568372</v>
      </c>
      <c r="M11" s="316">
        <f t="shared" si="8"/>
        <v>1149.8816136318983</v>
      </c>
      <c r="N11" s="314"/>
      <c r="O11" s="438">
        <v>3.6840000000000002</v>
      </c>
      <c r="P11" s="438">
        <v>1.7969999999999999</v>
      </c>
      <c r="Q11" s="439">
        <f t="shared" si="9"/>
        <v>5.4809999999999999</v>
      </c>
      <c r="R11" s="315">
        <f t="shared" si="10"/>
        <v>19895.309999999998</v>
      </c>
      <c r="S11" s="315">
        <v>24073.325099999998</v>
      </c>
      <c r="T11" s="316">
        <f t="shared" si="1"/>
        <v>4392.1410509031193</v>
      </c>
      <c r="U11" s="314"/>
      <c r="V11" s="585"/>
      <c r="W11" s="579"/>
      <c r="X11" s="579"/>
      <c r="Y11" s="582"/>
      <c r="Z11" s="303"/>
      <c r="AA11" s="313" t="s">
        <v>116</v>
      </c>
      <c r="AB11" s="303"/>
      <c r="AC11" s="303"/>
      <c r="AD11" s="303"/>
    </row>
    <row r="12" spans="1:30" x14ac:dyDescent="0.25">
      <c r="A12" s="303"/>
      <c r="B12" s="313" t="s">
        <v>117</v>
      </c>
      <c r="C12" s="444">
        <v>4.5512867868000004</v>
      </c>
      <c r="D12" s="445">
        <f t="shared" si="3"/>
        <v>7222.0490951158163</v>
      </c>
      <c r="E12" s="445">
        <v>8738.6794050901372</v>
      </c>
      <c r="F12" s="316">
        <f t="shared" si="0"/>
        <v>1920.0458715180819</v>
      </c>
      <c r="G12" s="440"/>
      <c r="H12" s="438">
        <v>0.91025735736000013</v>
      </c>
      <c r="I12" s="438">
        <f t="shared" si="4"/>
        <v>3.6410294294400005</v>
      </c>
      <c r="J12" s="438">
        <f t="shared" si="5"/>
        <v>3.6384807088393929</v>
      </c>
      <c r="K12" s="315">
        <f t="shared" si="6"/>
        <v>5773.5949285993893</v>
      </c>
      <c r="L12" s="315">
        <f t="shared" si="7"/>
        <v>6986.0498636052607</v>
      </c>
      <c r="M12" s="316">
        <f t="shared" si="8"/>
        <v>1920.0458715180819</v>
      </c>
      <c r="N12" s="314"/>
      <c r="O12" s="438">
        <v>3.22</v>
      </c>
      <c r="P12" s="438">
        <v>1.51</v>
      </c>
      <c r="Q12" s="439">
        <f t="shared" si="9"/>
        <v>4.7300000000000004</v>
      </c>
      <c r="R12" s="315">
        <f t="shared" si="10"/>
        <v>17420.120000000003</v>
      </c>
      <c r="S12" s="315">
        <v>21078.345200000003</v>
      </c>
      <c r="T12" s="316">
        <f t="shared" si="1"/>
        <v>4456.3097674418605</v>
      </c>
      <c r="U12" s="314"/>
      <c r="V12" s="585"/>
      <c r="W12" s="579"/>
      <c r="X12" s="579"/>
      <c r="Y12" s="582"/>
      <c r="Z12" s="303"/>
      <c r="AA12" s="313" t="s">
        <v>117</v>
      </c>
      <c r="AB12" s="303"/>
      <c r="AC12" s="303"/>
      <c r="AD12" s="303"/>
    </row>
    <row r="13" spans="1:30" x14ac:dyDescent="0.25">
      <c r="A13" s="303"/>
      <c r="B13" s="313" t="s">
        <v>118</v>
      </c>
      <c r="C13" s="444">
        <v>5.6517152821999996</v>
      </c>
      <c r="D13" s="445">
        <f t="shared" si="3"/>
        <v>8114.0784420569635</v>
      </c>
      <c r="E13" s="445">
        <v>9818.0349148889254</v>
      </c>
      <c r="F13" s="316">
        <f t="shared" si="0"/>
        <v>1737.1779052300622</v>
      </c>
      <c r="G13" s="440"/>
      <c r="H13" s="438">
        <v>1.1303430564399999</v>
      </c>
      <c r="I13" s="438">
        <f t="shared" si="4"/>
        <v>4.5213722257599995</v>
      </c>
      <c r="J13" s="438">
        <f t="shared" si="5"/>
        <v>4.5182072652019682</v>
      </c>
      <c r="K13" s="315">
        <f t="shared" si="6"/>
        <v>6486.71886971802</v>
      </c>
      <c r="L13" s="315">
        <f t="shared" si="7"/>
        <v>7848.9298323588037</v>
      </c>
      <c r="M13" s="316">
        <f t="shared" si="8"/>
        <v>1737.1779052300624</v>
      </c>
      <c r="N13" s="314"/>
      <c r="O13" s="438">
        <v>1.9670000000000001</v>
      </c>
      <c r="P13" s="438">
        <v>1.091</v>
      </c>
      <c r="Q13" s="439">
        <f t="shared" si="9"/>
        <v>3.0579999999999998</v>
      </c>
      <c r="R13" s="315">
        <f t="shared" si="10"/>
        <v>11379.64</v>
      </c>
      <c r="S13" s="315">
        <v>13769.364399999999</v>
      </c>
      <c r="T13" s="316">
        <f t="shared" si="1"/>
        <v>4502.735251798561</v>
      </c>
      <c r="U13" s="314"/>
      <c r="V13" s="585"/>
      <c r="W13" s="579"/>
      <c r="X13" s="579"/>
      <c r="Y13" s="582"/>
      <c r="Z13" s="303"/>
      <c r="AA13" s="313" t="s">
        <v>118</v>
      </c>
      <c r="AB13" s="303"/>
      <c r="AC13" s="303"/>
      <c r="AD13" s="303"/>
    </row>
    <row r="14" spans="1:30" x14ac:dyDescent="0.25">
      <c r="A14" s="303"/>
      <c r="B14" s="313" t="s">
        <v>119</v>
      </c>
      <c r="C14" s="444">
        <v>5.2243644101999998</v>
      </c>
      <c r="D14" s="445">
        <f t="shared" si="3"/>
        <v>7767.6592781963245</v>
      </c>
      <c r="E14" s="445">
        <v>9398.8677266175528</v>
      </c>
      <c r="F14" s="316">
        <f t="shared" si="0"/>
        <v>1799.0452021813969</v>
      </c>
      <c r="G14" s="440"/>
      <c r="H14" s="438">
        <v>1.04487288204</v>
      </c>
      <c r="I14" s="438">
        <f t="shared" si="4"/>
        <v>4.1794915281599998</v>
      </c>
      <c r="J14" s="438">
        <f t="shared" si="5"/>
        <v>4.1765658840902882</v>
      </c>
      <c r="K14" s="315">
        <f t="shared" si="6"/>
        <v>6209.7775333612699</v>
      </c>
      <c r="L14" s="315">
        <f t="shared" si="7"/>
        <v>7513.830815367136</v>
      </c>
      <c r="M14" s="316">
        <f t="shared" si="8"/>
        <v>1799.0452021813967</v>
      </c>
      <c r="N14" s="314"/>
      <c r="O14" s="438">
        <v>2.3580000000000001</v>
      </c>
      <c r="P14" s="438">
        <v>1.5549999999999999</v>
      </c>
      <c r="Q14" s="439">
        <f t="shared" si="9"/>
        <v>3.9130000000000003</v>
      </c>
      <c r="R14" s="315">
        <f t="shared" si="10"/>
        <v>13867</v>
      </c>
      <c r="S14" s="315">
        <v>16779.07</v>
      </c>
      <c r="T14" s="316">
        <f t="shared" si="1"/>
        <v>4288.0322003577812</v>
      </c>
      <c r="U14" s="314"/>
      <c r="V14" s="585"/>
      <c r="W14" s="579"/>
      <c r="X14" s="579"/>
      <c r="Y14" s="582"/>
      <c r="Z14" s="303"/>
      <c r="AA14" s="313" t="s">
        <v>119</v>
      </c>
      <c r="AB14" s="303"/>
      <c r="AC14" s="303"/>
      <c r="AD14" s="303"/>
    </row>
    <row r="15" spans="1:30" x14ac:dyDescent="0.25">
      <c r="A15" s="303"/>
      <c r="B15" s="313" t="s">
        <v>120</v>
      </c>
      <c r="C15" s="444">
        <v>12.660269583000002</v>
      </c>
      <c r="D15" s="445">
        <f t="shared" si="3"/>
        <v>13795.352729371461</v>
      </c>
      <c r="E15" s="445">
        <v>16692.376802539467</v>
      </c>
      <c r="F15" s="316">
        <f t="shared" si="0"/>
        <v>1318.4850996343484</v>
      </c>
      <c r="G15" s="440"/>
      <c r="H15" s="438">
        <v>0.33297755443333332</v>
      </c>
      <c r="I15" s="438">
        <f t="shared" si="4"/>
        <v>12.327292028566669</v>
      </c>
      <c r="J15" s="438">
        <f t="shared" si="5"/>
        <v>9.5698174714383395</v>
      </c>
      <c r="K15" s="315">
        <f t="shared" si="6"/>
        <v>10427.819621745377</v>
      </c>
      <c r="L15" s="315">
        <f t="shared" si="7"/>
        <v>12617.661742311906</v>
      </c>
      <c r="M15" s="316">
        <f t="shared" si="8"/>
        <v>1318.4850996343482</v>
      </c>
      <c r="N15" s="314"/>
      <c r="O15" s="438">
        <v>3.6030000000000002</v>
      </c>
      <c r="P15" s="438">
        <v>1.742</v>
      </c>
      <c r="Q15" s="439">
        <f t="shared" si="9"/>
        <v>5.3450000000000006</v>
      </c>
      <c r="R15" s="315">
        <f t="shared" si="10"/>
        <v>19454.37</v>
      </c>
      <c r="S15" s="315">
        <v>23539.787699999997</v>
      </c>
      <c r="T15" s="316">
        <f t="shared" si="1"/>
        <v>4404.0762768942923</v>
      </c>
      <c r="U15" s="314"/>
      <c r="V15" s="585"/>
      <c r="W15" s="579"/>
      <c r="X15" s="579"/>
      <c r="Y15" s="582"/>
      <c r="Z15" s="303"/>
      <c r="AA15" s="313" t="s">
        <v>120</v>
      </c>
      <c r="AB15" s="303"/>
      <c r="AC15" s="303"/>
      <c r="AD15" s="303"/>
    </row>
    <row r="16" spans="1:30" x14ac:dyDescent="0.25">
      <c r="A16" s="303"/>
      <c r="B16" s="313" t="s">
        <v>121</v>
      </c>
      <c r="C16" s="444">
        <v>27.898350178119998</v>
      </c>
      <c r="D16" s="445">
        <f t="shared" si="3"/>
        <v>25663.539140575132</v>
      </c>
      <c r="E16" s="445">
        <v>31052.882360095908</v>
      </c>
      <c r="F16" s="316">
        <f t="shared" si="0"/>
        <v>1113.0723559578062</v>
      </c>
      <c r="G16" s="440"/>
      <c r="H16" s="438">
        <v>0.36253598974666668</v>
      </c>
      <c r="I16" s="438">
        <f t="shared" si="4"/>
        <v>27.53581418837333</v>
      </c>
      <c r="J16" s="438">
        <f t="shared" si="5"/>
        <v>20.995121561094805</v>
      </c>
      <c r="K16" s="315">
        <f t="shared" si="6"/>
        <v>19313.29704101515</v>
      </c>
      <c r="L16" s="315">
        <f t="shared" si="7"/>
        <v>23369.08941962833</v>
      </c>
      <c r="M16" s="316">
        <f t="shared" si="8"/>
        <v>1113.0723559578062</v>
      </c>
      <c r="N16" s="314"/>
      <c r="O16" s="438">
        <v>4.0019999999999998</v>
      </c>
      <c r="P16" s="438">
        <v>1.944</v>
      </c>
      <c r="Q16" s="439">
        <f t="shared" si="9"/>
        <v>5.9459999999999997</v>
      </c>
      <c r="R16" s="315">
        <f t="shared" si="10"/>
        <v>21501.84</v>
      </c>
      <c r="S16" s="315">
        <v>26017.2264</v>
      </c>
      <c r="T16" s="316">
        <f t="shared" si="1"/>
        <v>4375.5846619576187</v>
      </c>
      <c r="U16" s="314"/>
      <c r="V16" s="585"/>
      <c r="W16" s="579"/>
      <c r="X16" s="579"/>
      <c r="Y16" s="582"/>
      <c r="Z16" s="303"/>
      <c r="AA16" s="313" t="s">
        <v>121</v>
      </c>
      <c r="AB16" s="303"/>
      <c r="AC16" s="303"/>
      <c r="AD16" s="303"/>
    </row>
    <row r="17" spans="1:30" x14ac:dyDescent="0.25">
      <c r="A17" s="303"/>
      <c r="B17" s="313" t="s">
        <v>122</v>
      </c>
      <c r="C17" s="444">
        <v>54.367669149570006</v>
      </c>
      <c r="D17" s="445">
        <f t="shared" si="3"/>
        <v>47277.815591024439</v>
      </c>
      <c r="E17" s="445">
        <v>57206.156865139572</v>
      </c>
      <c r="F17" s="316">
        <f t="shared" si="0"/>
        <v>1052.2091117748794</v>
      </c>
      <c r="G17" s="440"/>
      <c r="H17" s="438">
        <v>0.33297755443333332</v>
      </c>
      <c r="I17" s="438">
        <f t="shared" si="4"/>
        <v>54.034691595136671</v>
      </c>
      <c r="J17" s="438">
        <f t="shared" si="5"/>
        <v>40.821171966669247</v>
      </c>
      <c r="K17" s="315">
        <f t="shared" si="6"/>
        <v>35497.858757569134</v>
      </c>
      <c r="L17" s="315">
        <f t="shared" si="7"/>
        <v>42952.409096658652</v>
      </c>
      <c r="M17" s="316">
        <f t="shared" si="8"/>
        <v>1052.2091117748794</v>
      </c>
      <c r="N17" s="314"/>
      <c r="O17" s="438">
        <v>3.99</v>
      </c>
      <c r="P17" s="438">
        <v>1.9890000000000001</v>
      </c>
      <c r="Q17" s="439">
        <f t="shared" si="9"/>
        <v>5.9790000000000001</v>
      </c>
      <c r="R17" s="315">
        <f t="shared" si="10"/>
        <v>21532.59</v>
      </c>
      <c r="S17" s="315">
        <v>26054.4339</v>
      </c>
      <c r="T17" s="316">
        <f t="shared" si="1"/>
        <v>4357.6574510787759</v>
      </c>
      <c r="U17" s="314"/>
      <c r="V17" s="585"/>
      <c r="W17" s="579"/>
      <c r="X17" s="579"/>
      <c r="Y17" s="582"/>
      <c r="Z17" s="303"/>
      <c r="AA17" s="313" t="s">
        <v>122</v>
      </c>
      <c r="AB17" s="303"/>
      <c r="AC17" s="303"/>
      <c r="AD17" s="303"/>
    </row>
    <row r="18" spans="1:30" x14ac:dyDescent="0.25">
      <c r="A18" s="303"/>
      <c r="B18" s="313" t="s">
        <v>123</v>
      </c>
      <c r="C18" s="444">
        <v>64.580583529560002</v>
      </c>
      <c r="D18" s="445">
        <f t="shared" si="3"/>
        <v>55556.608245731921</v>
      </c>
      <c r="E18" s="445">
        <v>67223.495977335624</v>
      </c>
      <c r="F18" s="316">
        <f t="shared" si="0"/>
        <v>1040.9242577773534</v>
      </c>
      <c r="G18" s="440"/>
      <c r="H18" s="438">
        <v>0.36253598974666668</v>
      </c>
      <c r="I18" s="438">
        <f t="shared" si="4"/>
        <v>64.218047539813341</v>
      </c>
      <c r="J18" s="438">
        <f t="shared" si="5"/>
        <v>48.481119011328808</v>
      </c>
      <c r="K18" s="315">
        <f t="shared" si="6"/>
        <v>41706.754399242134</v>
      </c>
      <c r="L18" s="315">
        <f t="shared" si="7"/>
        <v>50465.172823082983</v>
      </c>
      <c r="M18" s="316">
        <f t="shared" si="8"/>
        <v>1040.9242577773534</v>
      </c>
      <c r="N18" s="314"/>
      <c r="O18" s="438">
        <v>3.7679999999999998</v>
      </c>
      <c r="P18" s="438">
        <v>2.09</v>
      </c>
      <c r="Q18" s="439">
        <f t="shared" si="9"/>
        <v>5.8579999999999997</v>
      </c>
      <c r="R18" s="315">
        <f t="shared" si="10"/>
        <v>20779.137659999997</v>
      </c>
      <c r="S18" s="315">
        <v>25142.756568599994</v>
      </c>
      <c r="T18" s="316">
        <f t="shared" si="1"/>
        <v>4292.0376525435295</v>
      </c>
      <c r="U18" s="314"/>
      <c r="V18" s="586"/>
      <c r="W18" s="580"/>
      <c r="X18" s="580"/>
      <c r="Y18" s="583"/>
      <c r="Z18" s="303"/>
      <c r="AA18" s="313" t="s">
        <v>123</v>
      </c>
      <c r="AB18" s="303"/>
      <c r="AC18" s="303"/>
      <c r="AD18" s="303"/>
    </row>
    <row r="19" spans="1:30" x14ac:dyDescent="0.25">
      <c r="A19" s="303">
        <v>2020</v>
      </c>
      <c r="B19" s="313" t="s">
        <v>112</v>
      </c>
      <c r="C19" s="444">
        <v>74.376514739100003</v>
      </c>
      <c r="D19" s="445">
        <f t="shared" si="3"/>
        <v>53709.158799855715</v>
      </c>
      <c r="E19" s="445">
        <v>64988.082147825415</v>
      </c>
      <c r="F19" s="316">
        <f t="shared" si="0"/>
        <v>873.77154436171702</v>
      </c>
      <c r="G19" s="440"/>
      <c r="H19" s="438">
        <v>0.401583381829</v>
      </c>
      <c r="I19" s="438">
        <f t="shared" si="4"/>
        <v>73.974931357271004</v>
      </c>
      <c r="J19" s="438">
        <f t="shared" si="5"/>
        <v>55.83099944783217</v>
      </c>
      <c r="K19" s="315">
        <f t="shared" si="6"/>
        <v>40316.974058504529</v>
      </c>
      <c r="L19" s="315">
        <f t="shared" si="7"/>
        <v>48783.538610790478</v>
      </c>
      <c r="M19" s="316">
        <f t="shared" si="8"/>
        <v>873.77154436171691</v>
      </c>
      <c r="N19" s="314"/>
      <c r="O19" s="438">
        <v>4.2270000000000003</v>
      </c>
      <c r="P19" s="438">
        <v>2.09</v>
      </c>
      <c r="Q19" s="439">
        <f t="shared" si="9"/>
        <v>6.3170000000000002</v>
      </c>
      <c r="R19" s="315">
        <f t="shared" si="10"/>
        <v>22555.8</v>
      </c>
      <c r="S19" s="315">
        <v>27292.518</v>
      </c>
      <c r="T19" s="316">
        <f t="shared" si="1"/>
        <v>4320.4872566091499</v>
      </c>
      <c r="U19" s="314"/>
      <c r="V19" s="584">
        <v>1597</v>
      </c>
      <c r="W19" s="578">
        <f>X19/1.1</f>
        <v>125204.80000000002</v>
      </c>
      <c r="X19" s="578">
        <f>V19*(36.58+41.82)*1.1</f>
        <v>137725.28000000003</v>
      </c>
      <c r="Y19" s="581">
        <f t="shared" ref="Y19" si="11">X19/V19</f>
        <v>86.240000000000023</v>
      </c>
      <c r="Z19" s="303"/>
      <c r="AA19" s="313" t="s">
        <v>112</v>
      </c>
      <c r="AB19" s="303">
        <v>2020</v>
      </c>
      <c r="AC19" s="303"/>
      <c r="AD19" s="303"/>
    </row>
    <row r="20" spans="1:30" x14ac:dyDescent="0.25">
      <c r="A20" s="303"/>
      <c r="B20" s="313" t="s">
        <v>113</v>
      </c>
      <c r="C20" s="444">
        <v>52.639791564990006</v>
      </c>
      <c r="D20" s="445">
        <f t="shared" si="3"/>
        <v>38951.880069720697</v>
      </c>
      <c r="E20" s="445">
        <v>47131.774884362043</v>
      </c>
      <c r="F20" s="316">
        <f t="shared" si="0"/>
        <v>895.36401044013121</v>
      </c>
      <c r="G20" s="440"/>
      <c r="H20" s="438">
        <v>0.55204376315199999</v>
      </c>
      <c r="I20" s="438">
        <f t="shared" si="4"/>
        <v>52.087747801838006</v>
      </c>
      <c r="J20" s="438">
        <f t="shared" si="5"/>
        <v>39.581393191069225</v>
      </c>
      <c r="K20" s="315">
        <f t="shared" si="6"/>
        <v>29289.05367468053</v>
      </c>
      <c r="L20" s="315">
        <f t="shared" si="7"/>
        <v>35439.754946363442</v>
      </c>
      <c r="M20" s="316">
        <f t="shared" si="8"/>
        <v>895.36401044013121</v>
      </c>
      <c r="N20" s="314"/>
      <c r="O20" s="438">
        <v>3.706</v>
      </c>
      <c r="P20" s="438">
        <v>2.0209999999999999</v>
      </c>
      <c r="Q20" s="439">
        <f t="shared" si="9"/>
        <v>5.7270000000000003</v>
      </c>
      <c r="R20" s="315">
        <f t="shared" si="10"/>
        <v>20298.78</v>
      </c>
      <c r="S20" s="315">
        <v>24561.523799999999</v>
      </c>
      <c r="T20" s="316">
        <f t="shared" si="1"/>
        <v>4288.7242535358819</v>
      </c>
      <c r="U20" s="314"/>
      <c r="V20" s="585"/>
      <c r="W20" s="579"/>
      <c r="X20" s="579"/>
      <c r="Y20" s="582"/>
      <c r="Z20" s="303"/>
      <c r="AA20" s="313" t="s">
        <v>113</v>
      </c>
      <c r="AB20" s="303"/>
      <c r="AC20" s="303"/>
      <c r="AD20" s="303"/>
    </row>
    <row r="21" spans="1:30" x14ac:dyDescent="0.25">
      <c r="A21" s="303"/>
      <c r="B21" s="313" t="s">
        <v>114</v>
      </c>
      <c r="C21" s="444">
        <v>55.574302548240006</v>
      </c>
      <c r="D21" s="445">
        <f t="shared" si="3"/>
        <v>40944.148921358959</v>
      </c>
      <c r="E21" s="445">
        <v>49542.420194844337</v>
      </c>
      <c r="F21" s="316">
        <f t="shared" si="0"/>
        <v>891.46274308778175</v>
      </c>
      <c r="G21" s="440"/>
      <c r="H21" s="438">
        <v>0.13386112727633334</v>
      </c>
      <c r="I21" s="438">
        <f t="shared" si="4"/>
        <v>55.440441420963673</v>
      </c>
      <c r="J21" s="438">
        <f t="shared" si="5"/>
        <v>41.675383884004418</v>
      </c>
      <c r="K21" s="315">
        <f t="shared" si="6"/>
        <v>30704.175236752821</v>
      </c>
      <c r="L21" s="315">
        <f t="shared" si="7"/>
        <v>37152.052036470915</v>
      </c>
      <c r="M21" s="316">
        <f t="shared" si="8"/>
        <v>891.46274308778186</v>
      </c>
      <c r="N21" s="314"/>
      <c r="O21" s="438">
        <v>4.2160000000000002</v>
      </c>
      <c r="P21" s="438">
        <v>2.3159999999999998</v>
      </c>
      <c r="Q21" s="439">
        <f t="shared" si="9"/>
        <v>6.532</v>
      </c>
      <c r="R21" s="315">
        <f t="shared" si="10"/>
        <v>22971.47</v>
      </c>
      <c r="S21" s="315">
        <v>27795.4787</v>
      </c>
      <c r="T21" s="316">
        <f t="shared" si="1"/>
        <v>4255.2784292712795</v>
      </c>
      <c r="U21" s="314"/>
      <c r="V21" s="585"/>
      <c r="W21" s="579"/>
      <c r="X21" s="579"/>
      <c r="Y21" s="582"/>
      <c r="Z21" s="303"/>
      <c r="AA21" s="313" t="s">
        <v>114</v>
      </c>
      <c r="AB21" s="303"/>
      <c r="AC21" s="303"/>
      <c r="AD21" s="303"/>
    </row>
    <row r="22" spans="1:30" x14ac:dyDescent="0.25">
      <c r="A22" s="303"/>
      <c r="B22" s="313" t="s">
        <v>115</v>
      </c>
      <c r="C22" s="444">
        <v>30.230798601990003</v>
      </c>
      <c r="D22" s="445">
        <f t="shared" si="3"/>
        <v>23738.190657210365</v>
      </c>
      <c r="E22" s="445">
        <v>28723.210695224541</v>
      </c>
      <c r="F22" s="316">
        <f t="shared" si="0"/>
        <v>950.1307283802214</v>
      </c>
      <c r="G22" s="440"/>
      <c r="H22" s="438">
        <v>0.47681357249049999</v>
      </c>
      <c r="I22" s="438">
        <f t="shared" si="4"/>
        <v>29.753985029499503</v>
      </c>
      <c r="J22" s="438">
        <f t="shared" si="5"/>
        <v>22.771474555094478</v>
      </c>
      <c r="K22" s="315">
        <f t="shared" si="6"/>
        <v>17880.89066555669</v>
      </c>
      <c r="L22" s="315">
        <f t="shared" si="7"/>
        <v>21635.877705323594</v>
      </c>
      <c r="M22" s="316">
        <f t="shared" si="8"/>
        <v>950.1307283802214</v>
      </c>
      <c r="N22" s="314"/>
      <c r="O22" s="438">
        <v>3.746</v>
      </c>
      <c r="P22" s="438">
        <v>1.927</v>
      </c>
      <c r="Q22" s="439">
        <f t="shared" si="9"/>
        <v>5.673</v>
      </c>
      <c r="R22" s="315">
        <f t="shared" si="10"/>
        <v>20269.79</v>
      </c>
      <c r="S22" s="315">
        <v>24526.445899999999</v>
      </c>
      <c r="T22" s="316">
        <f t="shared" si="1"/>
        <v>4323.364339855455</v>
      </c>
      <c r="U22" s="314"/>
      <c r="V22" s="585"/>
      <c r="W22" s="579"/>
      <c r="X22" s="579"/>
      <c r="Y22" s="582"/>
      <c r="Z22" s="303"/>
      <c r="AA22" s="313" t="s">
        <v>115</v>
      </c>
      <c r="AB22" s="303"/>
      <c r="AC22" s="303"/>
      <c r="AD22" s="303"/>
    </row>
    <row r="23" spans="1:30" x14ac:dyDescent="0.25">
      <c r="A23" s="303"/>
      <c r="B23" s="313" t="s">
        <v>116</v>
      </c>
      <c r="C23" s="444">
        <v>19.591862419080002</v>
      </c>
      <c r="D23" s="445">
        <f t="shared" si="3"/>
        <v>16515.310493270936</v>
      </c>
      <c r="E23" s="445">
        <v>19983.525696857832</v>
      </c>
      <c r="F23" s="316">
        <f t="shared" si="0"/>
        <v>1019.9911202620738</v>
      </c>
      <c r="G23" s="440"/>
      <c r="H23" s="438">
        <v>0.401583381829</v>
      </c>
      <c r="I23" s="438">
        <f t="shared" si="4"/>
        <v>19.190279037251003</v>
      </c>
      <c r="J23" s="438">
        <f t="shared" si="5"/>
        <v>14.780859464441178</v>
      </c>
      <c r="K23" s="315">
        <f t="shared" si="6"/>
        <v>12459.789589728622</v>
      </c>
      <c r="L23" s="315">
        <f t="shared" si="7"/>
        <v>15076.345403571631</v>
      </c>
      <c r="M23" s="316">
        <f t="shared" si="8"/>
        <v>1019.9911202620737</v>
      </c>
      <c r="N23" s="314"/>
      <c r="O23" s="438">
        <v>3.5830000000000002</v>
      </c>
      <c r="P23" s="438">
        <v>2.0219999999999998</v>
      </c>
      <c r="Q23" s="439">
        <f t="shared" si="9"/>
        <v>5.6050000000000004</v>
      </c>
      <c r="R23" s="315">
        <f t="shared" si="10"/>
        <v>19801.150000000001</v>
      </c>
      <c r="S23" s="315">
        <v>23959.391500000002</v>
      </c>
      <c r="T23" s="316">
        <f t="shared" si="1"/>
        <v>4274.646119536128</v>
      </c>
      <c r="U23" s="314"/>
      <c r="V23" s="585"/>
      <c r="W23" s="579"/>
      <c r="X23" s="579"/>
      <c r="Y23" s="582"/>
      <c r="Z23" s="303"/>
      <c r="AA23" s="313" t="s">
        <v>116</v>
      </c>
      <c r="AB23" s="303"/>
      <c r="AC23" s="303"/>
      <c r="AD23" s="303"/>
    </row>
    <row r="24" spans="1:30" x14ac:dyDescent="0.25">
      <c r="A24" s="303"/>
      <c r="B24" s="313" t="s">
        <v>117</v>
      </c>
      <c r="C24" s="444">
        <v>8.2806564472800002</v>
      </c>
      <c r="D24" s="445">
        <f t="shared" si="3"/>
        <v>8836.0196469561979</v>
      </c>
      <c r="E24" s="445">
        <v>10691.583772816999</v>
      </c>
      <c r="F24" s="316">
        <f t="shared" si="0"/>
        <v>1291.151714949958</v>
      </c>
      <c r="G24" s="440"/>
      <c r="H24" s="438">
        <v>1.6561312894560001</v>
      </c>
      <c r="I24" s="438">
        <f t="shared" si="4"/>
        <v>6.6245251578240003</v>
      </c>
      <c r="J24" s="438">
        <f t="shared" si="5"/>
        <v>6.6198879902135239</v>
      </c>
      <c r="K24" s="315">
        <f t="shared" si="6"/>
        <v>7063.8675465626638</v>
      </c>
      <c r="L24" s="315">
        <f t="shared" si="7"/>
        <v>8547.2797313408228</v>
      </c>
      <c r="M24" s="316">
        <f t="shared" si="8"/>
        <v>1291.151714949958</v>
      </c>
      <c r="N24" s="314"/>
      <c r="O24" s="438">
        <v>3.6309999999999998</v>
      </c>
      <c r="P24" s="438">
        <v>1.946</v>
      </c>
      <c r="Q24" s="439">
        <f t="shared" si="9"/>
        <v>5.577</v>
      </c>
      <c r="R24" s="315">
        <f t="shared" si="10"/>
        <v>19841.32</v>
      </c>
      <c r="S24" s="315">
        <v>24007.997199999998</v>
      </c>
      <c r="T24" s="316">
        <f t="shared" si="1"/>
        <v>4304.8228796844178</v>
      </c>
      <c r="U24" s="314"/>
      <c r="V24" s="585"/>
      <c r="W24" s="579"/>
      <c r="X24" s="579"/>
      <c r="Y24" s="582"/>
      <c r="Z24" s="303"/>
      <c r="AA24" s="313" t="s">
        <v>117</v>
      </c>
      <c r="AB24" s="303"/>
      <c r="AC24" s="303"/>
      <c r="AD24" s="303"/>
    </row>
    <row r="25" spans="1:30" x14ac:dyDescent="0.25">
      <c r="A25" s="303"/>
      <c r="B25" s="313" t="s">
        <v>118</v>
      </c>
      <c r="C25" s="444">
        <v>6.5199498573300003</v>
      </c>
      <c r="D25" s="445">
        <f t="shared" si="3"/>
        <v>7640.658335973244</v>
      </c>
      <c r="E25" s="445">
        <v>9245.1965865276252</v>
      </c>
      <c r="F25" s="316">
        <f t="shared" si="0"/>
        <v>1417.9858417367718</v>
      </c>
      <c r="G25" s="440"/>
      <c r="H25" s="438">
        <v>1.3039899714660002</v>
      </c>
      <c r="I25" s="438">
        <f t="shared" si="4"/>
        <v>5.2159598858640006</v>
      </c>
      <c r="J25" s="438">
        <f t="shared" si="5"/>
        <v>5.2123087139438962</v>
      </c>
      <c r="K25" s="315">
        <f t="shared" si="6"/>
        <v>6108.2479001104512</v>
      </c>
      <c r="L25" s="315">
        <f t="shared" si="7"/>
        <v>7390.9799591336459</v>
      </c>
      <c r="M25" s="316">
        <f t="shared" si="8"/>
        <v>1417.9858417367718</v>
      </c>
      <c r="N25" s="314"/>
      <c r="O25" s="438">
        <v>2.1240000000000001</v>
      </c>
      <c r="P25" s="438">
        <v>1.4059999999999999</v>
      </c>
      <c r="Q25" s="439">
        <f t="shared" si="9"/>
        <v>3.5300000000000002</v>
      </c>
      <c r="R25" s="315">
        <f t="shared" si="10"/>
        <v>12619.44</v>
      </c>
      <c r="S25" s="315">
        <v>15269.5224</v>
      </c>
      <c r="T25" s="316">
        <f t="shared" si="1"/>
        <v>4325.6437393767701</v>
      </c>
      <c r="U25" s="314"/>
      <c r="V25" s="585"/>
      <c r="W25" s="579"/>
      <c r="X25" s="579"/>
      <c r="Y25" s="582"/>
      <c r="Z25" s="303"/>
      <c r="AA25" s="313" t="s">
        <v>118</v>
      </c>
      <c r="AB25" s="303"/>
      <c r="AC25" s="303"/>
      <c r="AD25" s="303"/>
    </row>
    <row r="26" spans="1:30" x14ac:dyDescent="0.25">
      <c r="A26" s="303"/>
      <c r="B26" s="313" t="s">
        <v>119</v>
      </c>
      <c r="C26" s="444">
        <v>5.5275515975400005</v>
      </c>
      <c r="D26" s="445">
        <f t="shared" si="3"/>
        <v>6966.9092334192146</v>
      </c>
      <c r="E26" s="445">
        <v>8429.9601724372496</v>
      </c>
      <c r="F26" s="316">
        <f t="shared" si="0"/>
        <v>1525.0803223960761</v>
      </c>
      <c r="G26" s="440"/>
      <c r="H26" s="438">
        <v>1.105510319508</v>
      </c>
      <c r="I26" s="438">
        <f t="shared" si="4"/>
        <v>4.4220412780320002</v>
      </c>
      <c r="J26" s="438">
        <f t="shared" si="5"/>
        <v>4.4189458491373781</v>
      </c>
      <c r="K26" s="315">
        <f t="shared" si="6"/>
        <v>5569.6259175646564</v>
      </c>
      <c r="L26" s="315">
        <f t="shared" si="7"/>
        <v>6739.2473602532345</v>
      </c>
      <c r="M26" s="316">
        <f t="shared" si="8"/>
        <v>1525.0803223960761</v>
      </c>
      <c r="N26" s="314"/>
      <c r="O26" s="438">
        <v>2.56</v>
      </c>
      <c r="P26" s="438">
        <v>1.631</v>
      </c>
      <c r="Q26" s="439">
        <f t="shared" si="9"/>
        <v>4.1909999999999998</v>
      </c>
      <c r="R26" s="315">
        <f t="shared" si="10"/>
        <v>14848.940000000002</v>
      </c>
      <c r="S26" s="315">
        <v>17967.217400000001</v>
      </c>
      <c r="T26" s="316">
        <f t="shared" si="1"/>
        <v>4287.0955380577434</v>
      </c>
      <c r="U26" s="314"/>
      <c r="V26" s="585"/>
      <c r="W26" s="579"/>
      <c r="X26" s="579"/>
      <c r="Y26" s="582"/>
      <c r="Z26" s="303"/>
      <c r="AA26" s="313" t="s">
        <v>119</v>
      </c>
      <c r="AB26" s="303"/>
      <c r="AC26" s="303"/>
      <c r="AD26" s="303"/>
    </row>
    <row r="27" spans="1:30" x14ac:dyDescent="0.25">
      <c r="A27" s="303"/>
      <c r="B27" s="313" t="s">
        <v>120</v>
      </c>
      <c r="C27" s="444">
        <v>11.119128889260002</v>
      </c>
      <c r="D27" s="445">
        <f t="shared" si="3"/>
        <v>10763.086972540841</v>
      </c>
      <c r="E27" s="445">
        <v>13023.335236774417</v>
      </c>
      <c r="F27" s="316">
        <f t="shared" si="0"/>
        <v>1171.2549936671471</v>
      </c>
      <c r="G27" s="440"/>
      <c r="H27" s="438">
        <v>0.47681357249049999</v>
      </c>
      <c r="I27" s="438">
        <f t="shared" si="4"/>
        <v>10.642315316769503</v>
      </c>
      <c r="J27" s="438">
        <f t="shared" si="5"/>
        <v>8.4511004393458897</v>
      </c>
      <c r="K27" s="315">
        <f t="shared" si="6"/>
        <v>8180.4905715425575</v>
      </c>
      <c r="L27" s="315">
        <f t="shared" si="7"/>
        <v>9898.3935915664952</v>
      </c>
      <c r="M27" s="316">
        <f t="shared" si="8"/>
        <v>1171.2549936671471</v>
      </c>
      <c r="N27" s="314"/>
      <c r="O27" s="438">
        <v>2.9830000000000001</v>
      </c>
      <c r="P27" s="438">
        <v>0.99199999999999999</v>
      </c>
      <c r="Q27" s="439">
        <f t="shared" si="9"/>
        <v>3.9750000000000001</v>
      </c>
      <c r="R27" s="315">
        <f t="shared" si="10"/>
        <v>15265.66</v>
      </c>
      <c r="S27" s="315">
        <v>18471.4486</v>
      </c>
      <c r="T27" s="316">
        <f t="shared" si="1"/>
        <v>4646.9053081761003</v>
      </c>
      <c r="U27" s="314"/>
      <c r="V27" s="585"/>
      <c r="W27" s="579"/>
      <c r="X27" s="579"/>
      <c r="Y27" s="582"/>
      <c r="Z27" s="303"/>
      <c r="AA27" s="313" t="s">
        <v>120</v>
      </c>
      <c r="AB27" s="303"/>
      <c r="AC27" s="303"/>
      <c r="AD27" s="303"/>
    </row>
    <row r="28" spans="1:30" x14ac:dyDescent="0.25">
      <c r="A28" s="303"/>
      <c r="B28" s="313" t="s">
        <v>121</v>
      </c>
      <c r="C28" s="444">
        <v>13.65887306056</v>
      </c>
      <c r="D28" s="445">
        <f t="shared" si="3"/>
        <v>10826.948713428123</v>
      </c>
      <c r="E28" s="445">
        <v>13100.607943248027</v>
      </c>
      <c r="F28" s="316">
        <f t="shared" si="0"/>
        <v>959.12802506936225</v>
      </c>
      <c r="G28" s="440"/>
      <c r="H28" s="438">
        <v>0.401583381829</v>
      </c>
      <c r="I28" s="438">
        <f t="shared" si="4"/>
        <v>13.257289678730999</v>
      </c>
      <c r="J28" s="438">
        <f t="shared" si="5"/>
        <v>10.335270538102137</v>
      </c>
      <c r="K28" s="315">
        <f t="shared" si="6"/>
        <v>8192.4360493946024</v>
      </c>
      <c r="L28" s="315">
        <f t="shared" si="7"/>
        <v>9912.8476197674681</v>
      </c>
      <c r="M28" s="316">
        <f t="shared" si="8"/>
        <v>959.12802506936237</v>
      </c>
      <c r="N28" s="314"/>
      <c r="O28" s="438">
        <v>3.3319999999999999</v>
      </c>
      <c r="P28" s="438">
        <v>1.1459999999999999</v>
      </c>
      <c r="Q28" s="439">
        <f t="shared" si="9"/>
        <v>4.4779999999999998</v>
      </c>
      <c r="R28" s="315">
        <f t="shared" si="10"/>
        <v>16997.11</v>
      </c>
      <c r="S28" s="315">
        <v>20566.503100000002</v>
      </c>
      <c r="T28" s="316">
        <f t="shared" si="1"/>
        <v>4592.7876507369365</v>
      </c>
      <c r="U28" s="314"/>
      <c r="V28" s="585"/>
      <c r="W28" s="579"/>
      <c r="X28" s="579"/>
      <c r="Y28" s="582"/>
      <c r="Z28" s="303"/>
      <c r="AA28" s="313" t="s">
        <v>121</v>
      </c>
      <c r="AB28" s="303"/>
      <c r="AC28" s="303"/>
      <c r="AD28" s="303"/>
    </row>
    <row r="29" spans="1:30" x14ac:dyDescent="0.25">
      <c r="A29" s="303"/>
      <c r="B29" s="313" t="s">
        <v>122</v>
      </c>
      <c r="C29" s="444">
        <v>56.393777314400005</v>
      </c>
      <c r="D29" s="445">
        <f t="shared" si="3"/>
        <v>42270.366601519301</v>
      </c>
      <c r="E29" s="445">
        <v>51147.143587838356</v>
      </c>
      <c r="F29" s="316">
        <f t="shared" si="0"/>
        <v>906.96431456770085</v>
      </c>
      <c r="G29" s="440"/>
      <c r="H29" s="438">
        <v>0.47681357249049999</v>
      </c>
      <c r="I29" s="438">
        <f t="shared" si="4"/>
        <v>55.916963741909505</v>
      </c>
      <c r="J29" s="438">
        <f t="shared" si="5"/>
        <v>42.375394504303294</v>
      </c>
      <c r="K29" s="315">
        <f t="shared" si="6"/>
        <v>31762.785645563101</v>
      </c>
      <c r="L29" s="315">
        <f t="shared" si="7"/>
        <v>38432.970631131349</v>
      </c>
      <c r="M29" s="316">
        <f t="shared" si="8"/>
        <v>906.96431456770074</v>
      </c>
      <c r="N29" s="314"/>
      <c r="O29" s="438">
        <v>3.863</v>
      </c>
      <c r="P29" s="438">
        <v>1.415</v>
      </c>
      <c r="Q29" s="439">
        <f t="shared" si="9"/>
        <v>5.2780000000000005</v>
      </c>
      <c r="R29" s="315">
        <f t="shared" si="10"/>
        <v>19702.150000000001</v>
      </c>
      <c r="S29" s="315">
        <v>23839.601500000001</v>
      </c>
      <c r="T29" s="316">
        <f t="shared" si="1"/>
        <v>4516.786945812808</v>
      </c>
      <c r="U29" s="314"/>
      <c r="V29" s="585"/>
      <c r="W29" s="579"/>
      <c r="X29" s="579"/>
      <c r="Y29" s="582"/>
      <c r="Z29" s="303"/>
      <c r="AA29" s="313" t="s">
        <v>122</v>
      </c>
      <c r="AB29" s="303"/>
      <c r="AC29" s="303"/>
      <c r="AD29" s="303"/>
    </row>
    <row r="30" spans="1:30" x14ac:dyDescent="0.25">
      <c r="A30" s="303"/>
      <c r="B30" s="313" t="s">
        <v>123</v>
      </c>
      <c r="C30" s="444">
        <v>73.076042999039998</v>
      </c>
      <c r="D30" s="445">
        <f t="shared" si="3"/>
        <v>53596.123597478239</v>
      </c>
      <c r="E30" s="445">
        <v>64851.309552948667</v>
      </c>
      <c r="F30" s="316">
        <f t="shared" si="0"/>
        <v>887.44966053786766</v>
      </c>
      <c r="G30" s="440"/>
      <c r="H30" s="438">
        <v>0.401583381829</v>
      </c>
      <c r="I30" s="438">
        <f t="shared" si="4"/>
        <v>72.674459617210999</v>
      </c>
      <c r="J30" s="438">
        <f t="shared" si="5"/>
        <v>54.856555973005207</v>
      </c>
      <c r="K30" s="315">
        <f t="shared" si="6"/>
        <v>40233.414856628107</v>
      </c>
      <c r="L30" s="315">
        <f t="shared" si="7"/>
        <v>48682.431976520005</v>
      </c>
      <c r="M30" s="316">
        <f t="shared" si="8"/>
        <v>887.44966053786766</v>
      </c>
      <c r="N30" s="314"/>
      <c r="O30" s="438">
        <v>3.573</v>
      </c>
      <c r="P30" s="438">
        <v>1.9630000000000001</v>
      </c>
      <c r="Q30" s="439">
        <f t="shared" si="9"/>
        <v>5.5359999999999996</v>
      </c>
      <c r="R30" s="315">
        <f t="shared" si="10"/>
        <v>19640.349999999999</v>
      </c>
      <c r="S30" s="315">
        <v>23764.823499999999</v>
      </c>
      <c r="T30" s="316">
        <f t="shared" si="1"/>
        <v>4292.7788114161849</v>
      </c>
      <c r="U30" s="314"/>
      <c r="V30" s="586"/>
      <c r="W30" s="580"/>
      <c r="X30" s="580"/>
      <c r="Y30" s="583"/>
      <c r="Z30" s="303"/>
      <c r="AA30" s="313" t="s">
        <v>123</v>
      </c>
      <c r="AB30" s="303"/>
      <c r="AC30" s="303"/>
      <c r="AD30" s="303"/>
    </row>
    <row r="31" spans="1:30" x14ac:dyDescent="0.25">
      <c r="A31" s="303">
        <v>2021</v>
      </c>
      <c r="B31" s="313" t="s">
        <v>112</v>
      </c>
      <c r="C31" s="444">
        <v>86.016592280120008</v>
      </c>
      <c r="D31" s="445">
        <f t="shared" si="3"/>
        <v>51819.409698549316</v>
      </c>
      <c r="E31" s="445">
        <v>62701.485735244671</v>
      </c>
      <c r="F31" s="316">
        <f t="shared" si="0"/>
        <v>728.9464052592574</v>
      </c>
      <c r="G31" s="440"/>
      <c r="H31" s="438">
        <v>0.51390527109066675</v>
      </c>
      <c r="I31" s="438">
        <f t="shared" si="4"/>
        <v>85.502687009029344</v>
      </c>
      <c r="J31" s="438">
        <f t="shared" si="5"/>
        <v>64.581068646956354</v>
      </c>
      <c r="K31" s="315">
        <f t="shared" si="6"/>
        <v>38905.899039669559</v>
      </c>
      <c r="L31" s="315">
        <f t="shared" si="7"/>
        <v>47076.137838000162</v>
      </c>
      <c r="M31" s="316">
        <f t="shared" si="8"/>
        <v>728.94640525925729</v>
      </c>
      <c r="N31" s="314"/>
      <c r="O31" s="438">
        <v>3.9369999999999998</v>
      </c>
      <c r="P31" s="438">
        <v>2.0169999999999999</v>
      </c>
      <c r="Q31" s="439">
        <f t="shared" si="9"/>
        <v>5.9539999999999997</v>
      </c>
      <c r="R31" s="315">
        <f t="shared" si="10"/>
        <v>19701.27</v>
      </c>
      <c r="S31" s="315">
        <v>23838.536700000001</v>
      </c>
      <c r="T31" s="316">
        <f t="shared" si="1"/>
        <v>4003.7851360429968</v>
      </c>
      <c r="U31" s="314"/>
      <c r="V31" s="584">
        <f>215+346+240+393</f>
        <v>1194</v>
      </c>
      <c r="W31" s="578">
        <f>X31/1.1</f>
        <v>93609.600000000006</v>
      </c>
      <c r="X31" s="578">
        <f>V31*(36.58+41.82)*1.1</f>
        <v>102970.56000000001</v>
      </c>
      <c r="Y31" s="581">
        <f t="shared" ref="Y31" si="12">X31/V31</f>
        <v>86.240000000000009</v>
      </c>
      <c r="Z31" s="303"/>
      <c r="AA31" s="313" t="s">
        <v>112</v>
      </c>
      <c r="AB31" s="303">
        <v>2021</v>
      </c>
      <c r="AC31" s="303"/>
      <c r="AD31" s="303"/>
    </row>
    <row r="32" spans="1:30" x14ac:dyDescent="0.25">
      <c r="A32" s="303"/>
      <c r="B32" s="313" t="s">
        <v>113</v>
      </c>
      <c r="C32" s="444">
        <v>80.034134534600014</v>
      </c>
      <c r="D32" s="445">
        <f t="shared" si="3"/>
        <v>48483.710908802277</v>
      </c>
      <c r="E32" s="445">
        <v>58665.290199650757</v>
      </c>
      <c r="F32" s="316">
        <f t="shared" si="0"/>
        <v>733.00336838513363</v>
      </c>
      <c r="G32" s="440"/>
      <c r="H32" s="438">
        <v>0.49460702029866671</v>
      </c>
      <c r="I32" s="438">
        <f t="shared" si="4"/>
        <v>79.539527514301341</v>
      </c>
      <c r="J32" s="438">
        <f t="shared" si="5"/>
        <v>60.093574986764665</v>
      </c>
      <c r="K32" s="315">
        <f t="shared" si="6"/>
        <v>36403.961060829017</v>
      </c>
      <c r="L32" s="315">
        <f t="shared" si="7"/>
        <v>44048.792883603106</v>
      </c>
      <c r="M32" s="316">
        <f t="shared" si="8"/>
        <v>733.00336838513351</v>
      </c>
      <c r="N32" s="314"/>
      <c r="O32" s="438">
        <v>3.202</v>
      </c>
      <c r="P32" s="438">
        <v>1.5229999999999999</v>
      </c>
      <c r="Q32" s="439">
        <f t="shared" si="9"/>
        <v>4.7249999999999996</v>
      </c>
      <c r="R32" s="315">
        <f t="shared" si="10"/>
        <v>16012.480000000001</v>
      </c>
      <c r="S32" s="315">
        <v>19375.1008</v>
      </c>
      <c r="T32" s="316">
        <f t="shared" si="1"/>
        <v>4100.5504338624341</v>
      </c>
      <c r="U32" s="314"/>
      <c r="V32" s="585"/>
      <c r="W32" s="579"/>
      <c r="X32" s="579"/>
      <c r="Y32" s="582"/>
      <c r="Z32" s="303"/>
      <c r="AA32" s="313" t="s">
        <v>113</v>
      </c>
      <c r="AB32" s="303"/>
      <c r="AC32" s="303"/>
      <c r="AD32" s="303"/>
    </row>
    <row r="33" spans="1:30" x14ac:dyDescent="0.25">
      <c r="A33" s="303"/>
      <c r="B33" s="313" t="s">
        <v>114</v>
      </c>
      <c r="C33" s="444">
        <v>70.331402886399999</v>
      </c>
      <c r="D33" s="445">
        <f t="shared" si="3"/>
        <v>43073.661796398912</v>
      </c>
      <c r="E33" s="445">
        <v>52119.130773642682</v>
      </c>
      <c r="F33" s="316">
        <f t="shared" si="0"/>
        <v>741.05063506021679</v>
      </c>
      <c r="G33" s="440"/>
      <c r="H33" s="438">
        <v>0.17130175703022224</v>
      </c>
      <c r="I33" s="438">
        <f t="shared" si="4"/>
        <v>70.160101129369778</v>
      </c>
      <c r="J33" s="438">
        <f t="shared" si="5"/>
        <v>52.742265533267002</v>
      </c>
      <c r="K33" s="315">
        <f t="shared" si="6"/>
        <v>32301.396171852972</v>
      </c>
      <c r="L33" s="315">
        <f t="shared" si="7"/>
        <v>39084.689367942097</v>
      </c>
      <c r="M33" s="316">
        <f t="shared" si="8"/>
        <v>741.05063506021679</v>
      </c>
      <c r="N33" s="314"/>
      <c r="O33" s="438">
        <v>3.585</v>
      </c>
      <c r="P33" s="438">
        <v>1.754</v>
      </c>
      <c r="Q33" s="439">
        <f t="shared" si="9"/>
        <v>5.3390000000000004</v>
      </c>
      <c r="R33" s="315">
        <f t="shared" si="10"/>
        <v>17885.099999999999</v>
      </c>
      <c r="S33" s="315">
        <v>21640.970999999998</v>
      </c>
      <c r="T33" s="316">
        <f t="shared" si="1"/>
        <v>4053.3753511893606</v>
      </c>
      <c r="U33" s="314"/>
      <c r="V33" s="585"/>
      <c r="W33" s="579"/>
      <c r="X33" s="579"/>
      <c r="Y33" s="582"/>
      <c r="Z33" s="303"/>
      <c r="AA33" s="313" t="s">
        <v>114</v>
      </c>
      <c r="AB33" s="303"/>
      <c r="AC33" s="303"/>
      <c r="AD33" s="303"/>
    </row>
    <row r="34" spans="1:30" x14ac:dyDescent="0.25">
      <c r="A34" s="303"/>
      <c r="B34" s="313" t="s">
        <v>115</v>
      </c>
      <c r="C34" s="444">
        <v>50.121845807000007</v>
      </c>
      <c r="D34" s="445">
        <f t="shared" si="3"/>
        <v>31805.216960067064</v>
      </c>
      <c r="E34" s="445">
        <v>38484.312521681146</v>
      </c>
      <c r="F34" s="316">
        <f t="shared" si="0"/>
        <v>767.81514930374794</v>
      </c>
      <c r="G34" s="440"/>
      <c r="H34" s="438">
        <v>0.5042561456946667</v>
      </c>
      <c r="I34" s="438">
        <f t="shared" si="4"/>
        <v>49.617589661305338</v>
      </c>
      <c r="J34" s="438">
        <f t="shared" si="5"/>
        <v>37.682716078910765</v>
      </c>
      <c r="K34" s="315">
        <f t="shared" si="6"/>
        <v>23911.867993636046</v>
      </c>
      <c r="L34" s="315">
        <f t="shared" si="7"/>
        <v>28933.360272299615</v>
      </c>
      <c r="M34" s="316">
        <f t="shared" si="8"/>
        <v>767.81514930374806</v>
      </c>
      <c r="N34" s="314"/>
      <c r="O34" s="438">
        <v>3.1680000000000001</v>
      </c>
      <c r="P34" s="438">
        <v>1.59</v>
      </c>
      <c r="Q34" s="439">
        <f t="shared" si="9"/>
        <v>4.758</v>
      </c>
      <c r="R34" s="315">
        <f t="shared" si="10"/>
        <v>16010.449999999999</v>
      </c>
      <c r="S34" s="315">
        <v>19372.644499999999</v>
      </c>
      <c r="T34" s="316">
        <f t="shared" si="1"/>
        <v>4071.5940521227403</v>
      </c>
      <c r="U34" s="314"/>
      <c r="V34" s="585"/>
      <c r="W34" s="579"/>
      <c r="X34" s="579"/>
      <c r="Y34" s="582"/>
      <c r="Z34" s="303"/>
      <c r="AA34" s="313" t="s">
        <v>115</v>
      </c>
      <c r="AB34" s="303"/>
      <c r="AC34" s="303"/>
      <c r="AD34" s="303"/>
    </row>
    <row r="35" spans="1:30" x14ac:dyDescent="0.25">
      <c r="A35" s="303"/>
      <c r="B35" s="313" t="s">
        <v>116</v>
      </c>
      <c r="C35" s="444">
        <v>24.959071024320004</v>
      </c>
      <c r="D35" s="445">
        <f t="shared" si="3"/>
        <v>17774.956996740348</v>
      </c>
      <c r="E35" s="445">
        <v>21507.697966055821</v>
      </c>
      <c r="F35" s="316">
        <f t="shared" si="0"/>
        <v>861.7186891731194</v>
      </c>
      <c r="G35" s="440"/>
      <c r="H35" s="438">
        <v>0.51390527109066675</v>
      </c>
      <c r="I35" s="438">
        <f t="shared" si="4"/>
        <v>24.445165753229336</v>
      </c>
      <c r="J35" s="438">
        <f t="shared" si="5"/>
        <v>18.830667969985409</v>
      </c>
      <c r="K35" s="315">
        <f t="shared" si="6"/>
        <v>13410.527701942208</v>
      </c>
      <c r="L35" s="315">
        <f t="shared" si="7"/>
        <v>16226.738519350072</v>
      </c>
      <c r="M35" s="316">
        <f t="shared" si="8"/>
        <v>861.7186891731194</v>
      </c>
      <c r="N35" s="314"/>
      <c r="O35" s="438">
        <v>3.2189999999999999</v>
      </c>
      <c r="P35" s="438">
        <v>1.4770000000000001</v>
      </c>
      <c r="Q35" s="439">
        <f t="shared" si="9"/>
        <v>4.6959999999999997</v>
      </c>
      <c r="R35" s="315">
        <f t="shared" si="10"/>
        <v>15990.049999999997</v>
      </c>
      <c r="S35" s="315">
        <v>19347.960499999997</v>
      </c>
      <c r="T35" s="316">
        <f t="shared" si="1"/>
        <v>4120.0938032367967</v>
      </c>
      <c r="U35" s="314"/>
      <c r="V35" s="585"/>
      <c r="W35" s="579"/>
      <c r="X35" s="579"/>
      <c r="Y35" s="582"/>
      <c r="Z35" s="303"/>
      <c r="AA35" s="313" t="s">
        <v>116</v>
      </c>
      <c r="AB35" s="303"/>
      <c r="AC35" s="303"/>
      <c r="AD35" s="303"/>
    </row>
    <row r="36" spans="1:30" x14ac:dyDescent="0.25">
      <c r="A36" s="303"/>
      <c r="B36" s="313" t="s">
        <v>117</v>
      </c>
      <c r="C36" s="444">
        <v>7.4191053044800004</v>
      </c>
      <c r="D36" s="445">
        <f t="shared" si="3"/>
        <v>7995.0229106719571</v>
      </c>
      <c r="E36" s="445">
        <v>9673.9777219130683</v>
      </c>
      <c r="F36" s="316">
        <f t="shared" si="0"/>
        <v>1303.9278086633265</v>
      </c>
      <c r="G36" s="440"/>
      <c r="H36" s="438">
        <v>1.4838210608960001</v>
      </c>
      <c r="I36" s="438">
        <f t="shared" si="4"/>
        <v>5.9352842435840003</v>
      </c>
      <c r="J36" s="438">
        <f t="shared" si="5"/>
        <v>5.9311295446134924</v>
      </c>
      <c r="K36" s="315">
        <f t="shared" si="6"/>
        <v>6391.5411157075905</v>
      </c>
      <c r="L36" s="315">
        <f t="shared" si="7"/>
        <v>7733.7647500061839</v>
      </c>
      <c r="M36" s="316">
        <f t="shared" si="8"/>
        <v>1303.9278086633265</v>
      </c>
      <c r="N36" s="314"/>
      <c r="O36" s="438">
        <v>3.016</v>
      </c>
      <c r="P36" s="438">
        <v>1.262</v>
      </c>
      <c r="Q36" s="439">
        <f t="shared" si="9"/>
        <v>4.2780000000000005</v>
      </c>
      <c r="R36" s="315">
        <f t="shared" si="10"/>
        <v>14823.82</v>
      </c>
      <c r="S36" s="315">
        <v>17936.822199999999</v>
      </c>
      <c r="T36" s="316">
        <f t="shared" si="1"/>
        <v>4192.8055633473577</v>
      </c>
      <c r="U36" s="314"/>
      <c r="V36" s="585"/>
      <c r="W36" s="579"/>
      <c r="X36" s="579"/>
      <c r="Y36" s="582"/>
      <c r="Z36" s="303"/>
      <c r="AA36" s="313" t="s">
        <v>117</v>
      </c>
      <c r="AB36" s="303"/>
      <c r="AC36" s="303"/>
      <c r="AD36" s="303"/>
    </row>
    <row r="37" spans="1:30" x14ac:dyDescent="0.25">
      <c r="A37" s="303"/>
      <c r="B37" s="313" t="s">
        <v>118</v>
      </c>
      <c r="C37" s="444">
        <v>6.3040952587200003</v>
      </c>
      <c r="D37" s="445">
        <f t="shared" si="3"/>
        <v>7373.3156093570979</v>
      </c>
      <c r="E37" s="445">
        <v>8921.7118873220879</v>
      </c>
      <c r="F37" s="316">
        <f t="shared" si="0"/>
        <v>1415.2247897874524</v>
      </c>
      <c r="G37" s="440"/>
      <c r="H37" s="438">
        <v>1.2608190517440001</v>
      </c>
      <c r="I37" s="438">
        <f t="shared" si="4"/>
        <v>5.0432762069760004</v>
      </c>
      <c r="J37" s="438">
        <f t="shared" si="5"/>
        <v>5.0397459136311173</v>
      </c>
      <c r="K37" s="315">
        <f t="shared" si="6"/>
        <v>5894.5234307444389</v>
      </c>
      <c r="L37" s="315">
        <f t="shared" si="7"/>
        <v>7132.3733512007711</v>
      </c>
      <c r="M37" s="316">
        <f t="shared" si="8"/>
        <v>1415.2247897874527</v>
      </c>
      <c r="N37" s="314"/>
      <c r="O37" s="438">
        <v>1.9179999999999999</v>
      </c>
      <c r="P37" s="438">
        <v>0.73599999999999999</v>
      </c>
      <c r="Q37" s="439">
        <f t="shared" si="9"/>
        <v>2.6539999999999999</v>
      </c>
      <c r="R37" s="315">
        <f t="shared" si="10"/>
        <v>9710.98</v>
      </c>
      <c r="S37" s="315">
        <v>11750.2858</v>
      </c>
      <c r="T37" s="316">
        <f t="shared" si="1"/>
        <v>4427.3872645064057</v>
      </c>
      <c r="U37" s="314"/>
      <c r="V37" s="585"/>
      <c r="W37" s="579"/>
      <c r="X37" s="579"/>
      <c r="Y37" s="582"/>
      <c r="Z37" s="303"/>
      <c r="AA37" s="313" t="s">
        <v>118</v>
      </c>
      <c r="AB37" s="303"/>
      <c r="AC37" s="303"/>
      <c r="AD37" s="303"/>
    </row>
    <row r="38" spans="1:30" x14ac:dyDescent="0.25">
      <c r="A38" s="303"/>
      <c r="B38" s="313" t="s">
        <v>119</v>
      </c>
      <c r="C38" s="444">
        <v>9.1130628740000006</v>
      </c>
      <c r="D38" s="445">
        <f t="shared" si="3"/>
        <v>8939.5397722849193</v>
      </c>
      <c r="E38" s="445">
        <v>10816.843124464753</v>
      </c>
      <c r="F38" s="316">
        <f t="shared" si="0"/>
        <v>1186.960221170614</v>
      </c>
      <c r="G38" s="440"/>
      <c r="H38" s="438">
        <v>1.8226125748000002</v>
      </c>
      <c r="I38" s="438">
        <f t="shared" si="4"/>
        <v>7.2904502992000007</v>
      </c>
      <c r="J38" s="438">
        <f t="shared" si="5"/>
        <v>7.2853469839905607</v>
      </c>
      <c r="K38" s="315">
        <f t="shared" si="6"/>
        <v>7146.6256755554559</v>
      </c>
      <c r="L38" s="315">
        <f t="shared" si="7"/>
        <v>8647.4170674221023</v>
      </c>
      <c r="M38" s="316">
        <f t="shared" si="8"/>
        <v>1186.9602211706142</v>
      </c>
      <c r="N38" s="314"/>
      <c r="O38" s="438">
        <v>2.4079999999999999</v>
      </c>
      <c r="P38" s="438">
        <v>0.82799999999999996</v>
      </c>
      <c r="Q38" s="439">
        <f t="shared" si="9"/>
        <v>3.2359999999999998</v>
      </c>
      <c r="R38" s="315">
        <f t="shared" si="10"/>
        <v>11724.82</v>
      </c>
      <c r="S38" s="315">
        <v>14187.0322</v>
      </c>
      <c r="T38" s="316">
        <f t="shared" si="1"/>
        <v>4384.1261433868976</v>
      </c>
      <c r="U38" s="314"/>
      <c r="V38" s="585"/>
      <c r="W38" s="579"/>
      <c r="X38" s="579"/>
      <c r="Y38" s="582"/>
      <c r="Z38" s="303"/>
      <c r="AA38" s="313" t="s">
        <v>119</v>
      </c>
      <c r="AB38" s="303"/>
      <c r="AC38" s="303"/>
      <c r="AD38" s="303"/>
    </row>
    <row r="39" spans="1:30" x14ac:dyDescent="0.25">
      <c r="A39" s="303"/>
      <c r="B39" s="313" t="s">
        <v>120</v>
      </c>
      <c r="C39" s="444">
        <v>12.28655300424</v>
      </c>
      <c r="D39" s="445">
        <f t="shared" si="3"/>
        <v>10709.01439910414</v>
      </c>
      <c r="E39" s="445">
        <v>12957.907422916009</v>
      </c>
      <c r="F39" s="316">
        <f t="shared" si="0"/>
        <v>1054.641396854295</v>
      </c>
      <c r="G39" s="440"/>
      <c r="H39" s="438">
        <v>0.5042561456946667</v>
      </c>
      <c r="I39" s="438">
        <f t="shared" si="4"/>
        <v>11.782296858545333</v>
      </c>
      <c r="J39" s="438">
        <f t="shared" si="5"/>
        <v>9.3327311818026857</v>
      </c>
      <c r="K39" s="315">
        <f t="shared" si="6"/>
        <v>8134.4501240016707</v>
      </c>
      <c r="L39" s="315">
        <f t="shared" si="7"/>
        <v>9842.6846500420215</v>
      </c>
      <c r="M39" s="316">
        <f t="shared" si="8"/>
        <v>1054.6413968542952</v>
      </c>
      <c r="N39" s="314"/>
      <c r="O39" s="438">
        <v>3.5209999999999999</v>
      </c>
      <c r="P39" s="438">
        <v>1.4950000000000001</v>
      </c>
      <c r="Q39" s="439">
        <f t="shared" si="9"/>
        <v>5.016</v>
      </c>
      <c r="R39" s="315">
        <f t="shared" si="10"/>
        <v>17158.59</v>
      </c>
      <c r="S39" s="315">
        <v>20761.893899999999</v>
      </c>
      <c r="T39" s="316">
        <f t="shared" si="1"/>
        <v>4139.1335526315788</v>
      </c>
      <c r="U39" s="314"/>
      <c r="V39" s="585"/>
      <c r="W39" s="579"/>
      <c r="X39" s="579"/>
      <c r="Y39" s="582"/>
      <c r="Z39" s="303"/>
      <c r="AA39" s="313" t="s">
        <v>120</v>
      </c>
      <c r="AB39" s="303"/>
      <c r="AC39" s="303"/>
      <c r="AD39" s="303"/>
    </row>
    <row r="40" spans="1:30" x14ac:dyDescent="0.25">
      <c r="A40" s="303"/>
      <c r="B40" s="313" t="s">
        <v>121</v>
      </c>
      <c r="C40" s="444">
        <v>36.419830539279999</v>
      </c>
      <c r="D40" s="445">
        <f t="shared" si="3"/>
        <v>24060.868747091743</v>
      </c>
      <c r="E40" s="445">
        <v>29113.651183981008</v>
      </c>
      <c r="F40" s="316">
        <f t="shared" si="0"/>
        <v>799.3900782317196</v>
      </c>
      <c r="G40" s="440"/>
      <c r="H40" s="438">
        <v>0.51390527109066675</v>
      </c>
      <c r="I40" s="438">
        <f t="shared" si="4"/>
        <v>35.905925268189335</v>
      </c>
      <c r="J40" s="438">
        <f t="shared" si="5"/>
        <v>27.418215074544939</v>
      </c>
      <c r="K40" s="315">
        <f t="shared" si="6"/>
        <v>18113.924870590574</v>
      </c>
      <c r="L40" s="315">
        <f t="shared" si="7"/>
        <v>21917.849093414592</v>
      </c>
      <c r="M40" s="316">
        <f t="shared" si="8"/>
        <v>799.3900782317196</v>
      </c>
      <c r="N40" s="314"/>
      <c r="O40" s="438">
        <v>3.504</v>
      </c>
      <c r="P40" s="438">
        <v>1.431</v>
      </c>
      <c r="Q40" s="439">
        <f t="shared" si="9"/>
        <v>4.9350000000000005</v>
      </c>
      <c r="R40" s="315">
        <f t="shared" si="10"/>
        <v>16974.62</v>
      </c>
      <c r="S40" s="315">
        <v>20539.290199999999</v>
      </c>
      <c r="T40" s="316">
        <f t="shared" si="1"/>
        <v>4161.963566362715</v>
      </c>
      <c r="U40" s="314"/>
      <c r="V40" s="585"/>
      <c r="W40" s="579"/>
      <c r="X40" s="579"/>
      <c r="Y40" s="582"/>
      <c r="Z40" s="303"/>
      <c r="AA40" s="313" t="s">
        <v>121</v>
      </c>
      <c r="AB40" s="303"/>
      <c r="AC40" s="303"/>
      <c r="AD40" s="303"/>
    </row>
    <row r="41" spans="1:30" x14ac:dyDescent="0.25">
      <c r="A41" s="303"/>
      <c r="B41" s="313" t="s">
        <v>122</v>
      </c>
      <c r="C41" s="444">
        <v>58.749750516479999</v>
      </c>
      <c r="D41" s="445">
        <f t="shared" si="3"/>
        <v>36317.739667978916</v>
      </c>
      <c r="E41" s="445">
        <v>43944.464998254487</v>
      </c>
      <c r="F41" s="316">
        <f t="shared" si="0"/>
        <v>747.99406996507241</v>
      </c>
      <c r="G41" s="440"/>
      <c r="H41" s="438">
        <v>0.5042561456946667</v>
      </c>
      <c r="I41" s="438">
        <f t="shared" si="4"/>
        <v>58.24549437078533</v>
      </c>
      <c r="J41" s="438">
        <f t="shared" si="5"/>
        <v>44.147605077724123</v>
      </c>
      <c r="K41" s="315">
        <f t="shared" si="6"/>
        <v>27291.030414295506</v>
      </c>
      <c r="L41" s="315">
        <f t="shared" si="7"/>
        <v>33022.14680129756</v>
      </c>
      <c r="M41" s="316">
        <f t="shared" si="8"/>
        <v>747.9940699650723</v>
      </c>
      <c r="N41" s="314"/>
      <c r="O41" s="438">
        <v>3.7290000000000001</v>
      </c>
      <c r="P41" s="438">
        <v>1.573</v>
      </c>
      <c r="Q41" s="439">
        <f t="shared" si="9"/>
        <v>5.3019999999999996</v>
      </c>
      <c r="R41" s="315">
        <f t="shared" si="10"/>
        <v>18086.54</v>
      </c>
      <c r="S41" s="315">
        <v>21884.713400000001</v>
      </c>
      <c r="T41" s="316">
        <f t="shared" si="1"/>
        <v>4127.6336099585069</v>
      </c>
      <c r="U41" s="314"/>
      <c r="V41" s="585"/>
      <c r="W41" s="579"/>
      <c r="X41" s="579"/>
      <c r="Y41" s="582"/>
      <c r="Z41" s="303"/>
      <c r="AA41" s="313" t="s">
        <v>122</v>
      </c>
      <c r="AB41" s="303"/>
      <c r="AC41" s="303"/>
      <c r="AD41" s="303"/>
    </row>
    <row r="42" spans="1:30" x14ac:dyDescent="0.25">
      <c r="A42" s="303"/>
      <c r="B42" s="313" t="s">
        <v>123</v>
      </c>
      <c r="C42" s="444">
        <v>79.627583698560002</v>
      </c>
      <c r="D42" s="445">
        <f t="shared" si="3"/>
        <v>47958.801893643089</v>
      </c>
      <c r="E42" s="445">
        <v>58030.150291308135</v>
      </c>
      <c r="F42" s="316">
        <f>E42/C42</f>
        <v>728.76944892599522</v>
      </c>
      <c r="G42" s="440"/>
      <c r="H42" s="438">
        <v>0.51390527109066675</v>
      </c>
      <c r="I42" s="438">
        <f t="shared" si="4"/>
        <v>79.113678427469338</v>
      </c>
      <c r="J42" s="438">
        <f t="shared" si="5"/>
        <v>59.793784516793444</v>
      </c>
      <c r="K42" s="315">
        <f t="shared" si="6"/>
        <v>36013.126769837414</v>
      </c>
      <c r="L42" s="315">
        <f t="shared" si="7"/>
        <v>43575.883391503266</v>
      </c>
      <c r="M42" s="316">
        <f t="shared" si="8"/>
        <v>728.76944892599522</v>
      </c>
      <c r="N42" s="314"/>
      <c r="O42" s="438">
        <v>3.7349999999999999</v>
      </c>
      <c r="P42" s="438">
        <v>1.7330000000000001</v>
      </c>
      <c r="Q42" s="439">
        <f t="shared" si="9"/>
        <v>5.468</v>
      </c>
      <c r="R42" s="315">
        <f t="shared" si="10"/>
        <v>18409.310000000001</v>
      </c>
      <c r="S42" s="315">
        <v>22275.265100000001</v>
      </c>
      <c r="T42" s="316">
        <f>S42/Q42</f>
        <v>4073.7500182882227</v>
      </c>
      <c r="U42" s="314"/>
      <c r="V42" s="586"/>
      <c r="W42" s="580"/>
      <c r="X42" s="580"/>
      <c r="Y42" s="583"/>
      <c r="Z42" s="303"/>
      <c r="AA42" s="313" t="s">
        <v>123</v>
      </c>
      <c r="AB42" s="303"/>
      <c r="AC42" s="303"/>
      <c r="AD42" s="303"/>
    </row>
    <row r="44" spans="1:30" x14ac:dyDescent="0.25">
      <c r="B44" s="313">
        <v>2019</v>
      </c>
      <c r="C44" s="127">
        <f>SUM(C7:C18)</f>
        <v>439.90246333124998</v>
      </c>
      <c r="D44" s="127">
        <f>SUM(D7:D18)</f>
        <v>397849.06959476543</v>
      </c>
      <c r="E44" s="127">
        <f>SUM(E7:E18)</f>
        <v>481397.3742096661</v>
      </c>
      <c r="F44" s="127">
        <f>E44/C44</f>
        <v>1094.3275256159911</v>
      </c>
      <c r="G44" s="127"/>
      <c r="H44" s="127"/>
      <c r="I44" s="127"/>
      <c r="J44" s="127">
        <f>SUM(J7:J18)</f>
        <v>331.1127905359532</v>
      </c>
      <c r="K44" s="127">
        <f>SUM(K7:K18)</f>
        <v>299925.4729086429</v>
      </c>
      <c r="L44" s="127">
        <f>SUM(L7:L18)</f>
        <v>362909.82221945788</v>
      </c>
      <c r="M44" s="127">
        <f>L44/J44</f>
        <v>1096.0308166653322</v>
      </c>
      <c r="O44" s="127">
        <f>SUM(O7:O18)</f>
        <v>38.513999999999996</v>
      </c>
      <c r="P44" s="127">
        <f t="shared" ref="P44:Q44" si="13">SUM(P7:P18)</f>
        <v>21.391999999999999</v>
      </c>
      <c r="Q44" s="127">
        <f t="shared" si="13"/>
        <v>59.905999999999985</v>
      </c>
      <c r="R44" s="127">
        <f>SUM(R7:R18)</f>
        <v>213595.04766000001</v>
      </c>
      <c r="S44" s="127">
        <f>SUM(S7:S18)</f>
        <v>258450.00766859998</v>
      </c>
      <c r="T44" s="127">
        <f t="shared" ref="T44:T45" si="14">S44/Q44</f>
        <v>4314.2591337862659</v>
      </c>
      <c r="V44" s="127">
        <f>SUM(V7:V18)</f>
        <v>1735</v>
      </c>
      <c r="W44" s="127">
        <f>SUM(W7:W18)</f>
        <v>125283.56363636364</v>
      </c>
      <c r="X44" s="127">
        <f>SUM(X7:X18)</f>
        <v>137811.92000000001</v>
      </c>
      <c r="Y44" s="127">
        <f>X44/V44</f>
        <v>79.4305014409222</v>
      </c>
    </row>
    <row r="45" spans="1:30" x14ac:dyDescent="0.25">
      <c r="B45" s="313">
        <v>2020</v>
      </c>
      <c r="C45" s="127">
        <f>SUM(C19:C30)</f>
        <v>406.98925003880998</v>
      </c>
      <c r="D45" s="127">
        <f>SUM(D19:D30)</f>
        <v>314758.80204273184</v>
      </c>
      <c r="E45" s="127">
        <f>SUM(E19:E30)</f>
        <v>380858.15047170548</v>
      </c>
      <c r="F45" s="127">
        <f>E45/C45</f>
        <v>935.79412831023751</v>
      </c>
      <c r="G45" s="127"/>
      <c r="H45" s="127"/>
      <c r="I45" s="127"/>
      <c r="J45" s="127">
        <f>SUM(J19:J30)</f>
        <v>306.90957455049272</v>
      </c>
      <c r="K45" s="127">
        <f>SUM(K19:K30)</f>
        <v>237761.75171258938</v>
      </c>
      <c r="L45" s="127">
        <f>SUM(L19:L30)</f>
        <v>287691.71957223309</v>
      </c>
      <c r="M45" s="127">
        <f>L45/J45</f>
        <v>937.38268020342286</v>
      </c>
      <c r="O45" s="127">
        <f>SUM(O19:O30)</f>
        <v>41.543999999999997</v>
      </c>
      <c r="P45" s="127">
        <f t="shared" ref="P45:Q45" si="15">SUM(P19:P30)</f>
        <v>20.875</v>
      </c>
      <c r="Q45" s="127">
        <f t="shared" si="15"/>
        <v>62.419000000000011</v>
      </c>
      <c r="R45" s="127">
        <f>SUM(R19:R30)</f>
        <v>224811.96000000002</v>
      </c>
      <c r="S45" s="127">
        <f>SUM(S19:S30)</f>
        <v>272022.47159999993</v>
      </c>
      <c r="T45" s="127">
        <f t="shared" si="14"/>
        <v>4358.0075233502603</v>
      </c>
      <c r="V45" s="127">
        <f>SUM(V19:V30)</f>
        <v>1597</v>
      </c>
      <c r="W45" s="127">
        <f>SUM(W19:W30)</f>
        <v>125204.80000000002</v>
      </c>
      <c r="X45" s="127">
        <f>SUM(X19:X30)</f>
        <v>137725.28000000003</v>
      </c>
      <c r="Y45" s="127">
        <f>X45/V45</f>
        <v>86.240000000000023</v>
      </c>
    </row>
    <row r="46" spans="1:30" x14ac:dyDescent="0.25">
      <c r="B46" s="313">
        <v>2021</v>
      </c>
      <c r="C46" s="127">
        <f>SUM(C31:C42)</f>
        <v>521.38302772819998</v>
      </c>
      <c r="D46" s="127">
        <f>SUM(D31:D42)</f>
        <v>336311.25936068979</v>
      </c>
      <c r="E46" s="127">
        <f>SUM(E31:E42)</f>
        <v>406936.6238264346</v>
      </c>
      <c r="F46" s="127">
        <f>E46/C46</f>
        <v>780.49457344164466</v>
      </c>
      <c r="G46" s="127"/>
      <c r="H46" s="127"/>
      <c r="I46" s="127"/>
      <c r="J46" s="127">
        <f>SUM(J31:J42)</f>
        <v>392.87885150898455</v>
      </c>
      <c r="K46" s="127">
        <f>SUM(K31:K42)</f>
        <v>253918.87436866248</v>
      </c>
      <c r="L46" s="127">
        <f>SUM(L31:L42)</f>
        <v>307241.83798608155</v>
      </c>
      <c r="M46" s="127">
        <f>L46/J46</f>
        <v>782.02691950970382</v>
      </c>
      <c r="O46" s="127">
        <f>SUM(O31:O42)</f>
        <v>38.942000000000007</v>
      </c>
      <c r="P46" s="127">
        <f t="shared" ref="P46:Q46" si="16">SUM(P31:P42)</f>
        <v>17.419000000000004</v>
      </c>
      <c r="Q46" s="127">
        <f t="shared" si="16"/>
        <v>56.36099999999999</v>
      </c>
      <c r="R46" s="127">
        <f>SUM(R31:R42)</f>
        <v>192488.03</v>
      </c>
      <c r="S46" s="127">
        <f>SUM(S31:S42)</f>
        <v>232910.51629999996</v>
      </c>
      <c r="T46" s="127">
        <f>S46/Q46</f>
        <v>4132.4766469721972</v>
      </c>
      <c r="V46" s="127">
        <f>SUM(V31:V42)</f>
        <v>1194</v>
      </c>
      <c r="W46" s="127">
        <f>SUM(W31:W42)</f>
        <v>93609.600000000006</v>
      </c>
      <c r="X46" s="127">
        <f>SUM(X31:X42)</f>
        <v>102970.56000000001</v>
      </c>
      <c r="Y46" s="127">
        <f>X46/V46</f>
        <v>86.240000000000009</v>
      </c>
    </row>
    <row r="48" spans="1:30" x14ac:dyDescent="0.25">
      <c r="B48" s="332" t="s">
        <v>161</v>
      </c>
      <c r="C48" s="447">
        <f>C44</f>
        <v>439.90246333124998</v>
      </c>
      <c r="D48" s="448"/>
      <c r="E48" s="447">
        <f>F48*C48</f>
        <v>583680.52530520956</v>
      </c>
      <c r="F48" s="447">
        <f>F46*1.7</f>
        <v>1326.8407748507959</v>
      </c>
      <c r="G48" s="333"/>
      <c r="H48" s="333"/>
      <c r="I48" s="333"/>
      <c r="J48" s="333">
        <f>J44</f>
        <v>331.1127905359532</v>
      </c>
      <c r="K48" s="332"/>
      <c r="L48" s="333">
        <f>M48*J48</f>
        <v>440196.49650825857</v>
      </c>
      <c r="M48" s="333">
        <f>M46*1.7</f>
        <v>1329.4457631664964</v>
      </c>
      <c r="N48" s="332"/>
      <c r="O48" s="333"/>
      <c r="P48" s="333"/>
      <c r="Q48" s="333">
        <f>Q44</f>
        <v>59.905999999999985</v>
      </c>
      <c r="R48" s="332"/>
      <c r="S48" s="333">
        <f>T48*Q48</f>
        <v>420852.24822297785</v>
      </c>
      <c r="T48" s="333">
        <f>T46*1.7</f>
        <v>7025.2102998527353</v>
      </c>
      <c r="U48" s="332"/>
      <c r="V48" s="333">
        <f>V44</f>
        <v>1735</v>
      </c>
      <c r="W48" s="332"/>
      <c r="X48" s="333">
        <f>V48*Y48</f>
        <v>179551.68000000002</v>
      </c>
      <c r="Y48" s="451">
        <f>Y46*1.2</f>
        <v>103.48800000000001</v>
      </c>
    </row>
    <row r="49" spans="2:25" x14ac:dyDescent="0.25">
      <c r="C49" s="449">
        <v>2019</v>
      </c>
      <c r="D49" s="450"/>
      <c r="E49" s="450"/>
      <c r="F49" s="450" t="s">
        <v>168</v>
      </c>
      <c r="J49" s="328">
        <v>2019</v>
      </c>
      <c r="M49" t="s">
        <v>168</v>
      </c>
      <c r="O49" s="328"/>
      <c r="P49" s="328"/>
      <c r="Q49" s="328">
        <v>2019</v>
      </c>
      <c r="T49" t="s">
        <v>168</v>
      </c>
      <c r="V49" s="328">
        <v>2019</v>
      </c>
      <c r="Y49" t="s">
        <v>169</v>
      </c>
    </row>
    <row r="51" spans="2:25" x14ac:dyDescent="0.25">
      <c r="B51" s="379" t="s">
        <v>218</v>
      </c>
    </row>
  </sheetData>
  <mergeCells count="12">
    <mergeCell ref="X31:X42"/>
    <mergeCell ref="Y31:Y42"/>
    <mergeCell ref="V31:V42"/>
    <mergeCell ref="W31:W42"/>
    <mergeCell ref="X7:X18"/>
    <mergeCell ref="Y7:Y18"/>
    <mergeCell ref="V19:V30"/>
    <mergeCell ref="W19:W30"/>
    <mergeCell ref="X19:X30"/>
    <mergeCell ref="Y19:Y30"/>
    <mergeCell ref="V7:V18"/>
    <mergeCell ref="W7:W18"/>
  </mergeCells>
  <pageMargins left="0.7" right="0.7" top="0.78740157499999996" bottom="0.78740157499999996" header="0.3" footer="0.3"/>
  <pageSetup paperSize="9" orientation="portrait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I49"/>
  <sheetViews>
    <sheetView zoomScale="70" zoomScaleNormal="70" workbookViewId="0">
      <selection activeCell="AM66" sqref="AM66"/>
    </sheetView>
  </sheetViews>
  <sheetFormatPr defaultRowHeight="15" x14ac:dyDescent="0.25"/>
  <cols>
    <col min="8" max="14" width="9.140625" customWidth="1"/>
    <col min="15" max="15" width="9" customWidth="1"/>
    <col min="16" max="16" width="9.140625" customWidth="1"/>
    <col min="18" max="23" width="9.140625" customWidth="1"/>
    <col min="25" max="30" width="9.140625" customWidth="1"/>
  </cols>
  <sheetData>
    <row r="2" spans="1:35" x14ac:dyDescent="0.25">
      <c r="A2" s="303"/>
      <c r="B2" s="303"/>
      <c r="C2" s="303"/>
      <c r="D2" s="303"/>
      <c r="E2" s="303"/>
      <c r="F2" s="303"/>
      <c r="G2" s="303"/>
      <c r="H2" s="304"/>
      <c r="I2" s="304"/>
      <c r="J2" s="304"/>
      <c r="K2" s="304"/>
      <c r="L2" s="304"/>
      <c r="M2" s="304"/>
      <c r="N2" s="304"/>
      <c r="O2" s="304"/>
      <c r="P2" s="304"/>
      <c r="Q2" s="303"/>
      <c r="R2" s="303"/>
      <c r="S2" s="303"/>
      <c r="T2" s="303"/>
      <c r="U2" s="303"/>
      <c r="V2" s="303"/>
      <c r="W2" s="303"/>
      <c r="X2" s="303"/>
      <c r="Y2" s="303"/>
      <c r="Z2" s="303"/>
      <c r="AA2" s="303"/>
      <c r="AB2" s="303"/>
      <c r="AC2" s="303"/>
      <c r="AD2" s="303"/>
      <c r="AE2" s="303"/>
      <c r="AF2" s="303"/>
      <c r="AG2" s="303"/>
      <c r="AH2" s="303"/>
      <c r="AI2" s="303"/>
    </row>
    <row r="3" spans="1:35" x14ac:dyDescent="0.25">
      <c r="A3" s="303"/>
      <c r="B3" s="303"/>
      <c r="C3" s="305" t="s">
        <v>206</v>
      </c>
      <c r="D3" s="305"/>
      <c r="E3" s="304"/>
      <c r="F3" s="304"/>
      <c r="G3" s="303"/>
      <c r="H3" s="305" t="s">
        <v>207</v>
      </c>
      <c r="I3" s="305"/>
      <c r="J3" s="304"/>
      <c r="K3" s="304"/>
      <c r="L3" s="304"/>
      <c r="M3" s="443" t="s">
        <v>208</v>
      </c>
      <c r="N3" s="304"/>
      <c r="O3" s="304"/>
      <c r="P3" s="304"/>
      <c r="Q3" s="304"/>
      <c r="R3" s="306" t="s">
        <v>42</v>
      </c>
      <c r="S3" s="306"/>
      <c r="T3" s="306"/>
      <c r="U3" s="303"/>
      <c r="V3" s="303"/>
      <c r="W3" s="303"/>
      <c r="X3" s="303"/>
      <c r="Y3" s="306" t="s">
        <v>43</v>
      </c>
      <c r="Z3" s="303"/>
      <c r="AA3" s="303"/>
      <c r="AB3" s="303"/>
      <c r="AC3" s="303"/>
      <c r="AD3" s="303"/>
      <c r="AE3" s="303"/>
      <c r="AF3" s="303"/>
      <c r="AG3" s="303"/>
      <c r="AH3" s="303"/>
      <c r="AI3" s="303"/>
    </row>
    <row r="4" spans="1:35" x14ac:dyDescent="0.25">
      <c r="A4" s="303"/>
      <c r="B4" s="303"/>
      <c r="C4" s="303" t="s">
        <v>212</v>
      </c>
      <c r="D4" s="304"/>
      <c r="E4" s="304"/>
      <c r="F4" s="304"/>
      <c r="G4" s="303"/>
      <c r="H4" s="303" t="s">
        <v>212</v>
      </c>
      <c r="I4" s="304"/>
      <c r="J4" s="304"/>
      <c r="K4" s="304"/>
      <c r="L4" s="304"/>
      <c r="M4" s="442" t="s">
        <v>205</v>
      </c>
      <c r="N4" s="304"/>
      <c r="O4" s="304"/>
      <c r="P4" s="304"/>
      <c r="Q4" s="304"/>
      <c r="R4" s="303" t="s">
        <v>211</v>
      </c>
      <c r="S4" s="303"/>
      <c r="T4" s="303"/>
      <c r="U4" s="303"/>
      <c r="V4" s="303"/>
      <c r="W4" s="303"/>
      <c r="X4" s="303"/>
      <c r="Y4" s="303" t="s">
        <v>213</v>
      </c>
      <c r="Z4" s="303"/>
      <c r="AA4" s="303"/>
      <c r="AB4" s="303"/>
      <c r="AC4" s="303"/>
      <c r="AD4" s="303"/>
      <c r="AE4" s="303"/>
      <c r="AF4" s="303"/>
      <c r="AG4" s="303"/>
      <c r="AH4" s="303"/>
      <c r="AI4" s="303"/>
    </row>
    <row r="5" spans="1:35" x14ac:dyDescent="0.25">
      <c r="A5" s="303"/>
      <c r="B5" s="303"/>
      <c r="C5" s="307" t="s">
        <v>93</v>
      </c>
      <c r="D5" s="307" t="s">
        <v>3</v>
      </c>
      <c r="E5" s="307" t="s">
        <v>4</v>
      </c>
      <c r="F5" s="307" t="s">
        <v>94</v>
      </c>
      <c r="G5" s="303"/>
      <c r="H5" s="446" t="s">
        <v>93</v>
      </c>
      <c r="I5" s="446" t="s">
        <v>3</v>
      </c>
      <c r="J5" s="446" t="s">
        <v>4</v>
      </c>
      <c r="K5" s="446" t="s">
        <v>94</v>
      </c>
      <c r="L5" s="441"/>
      <c r="M5" s="307" t="s">
        <v>93</v>
      </c>
      <c r="N5" s="307" t="s">
        <v>3</v>
      </c>
      <c r="O5" s="307" t="s">
        <v>4</v>
      </c>
      <c r="P5" s="307" t="s">
        <v>94</v>
      </c>
      <c r="Q5" s="303"/>
      <c r="R5" s="308" t="s">
        <v>150</v>
      </c>
      <c r="S5" s="308" t="s">
        <v>151</v>
      </c>
      <c r="T5" s="308" t="s">
        <v>197</v>
      </c>
      <c r="U5" s="308" t="s">
        <v>3</v>
      </c>
      <c r="V5" s="308" t="s">
        <v>4</v>
      </c>
      <c r="W5" s="308" t="s">
        <v>94</v>
      </c>
      <c r="X5" s="303"/>
      <c r="Y5" s="309" t="s">
        <v>1</v>
      </c>
      <c r="Z5" s="309" t="s">
        <v>3</v>
      </c>
      <c r="AA5" s="309" t="s">
        <v>209</v>
      </c>
      <c r="AB5" s="309" t="s">
        <v>210</v>
      </c>
      <c r="AC5" s="309" t="s">
        <v>4</v>
      </c>
      <c r="AD5" s="309" t="s">
        <v>153</v>
      </c>
      <c r="AE5" s="303"/>
      <c r="AF5" s="303"/>
      <c r="AG5" s="303"/>
      <c r="AH5" s="303"/>
      <c r="AI5" s="303"/>
    </row>
    <row r="6" spans="1:35" x14ac:dyDescent="0.25">
      <c r="A6" s="303"/>
      <c r="B6" s="310"/>
      <c r="C6" s="310"/>
      <c r="D6" s="310"/>
      <c r="E6" s="310"/>
      <c r="F6" s="310"/>
      <c r="G6" s="310"/>
      <c r="H6" s="311"/>
      <c r="I6" s="311"/>
      <c r="J6" s="311"/>
      <c r="K6" s="311"/>
      <c r="L6" s="311"/>
      <c r="M6" s="311"/>
      <c r="N6" s="311"/>
      <c r="O6" s="311"/>
      <c r="P6" s="311"/>
      <c r="Q6" s="303"/>
      <c r="R6" s="312"/>
      <c r="S6" s="312"/>
      <c r="T6" s="312"/>
      <c r="U6" s="312"/>
      <c r="V6" s="312"/>
      <c r="W6" s="312"/>
      <c r="X6" s="303"/>
      <c r="Y6" s="312"/>
      <c r="Z6" s="312"/>
      <c r="AA6" s="312"/>
      <c r="AB6" s="312"/>
      <c r="AC6" s="312"/>
      <c r="AD6" s="312"/>
      <c r="AE6" s="303"/>
      <c r="AF6" s="303"/>
      <c r="AG6" s="303"/>
      <c r="AH6" s="303"/>
      <c r="AI6" s="303"/>
    </row>
    <row r="7" spans="1:35" x14ac:dyDescent="0.25">
      <c r="A7" s="303">
        <v>2019</v>
      </c>
      <c r="B7" s="313" t="s">
        <v>112</v>
      </c>
      <c r="C7" s="584">
        <v>27.302</v>
      </c>
      <c r="D7" s="578">
        <f t="shared" ref="D7" si="0">+E7/1.21</f>
        <v>25595.842975206615</v>
      </c>
      <c r="E7" s="578">
        <v>30970.97</v>
      </c>
      <c r="F7" s="581">
        <f t="shared" ref="F7" si="1">E7/C7</f>
        <v>1134.384660464435</v>
      </c>
      <c r="G7" s="313"/>
      <c r="H7" s="587">
        <v>550.28800000000001</v>
      </c>
      <c r="I7" s="590">
        <f t="shared" ref="I7" si="2">+J7/1.21</f>
        <v>960575.56198347104</v>
      </c>
      <c r="J7" s="590">
        <v>1162296.43</v>
      </c>
      <c r="K7" s="581">
        <f t="shared" ref="K7:K31" si="3">J7/H7</f>
        <v>2112.1602324600935</v>
      </c>
      <c r="L7" s="440"/>
      <c r="M7" s="584">
        <f>H7*84.31%</f>
        <v>463.94781280000007</v>
      </c>
      <c r="N7" s="578">
        <f t="shared" ref="N7" si="4">+O7/1.21</f>
        <v>809861.25630826456</v>
      </c>
      <c r="O7" s="578">
        <f>J7*84.31%</f>
        <v>979932.12013300008</v>
      </c>
      <c r="P7" s="581">
        <f t="shared" ref="P7" si="5">O7/M7</f>
        <v>2112.1602324600935</v>
      </c>
      <c r="Q7" s="314"/>
      <c r="R7" s="438">
        <v>12.162000000000001</v>
      </c>
      <c r="S7" s="438">
        <v>2.2549999999999999</v>
      </c>
      <c r="T7" s="439">
        <f>SUM(R7:S7)</f>
        <v>14.417000000000002</v>
      </c>
      <c r="U7" s="315">
        <f>V7/1.21</f>
        <v>56534.710743801654</v>
      </c>
      <c r="V7" s="315">
        <v>68407</v>
      </c>
      <c r="W7" s="316">
        <f t="shared" ref="W7:W41" si="6">V7/T7</f>
        <v>4744.8845113407779</v>
      </c>
      <c r="X7" s="314"/>
      <c r="Y7" s="315">
        <v>331</v>
      </c>
      <c r="Z7" s="315">
        <f>AC7/1.1</f>
        <v>27711.340909090904</v>
      </c>
      <c r="AA7" s="315">
        <v>17624.094999999998</v>
      </c>
      <c r="AB7" s="315">
        <v>12858.38</v>
      </c>
      <c r="AC7" s="316">
        <f>SUM(AA7:AB7)</f>
        <v>30482.474999999999</v>
      </c>
      <c r="AD7" s="316">
        <f>AC7/Y7</f>
        <v>92.092069486404824</v>
      </c>
      <c r="AE7" s="303"/>
      <c r="AF7" s="313" t="s">
        <v>112</v>
      </c>
      <c r="AG7" s="303">
        <v>2019</v>
      </c>
      <c r="AH7" s="303"/>
      <c r="AI7" s="303"/>
    </row>
    <row r="8" spans="1:35" x14ac:dyDescent="0.25">
      <c r="A8" s="303"/>
      <c r="B8" s="313" t="s">
        <v>113</v>
      </c>
      <c r="C8" s="585"/>
      <c r="D8" s="579"/>
      <c r="E8" s="579"/>
      <c r="F8" s="582"/>
      <c r="G8" s="313"/>
      <c r="H8" s="588"/>
      <c r="I8" s="591"/>
      <c r="J8" s="591"/>
      <c r="K8" s="582"/>
      <c r="L8" s="440"/>
      <c r="M8" s="585"/>
      <c r="N8" s="579"/>
      <c r="O8" s="579"/>
      <c r="P8" s="582"/>
      <c r="Q8" s="314"/>
      <c r="R8" s="438">
        <v>10.289</v>
      </c>
      <c r="S8" s="438">
        <v>2.0179999999999998</v>
      </c>
      <c r="T8" s="439">
        <f t="shared" ref="T8:T42" si="7">SUM(R8:S8)</f>
        <v>12.306999999999999</v>
      </c>
      <c r="U8" s="315">
        <f t="shared" ref="U8:U42" si="8">V8/1.21</f>
        <v>48836.619834710742</v>
      </c>
      <c r="V8" s="315">
        <v>59092.31</v>
      </c>
      <c r="W8" s="316">
        <f t="shared" si="6"/>
        <v>4801.5202730153578</v>
      </c>
      <c r="X8" s="314"/>
      <c r="Y8" s="315">
        <v>384</v>
      </c>
      <c r="Z8" s="315">
        <f t="shared" ref="Z8:Z42" si="9">AC8/1.1</f>
        <v>32148.181818181816</v>
      </c>
      <c r="AA8" s="315">
        <v>20446</v>
      </c>
      <c r="AB8" s="315">
        <v>14917</v>
      </c>
      <c r="AC8" s="316">
        <f t="shared" ref="AC8:AC42" si="10">SUM(AA8:AB8)</f>
        <v>35363</v>
      </c>
      <c r="AD8" s="316">
        <f t="shared" ref="AD8:AD42" si="11">AC8/Y8</f>
        <v>92.091145833333329</v>
      </c>
      <c r="AE8" s="303"/>
      <c r="AF8" s="313" t="s">
        <v>113</v>
      </c>
      <c r="AG8" s="303"/>
      <c r="AH8" s="303"/>
      <c r="AI8" s="303"/>
    </row>
    <row r="9" spans="1:35" x14ac:dyDescent="0.25">
      <c r="A9" s="303"/>
      <c r="B9" s="313" t="s">
        <v>114</v>
      </c>
      <c r="C9" s="585"/>
      <c r="D9" s="579"/>
      <c r="E9" s="579"/>
      <c r="F9" s="582"/>
      <c r="G9" s="313"/>
      <c r="H9" s="588"/>
      <c r="I9" s="591"/>
      <c r="J9" s="591"/>
      <c r="K9" s="582"/>
      <c r="L9" s="440"/>
      <c r="M9" s="585"/>
      <c r="N9" s="579"/>
      <c r="O9" s="579"/>
      <c r="P9" s="582"/>
      <c r="Q9" s="314"/>
      <c r="R9" s="438">
        <v>10.802</v>
      </c>
      <c r="S9" s="438">
        <v>2.2130000000000001</v>
      </c>
      <c r="T9" s="439">
        <f t="shared" si="7"/>
        <v>13.015000000000001</v>
      </c>
      <c r="U9" s="315">
        <f t="shared" si="8"/>
        <v>51352.082644628099</v>
      </c>
      <c r="V9" s="315">
        <v>62136.02</v>
      </c>
      <c r="W9" s="316">
        <f t="shared" si="6"/>
        <v>4774.1851709565881</v>
      </c>
      <c r="X9" s="314"/>
      <c r="Y9" s="315">
        <v>354</v>
      </c>
      <c r="Z9" s="315">
        <f t="shared" si="9"/>
        <v>29636.363636363632</v>
      </c>
      <c r="AA9" s="315">
        <v>18848</v>
      </c>
      <c r="AB9" s="315">
        <v>13752</v>
      </c>
      <c r="AC9" s="316">
        <f t="shared" si="10"/>
        <v>32600</v>
      </c>
      <c r="AD9" s="316">
        <f t="shared" si="11"/>
        <v>92.090395480225993</v>
      </c>
      <c r="AE9" s="303"/>
      <c r="AF9" s="313" t="s">
        <v>114</v>
      </c>
      <c r="AG9" s="303"/>
      <c r="AH9" s="303"/>
      <c r="AI9" s="303"/>
    </row>
    <row r="10" spans="1:35" x14ac:dyDescent="0.25">
      <c r="A10" s="303"/>
      <c r="B10" s="313" t="s">
        <v>115</v>
      </c>
      <c r="C10" s="585"/>
      <c r="D10" s="579"/>
      <c r="E10" s="579"/>
      <c r="F10" s="582"/>
      <c r="G10" s="313"/>
      <c r="H10" s="588"/>
      <c r="I10" s="591"/>
      <c r="J10" s="591"/>
      <c r="K10" s="582"/>
      <c r="L10" s="440"/>
      <c r="M10" s="585"/>
      <c r="N10" s="579"/>
      <c r="O10" s="579"/>
      <c r="P10" s="582"/>
      <c r="Q10" s="314"/>
      <c r="R10" s="438">
        <v>10.491</v>
      </c>
      <c r="S10" s="438">
        <v>1.9830000000000001</v>
      </c>
      <c r="T10" s="439">
        <f t="shared" si="7"/>
        <v>12.474</v>
      </c>
      <c r="U10" s="315">
        <f t="shared" si="8"/>
        <v>49625.024793388431</v>
      </c>
      <c r="V10" s="315">
        <v>60046.28</v>
      </c>
      <c r="W10" s="316">
        <f t="shared" si="6"/>
        <v>4813.7149270482605</v>
      </c>
      <c r="X10" s="314"/>
      <c r="Y10" s="315">
        <v>389</v>
      </c>
      <c r="Z10" s="315">
        <f t="shared" si="9"/>
        <v>32567.272727272724</v>
      </c>
      <c r="AA10" s="315">
        <v>20712</v>
      </c>
      <c r="AB10" s="315">
        <v>15112</v>
      </c>
      <c r="AC10" s="316">
        <f t="shared" si="10"/>
        <v>35824</v>
      </c>
      <c r="AD10" s="316">
        <f t="shared" si="11"/>
        <v>92.092544987146525</v>
      </c>
      <c r="AE10" s="303"/>
      <c r="AF10" s="313" t="s">
        <v>115</v>
      </c>
      <c r="AG10" s="303"/>
      <c r="AH10" s="303"/>
      <c r="AI10" s="303"/>
    </row>
    <row r="11" spans="1:35" x14ac:dyDescent="0.25">
      <c r="A11" s="303"/>
      <c r="B11" s="313" t="s">
        <v>116</v>
      </c>
      <c r="C11" s="585"/>
      <c r="D11" s="579"/>
      <c r="E11" s="579"/>
      <c r="F11" s="582"/>
      <c r="G11" s="313"/>
      <c r="H11" s="588"/>
      <c r="I11" s="591"/>
      <c r="J11" s="591"/>
      <c r="K11" s="582"/>
      <c r="L11" s="440"/>
      <c r="M11" s="585"/>
      <c r="N11" s="579"/>
      <c r="O11" s="579"/>
      <c r="P11" s="582"/>
      <c r="Q11" s="314"/>
      <c r="R11" s="438">
        <v>11.157</v>
      </c>
      <c r="S11" s="438">
        <v>1.968</v>
      </c>
      <c r="T11" s="439">
        <f t="shared" si="7"/>
        <v>13.125</v>
      </c>
      <c r="U11" s="315">
        <f t="shared" si="8"/>
        <v>52405.991735537194</v>
      </c>
      <c r="V11" s="315">
        <v>63411.25</v>
      </c>
      <c r="W11" s="316">
        <f t="shared" si="6"/>
        <v>4831.333333333333</v>
      </c>
      <c r="X11" s="314"/>
      <c r="Y11" s="315">
        <v>368</v>
      </c>
      <c r="Z11" s="315">
        <f t="shared" si="9"/>
        <v>30809.090909090908</v>
      </c>
      <c r="AA11" s="315">
        <v>19594</v>
      </c>
      <c r="AB11" s="315">
        <v>14296</v>
      </c>
      <c r="AC11" s="316">
        <f t="shared" si="10"/>
        <v>33890</v>
      </c>
      <c r="AD11" s="316">
        <f t="shared" si="11"/>
        <v>92.092391304347828</v>
      </c>
      <c r="AE11" s="303"/>
      <c r="AF11" s="313" t="s">
        <v>116</v>
      </c>
      <c r="AG11" s="303"/>
      <c r="AH11" s="303"/>
      <c r="AI11" s="303"/>
    </row>
    <row r="12" spans="1:35" x14ac:dyDescent="0.25">
      <c r="A12" s="303"/>
      <c r="B12" s="313" t="s">
        <v>117</v>
      </c>
      <c r="C12" s="585"/>
      <c r="D12" s="579"/>
      <c r="E12" s="579"/>
      <c r="F12" s="582"/>
      <c r="G12" s="313"/>
      <c r="H12" s="588"/>
      <c r="I12" s="591"/>
      <c r="J12" s="591"/>
      <c r="K12" s="582"/>
      <c r="L12" s="440"/>
      <c r="M12" s="585"/>
      <c r="N12" s="579"/>
      <c r="O12" s="579"/>
      <c r="P12" s="582"/>
      <c r="Q12" s="314"/>
      <c r="R12" s="438">
        <v>9.6259999999999994</v>
      </c>
      <c r="S12" s="438">
        <v>1.466</v>
      </c>
      <c r="T12" s="439">
        <f t="shared" si="7"/>
        <v>11.091999999999999</v>
      </c>
      <c r="U12" s="315">
        <f t="shared" si="8"/>
        <v>45043.330578512396</v>
      </c>
      <c r="V12" s="315">
        <v>54502.43</v>
      </c>
      <c r="W12" s="316">
        <f t="shared" si="6"/>
        <v>4913.6702127659582</v>
      </c>
      <c r="X12" s="314"/>
      <c r="Y12" s="315">
        <v>390</v>
      </c>
      <c r="Z12" s="315">
        <f t="shared" si="9"/>
        <v>32649.999999999996</v>
      </c>
      <c r="AA12" s="315">
        <v>20765</v>
      </c>
      <c r="AB12" s="315">
        <v>15150</v>
      </c>
      <c r="AC12" s="316">
        <f t="shared" si="10"/>
        <v>35915</v>
      </c>
      <c r="AD12" s="316">
        <f t="shared" si="11"/>
        <v>92.089743589743591</v>
      </c>
      <c r="AE12" s="303"/>
      <c r="AF12" s="313" t="s">
        <v>117</v>
      </c>
      <c r="AG12" s="303"/>
      <c r="AH12" s="303"/>
      <c r="AI12" s="303"/>
    </row>
    <row r="13" spans="1:35" x14ac:dyDescent="0.25">
      <c r="A13" s="303"/>
      <c r="B13" s="313" t="s">
        <v>118</v>
      </c>
      <c r="C13" s="585"/>
      <c r="D13" s="579"/>
      <c r="E13" s="579"/>
      <c r="F13" s="582"/>
      <c r="G13" s="313"/>
      <c r="H13" s="588"/>
      <c r="I13" s="591"/>
      <c r="J13" s="591"/>
      <c r="K13" s="582"/>
      <c r="L13" s="440"/>
      <c r="M13" s="585"/>
      <c r="N13" s="579"/>
      <c r="O13" s="579"/>
      <c r="P13" s="582"/>
      <c r="Q13" s="314"/>
      <c r="R13" s="438">
        <v>10.093</v>
      </c>
      <c r="S13" s="438">
        <v>1.5149999999999999</v>
      </c>
      <c r="T13" s="439">
        <f t="shared" si="7"/>
        <v>11.608000000000001</v>
      </c>
      <c r="U13" s="315">
        <f t="shared" si="8"/>
        <v>47100.933884297519</v>
      </c>
      <c r="V13" s="315">
        <v>56992.13</v>
      </c>
      <c r="W13" s="316">
        <f t="shared" si="6"/>
        <v>4909.7286354238449</v>
      </c>
      <c r="X13" s="314"/>
      <c r="Y13" s="315">
        <v>407</v>
      </c>
      <c r="Z13" s="315">
        <f t="shared" si="9"/>
        <v>34073.63636363636</v>
      </c>
      <c r="AA13" s="315">
        <v>21670</v>
      </c>
      <c r="AB13" s="315">
        <v>15811</v>
      </c>
      <c r="AC13" s="316">
        <f t="shared" si="10"/>
        <v>37481</v>
      </c>
      <c r="AD13" s="316">
        <f t="shared" si="11"/>
        <v>92.090909090909093</v>
      </c>
      <c r="AE13" s="303"/>
      <c r="AF13" s="313" t="s">
        <v>118</v>
      </c>
      <c r="AG13" s="303"/>
      <c r="AH13" s="303"/>
      <c r="AI13" s="303"/>
    </row>
    <row r="14" spans="1:35" x14ac:dyDescent="0.25">
      <c r="A14" s="303"/>
      <c r="B14" s="313" t="s">
        <v>119</v>
      </c>
      <c r="C14" s="585"/>
      <c r="D14" s="579"/>
      <c r="E14" s="579"/>
      <c r="F14" s="582"/>
      <c r="G14" s="313"/>
      <c r="H14" s="588"/>
      <c r="I14" s="591"/>
      <c r="J14" s="591"/>
      <c r="K14" s="582"/>
      <c r="L14" s="440"/>
      <c r="M14" s="585"/>
      <c r="N14" s="579"/>
      <c r="O14" s="579"/>
      <c r="P14" s="582"/>
      <c r="Q14" s="314"/>
      <c r="R14" s="438">
        <v>10.093999999999999</v>
      </c>
      <c r="S14" s="438">
        <v>1.472</v>
      </c>
      <c r="T14" s="439">
        <f t="shared" si="7"/>
        <v>11.565999999999999</v>
      </c>
      <c r="U14" s="315">
        <f t="shared" si="8"/>
        <v>47027.413223140495</v>
      </c>
      <c r="V14" s="315">
        <v>56903.17</v>
      </c>
      <c r="W14" s="316">
        <f t="shared" si="6"/>
        <v>4919.8659865121908</v>
      </c>
      <c r="X14" s="314"/>
      <c r="Y14" s="315">
        <v>371</v>
      </c>
      <c r="Z14" s="315">
        <f t="shared" si="9"/>
        <v>31059.090909090908</v>
      </c>
      <c r="AA14" s="315">
        <v>19753</v>
      </c>
      <c r="AB14" s="315">
        <v>14412</v>
      </c>
      <c r="AC14" s="316">
        <f t="shared" si="10"/>
        <v>34165</v>
      </c>
      <c r="AD14" s="316">
        <f t="shared" si="11"/>
        <v>92.088948787061994</v>
      </c>
      <c r="AE14" s="303"/>
      <c r="AF14" s="313" t="s">
        <v>119</v>
      </c>
      <c r="AG14" s="303"/>
      <c r="AH14" s="303"/>
      <c r="AI14" s="303"/>
    </row>
    <row r="15" spans="1:35" x14ac:dyDescent="0.25">
      <c r="A15" s="303"/>
      <c r="B15" s="313" t="s">
        <v>120</v>
      </c>
      <c r="C15" s="585"/>
      <c r="D15" s="579"/>
      <c r="E15" s="579"/>
      <c r="F15" s="582"/>
      <c r="G15" s="313"/>
      <c r="H15" s="588"/>
      <c r="I15" s="591"/>
      <c r="J15" s="591"/>
      <c r="K15" s="582"/>
      <c r="L15" s="440"/>
      <c r="M15" s="585"/>
      <c r="N15" s="579"/>
      <c r="O15" s="579"/>
      <c r="P15" s="582"/>
      <c r="Q15" s="314"/>
      <c r="R15" s="438">
        <v>10.425000000000001</v>
      </c>
      <c r="S15" s="438">
        <v>1.7589999999999999</v>
      </c>
      <c r="T15" s="439">
        <f t="shared" si="7"/>
        <v>12.184000000000001</v>
      </c>
      <c r="U15" s="315">
        <f t="shared" si="8"/>
        <v>48941.842975206608</v>
      </c>
      <c r="V15" s="315">
        <v>59219.63</v>
      </c>
      <c r="W15" s="316">
        <f t="shared" si="6"/>
        <v>4860.4423834537092</v>
      </c>
      <c r="X15" s="314"/>
      <c r="Y15" s="315">
        <v>421</v>
      </c>
      <c r="Z15" s="315">
        <f t="shared" si="9"/>
        <v>35246.363636363632</v>
      </c>
      <c r="AA15" s="315">
        <v>22416</v>
      </c>
      <c r="AB15" s="315">
        <v>16355</v>
      </c>
      <c r="AC15" s="316">
        <f t="shared" si="10"/>
        <v>38771</v>
      </c>
      <c r="AD15" s="316">
        <f t="shared" si="11"/>
        <v>92.092636579572442</v>
      </c>
      <c r="AE15" s="303"/>
      <c r="AF15" s="313" t="s">
        <v>120</v>
      </c>
      <c r="AG15" s="303"/>
      <c r="AH15" s="303"/>
      <c r="AI15" s="303"/>
    </row>
    <row r="16" spans="1:35" x14ac:dyDescent="0.25">
      <c r="A16" s="303"/>
      <c r="B16" s="313" t="s">
        <v>121</v>
      </c>
      <c r="C16" s="585"/>
      <c r="D16" s="579"/>
      <c r="E16" s="579"/>
      <c r="F16" s="582"/>
      <c r="G16" s="313"/>
      <c r="H16" s="588"/>
      <c r="I16" s="591"/>
      <c r="J16" s="591"/>
      <c r="K16" s="582"/>
      <c r="L16" s="440"/>
      <c r="M16" s="585"/>
      <c r="N16" s="579"/>
      <c r="O16" s="579"/>
      <c r="P16" s="582"/>
      <c r="Q16" s="314"/>
      <c r="R16" s="438">
        <v>11.19</v>
      </c>
      <c r="S16" s="438">
        <v>1.984</v>
      </c>
      <c r="T16" s="439">
        <f t="shared" si="7"/>
        <v>13.173999999999999</v>
      </c>
      <c r="U16" s="315">
        <f t="shared" si="8"/>
        <v>52561.719008264467</v>
      </c>
      <c r="V16" s="315">
        <v>63599.68</v>
      </c>
      <c r="W16" s="316">
        <f t="shared" si="6"/>
        <v>4827.6666160619407</v>
      </c>
      <c r="X16" s="314"/>
      <c r="Y16" s="315">
        <v>370</v>
      </c>
      <c r="Z16" s="315">
        <f t="shared" si="9"/>
        <v>30975.454545454544</v>
      </c>
      <c r="AA16" s="315">
        <v>19700</v>
      </c>
      <c r="AB16" s="315">
        <v>14373</v>
      </c>
      <c r="AC16" s="316">
        <f t="shared" si="10"/>
        <v>34073</v>
      </c>
      <c r="AD16" s="316">
        <f t="shared" si="11"/>
        <v>92.089189189189185</v>
      </c>
      <c r="AE16" s="303"/>
      <c r="AF16" s="313" t="s">
        <v>121</v>
      </c>
      <c r="AG16" s="303"/>
      <c r="AH16" s="303"/>
      <c r="AI16" s="303"/>
    </row>
    <row r="17" spans="1:35" x14ac:dyDescent="0.25">
      <c r="A17" s="303"/>
      <c r="B17" s="313" t="s">
        <v>122</v>
      </c>
      <c r="C17" s="585"/>
      <c r="D17" s="579"/>
      <c r="E17" s="579"/>
      <c r="F17" s="582"/>
      <c r="G17" s="313"/>
      <c r="H17" s="588"/>
      <c r="I17" s="591"/>
      <c r="J17" s="591"/>
      <c r="K17" s="582"/>
      <c r="L17" s="440"/>
      <c r="M17" s="585"/>
      <c r="N17" s="579"/>
      <c r="O17" s="579"/>
      <c r="P17" s="582"/>
      <c r="Q17" s="314"/>
      <c r="R17" s="438">
        <v>11.2</v>
      </c>
      <c r="S17" s="438">
        <v>1.9690000000000001</v>
      </c>
      <c r="T17" s="439">
        <f t="shared" si="7"/>
        <v>13.168999999999999</v>
      </c>
      <c r="U17" s="315">
        <f t="shared" si="8"/>
        <v>52579.239669421484</v>
      </c>
      <c r="V17" s="315">
        <v>63620.88</v>
      </c>
      <c r="W17" s="316">
        <f t="shared" si="6"/>
        <v>4831.1094236464423</v>
      </c>
      <c r="X17" s="314"/>
      <c r="Y17" s="315">
        <v>367</v>
      </c>
      <c r="Z17" s="315">
        <f t="shared" si="9"/>
        <v>30724.545454545452</v>
      </c>
      <c r="AA17" s="315">
        <v>19540</v>
      </c>
      <c r="AB17" s="315">
        <v>14257</v>
      </c>
      <c r="AC17" s="316">
        <f t="shared" si="10"/>
        <v>33797</v>
      </c>
      <c r="AD17" s="316">
        <f t="shared" si="11"/>
        <v>92.089918256130787</v>
      </c>
      <c r="AE17" s="303"/>
      <c r="AF17" s="313" t="s">
        <v>122</v>
      </c>
      <c r="AG17" s="303"/>
      <c r="AH17" s="303"/>
      <c r="AI17" s="303"/>
    </row>
    <row r="18" spans="1:35" x14ac:dyDescent="0.25">
      <c r="A18" s="303"/>
      <c r="B18" s="313" t="s">
        <v>123</v>
      </c>
      <c r="C18" s="586"/>
      <c r="D18" s="580"/>
      <c r="E18" s="580"/>
      <c r="F18" s="583"/>
      <c r="G18" s="313"/>
      <c r="H18" s="589"/>
      <c r="I18" s="592"/>
      <c r="J18" s="592"/>
      <c r="K18" s="583"/>
      <c r="L18" s="440"/>
      <c r="M18" s="586"/>
      <c r="N18" s="580"/>
      <c r="O18" s="580"/>
      <c r="P18" s="583"/>
      <c r="Q18" s="314"/>
      <c r="R18" s="438">
        <v>12.233000000000001</v>
      </c>
      <c r="S18" s="438">
        <v>2.13</v>
      </c>
      <c r="T18" s="439">
        <f t="shared" si="7"/>
        <v>14.363</v>
      </c>
      <c r="U18" s="315">
        <f t="shared" si="8"/>
        <v>56634.710743801654</v>
      </c>
      <c r="V18" s="315">
        <v>68528</v>
      </c>
      <c r="W18" s="316">
        <f t="shared" si="6"/>
        <v>4771.1480888393789</v>
      </c>
      <c r="X18" s="314"/>
      <c r="Y18" s="315">
        <v>446</v>
      </c>
      <c r="Z18" s="315">
        <f t="shared" si="9"/>
        <v>37604.236363636366</v>
      </c>
      <c r="AA18" s="315">
        <v>23746.34</v>
      </c>
      <c r="AB18" s="315">
        <v>17618.32</v>
      </c>
      <c r="AC18" s="316">
        <f t="shared" si="10"/>
        <v>41364.660000000003</v>
      </c>
      <c r="AD18" s="316">
        <f t="shared" si="11"/>
        <v>92.745874439461886</v>
      </c>
      <c r="AE18" s="303"/>
      <c r="AF18" s="313" t="s">
        <v>123</v>
      </c>
      <c r="AG18" s="303"/>
      <c r="AH18" s="303"/>
      <c r="AI18" s="303"/>
    </row>
    <row r="19" spans="1:35" x14ac:dyDescent="0.25">
      <c r="A19" s="303">
        <v>2020</v>
      </c>
      <c r="B19" s="313" t="s">
        <v>112</v>
      </c>
      <c r="C19" s="584">
        <v>28.524000000000001</v>
      </c>
      <c r="D19" s="578">
        <f t="shared" ref="D19" si="12">+E19/1.21</f>
        <v>26625.140495867767</v>
      </c>
      <c r="E19" s="578">
        <v>32216.42</v>
      </c>
      <c r="F19" s="581">
        <f t="shared" ref="F19" si="13">E19/C19</f>
        <v>1129.44958631328</v>
      </c>
      <c r="G19" s="313"/>
      <c r="H19" s="587">
        <v>490.048</v>
      </c>
      <c r="I19" s="590">
        <f t="shared" ref="I19" si="14">+J19/1.21</f>
        <v>925564.10743801657</v>
      </c>
      <c r="J19" s="590">
        <v>1119932.57</v>
      </c>
      <c r="K19" s="581">
        <f t="shared" si="3"/>
        <v>2285.352802174481</v>
      </c>
      <c r="L19" s="440"/>
      <c r="M19" s="584">
        <f t="shared" ref="M19:O19" si="15">H19*84.31%</f>
        <v>413.15946880000001</v>
      </c>
      <c r="N19" s="578">
        <f t="shared" ref="N19" si="16">+O19/1.21</f>
        <v>780343.09898099187</v>
      </c>
      <c r="O19" s="578">
        <f t="shared" si="15"/>
        <v>944215.14976700011</v>
      </c>
      <c r="P19" s="581">
        <f t="shared" ref="P19" si="17">O19/M19</f>
        <v>2285.352802174481</v>
      </c>
      <c r="Q19" s="314"/>
      <c r="R19" s="438">
        <v>12.509</v>
      </c>
      <c r="S19" s="438">
        <v>2.1150000000000002</v>
      </c>
      <c r="T19" s="439">
        <f t="shared" si="7"/>
        <v>14.624000000000001</v>
      </c>
      <c r="U19" s="315">
        <f t="shared" si="8"/>
        <v>56054.570247933887</v>
      </c>
      <c r="V19" s="315">
        <v>67826.03</v>
      </c>
      <c r="W19" s="316">
        <f t="shared" si="6"/>
        <v>4637.9943927789927</v>
      </c>
      <c r="X19" s="314"/>
      <c r="Y19" s="315">
        <v>420</v>
      </c>
      <c r="Z19" s="315">
        <f t="shared" si="9"/>
        <v>37809.081818181818</v>
      </c>
      <c r="AA19" s="315">
        <v>24163.81</v>
      </c>
      <c r="AB19" s="315">
        <v>17426.18</v>
      </c>
      <c r="AC19" s="316">
        <f t="shared" si="10"/>
        <v>41589.990000000005</v>
      </c>
      <c r="AD19" s="316">
        <f t="shared" si="11"/>
        <v>99.023785714285722</v>
      </c>
      <c r="AE19" s="303"/>
      <c r="AF19" s="313" t="s">
        <v>112</v>
      </c>
      <c r="AG19" s="303">
        <v>2020</v>
      </c>
      <c r="AH19" s="303"/>
      <c r="AI19" s="303"/>
    </row>
    <row r="20" spans="1:35" x14ac:dyDescent="0.25">
      <c r="A20" s="303"/>
      <c r="B20" s="313" t="s">
        <v>113</v>
      </c>
      <c r="C20" s="585"/>
      <c r="D20" s="579"/>
      <c r="E20" s="579"/>
      <c r="F20" s="582"/>
      <c r="G20" s="313"/>
      <c r="H20" s="588"/>
      <c r="I20" s="591"/>
      <c r="J20" s="591"/>
      <c r="K20" s="582"/>
      <c r="L20" s="440"/>
      <c r="M20" s="585"/>
      <c r="N20" s="579"/>
      <c r="O20" s="579"/>
      <c r="P20" s="582"/>
      <c r="Q20" s="314"/>
      <c r="R20" s="438">
        <v>10.881</v>
      </c>
      <c r="S20" s="438">
        <v>1.9570000000000001</v>
      </c>
      <c r="T20" s="439">
        <f t="shared" si="7"/>
        <v>12.838000000000001</v>
      </c>
      <c r="U20" s="315">
        <f t="shared" si="8"/>
        <v>49988.553719008269</v>
      </c>
      <c r="V20" s="315">
        <v>60486.15</v>
      </c>
      <c r="W20" s="316">
        <f t="shared" si="6"/>
        <v>4711.4932232434958</v>
      </c>
      <c r="X20" s="314"/>
      <c r="Y20" s="315">
        <v>340</v>
      </c>
      <c r="Z20" s="315">
        <f t="shared" si="9"/>
        <v>31859.390909090907</v>
      </c>
      <c r="AA20" s="315">
        <v>20449.3</v>
      </c>
      <c r="AB20" s="315">
        <v>14596.03</v>
      </c>
      <c r="AC20" s="316">
        <f t="shared" si="10"/>
        <v>35045.33</v>
      </c>
      <c r="AD20" s="316">
        <f t="shared" si="11"/>
        <v>103.0745</v>
      </c>
      <c r="AE20" s="303"/>
      <c r="AF20" s="313" t="s">
        <v>113</v>
      </c>
      <c r="AG20" s="303"/>
      <c r="AH20" s="303"/>
      <c r="AI20" s="303"/>
    </row>
    <row r="21" spans="1:35" x14ac:dyDescent="0.25">
      <c r="A21" s="303"/>
      <c r="B21" s="313" t="s">
        <v>114</v>
      </c>
      <c r="C21" s="585"/>
      <c r="D21" s="579"/>
      <c r="E21" s="579"/>
      <c r="F21" s="582"/>
      <c r="G21" s="313"/>
      <c r="H21" s="588"/>
      <c r="I21" s="591"/>
      <c r="J21" s="591"/>
      <c r="K21" s="582"/>
      <c r="L21" s="440"/>
      <c r="M21" s="585"/>
      <c r="N21" s="579"/>
      <c r="O21" s="579"/>
      <c r="P21" s="582"/>
      <c r="Q21" s="314"/>
      <c r="R21" s="438">
        <v>11.573</v>
      </c>
      <c r="S21" s="438">
        <v>2.048</v>
      </c>
      <c r="T21" s="439">
        <f t="shared" si="7"/>
        <v>13.621</v>
      </c>
      <c r="U21" s="315">
        <f t="shared" si="8"/>
        <v>52612.247933884297</v>
      </c>
      <c r="V21" s="315">
        <v>63660.82</v>
      </c>
      <c r="W21" s="316">
        <f t="shared" si="6"/>
        <v>4673.7258644739741</v>
      </c>
      <c r="X21" s="314"/>
      <c r="Y21" s="315">
        <v>404</v>
      </c>
      <c r="Z21" s="315">
        <f t="shared" si="9"/>
        <v>37856.454545454544</v>
      </c>
      <c r="AA21" s="315">
        <v>24298.58</v>
      </c>
      <c r="AB21" s="315">
        <v>17343.52</v>
      </c>
      <c r="AC21" s="316">
        <f t="shared" si="10"/>
        <v>41642.100000000006</v>
      </c>
      <c r="AD21" s="316">
        <f t="shared" si="11"/>
        <v>103.07450495049507</v>
      </c>
      <c r="AE21" s="303"/>
      <c r="AF21" s="313" t="s">
        <v>114</v>
      </c>
      <c r="AG21" s="303"/>
      <c r="AH21" s="303"/>
      <c r="AI21" s="303"/>
    </row>
    <row r="22" spans="1:35" x14ac:dyDescent="0.25">
      <c r="A22" s="303"/>
      <c r="B22" s="313" t="s">
        <v>115</v>
      </c>
      <c r="C22" s="585"/>
      <c r="D22" s="579"/>
      <c r="E22" s="579"/>
      <c r="F22" s="582"/>
      <c r="G22" s="313"/>
      <c r="H22" s="588"/>
      <c r="I22" s="591"/>
      <c r="J22" s="591"/>
      <c r="K22" s="582"/>
      <c r="L22" s="440"/>
      <c r="M22" s="585"/>
      <c r="N22" s="579"/>
      <c r="O22" s="579"/>
      <c r="P22" s="582"/>
      <c r="Q22" s="314"/>
      <c r="R22" s="438">
        <v>10.87</v>
      </c>
      <c r="S22" s="438">
        <v>1.875</v>
      </c>
      <c r="T22" s="439">
        <f t="shared" si="7"/>
        <v>12.744999999999999</v>
      </c>
      <c r="U22" s="315">
        <f t="shared" si="8"/>
        <v>49776.826446280989</v>
      </c>
      <c r="V22" s="315">
        <v>60229.96</v>
      </c>
      <c r="W22" s="316">
        <f t="shared" si="6"/>
        <v>4725.7716751667322</v>
      </c>
      <c r="X22" s="314"/>
      <c r="Y22" s="315">
        <v>335</v>
      </c>
      <c r="Z22" s="315">
        <f t="shared" si="9"/>
        <v>31390.872727272723</v>
      </c>
      <c r="AA22" s="315">
        <v>20148.580000000002</v>
      </c>
      <c r="AB22" s="315">
        <v>14381.38</v>
      </c>
      <c r="AC22" s="316">
        <f t="shared" si="10"/>
        <v>34529.96</v>
      </c>
      <c r="AD22" s="316">
        <f t="shared" si="11"/>
        <v>103.07450746268657</v>
      </c>
      <c r="AE22" s="303"/>
      <c r="AF22" s="313" t="s">
        <v>115</v>
      </c>
      <c r="AG22" s="303"/>
      <c r="AH22" s="303"/>
      <c r="AI22" s="303"/>
    </row>
    <row r="23" spans="1:35" x14ac:dyDescent="0.25">
      <c r="A23" s="303"/>
      <c r="B23" s="313" t="s">
        <v>116</v>
      </c>
      <c r="C23" s="585"/>
      <c r="D23" s="579"/>
      <c r="E23" s="579"/>
      <c r="F23" s="582"/>
      <c r="G23" s="313"/>
      <c r="H23" s="588"/>
      <c r="I23" s="591"/>
      <c r="J23" s="591"/>
      <c r="K23" s="582"/>
      <c r="L23" s="440"/>
      <c r="M23" s="585"/>
      <c r="N23" s="579"/>
      <c r="O23" s="579"/>
      <c r="P23" s="582"/>
      <c r="Q23" s="314"/>
      <c r="R23" s="438">
        <v>9.9390000000000001</v>
      </c>
      <c r="S23" s="438">
        <v>1.8029999999999999</v>
      </c>
      <c r="T23" s="439">
        <f t="shared" si="7"/>
        <v>11.742000000000001</v>
      </c>
      <c r="U23" s="315">
        <f t="shared" si="8"/>
        <v>45848.157024793385</v>
      </c>
      <c r="V23" s="315">
        <v>55476.27</v>
      </c>
      <c r="W23" s="316">
        <f t="shared" si="6"/>
        <v>4724.6014307613686</v>
      </c>
      <c r="X23" s="314"/>
      <c r="Y23" s="315">
        <v>270</v>
      </c>
      <c r="Z23" s="315">
        <f t="shared" si="9"/>
        <v>24839.118181818179</v>
      </c>
      <c r="AA23" s="315">
        <v>16127.76</v>
      </c>
      <c r="AB23" s="315">
        <v>11195.27</v>
      </c>
      <c r="AC23" s="316">
        <f t="shared" si="10"/>
        <v>27323.03</v>
      </c>
      <c r="AD23" s="316">
        <f t="shared" si="11"/>
        <v>101.19640740740741</v>
      </c>
      <c r="AE23" s="303"/>
      <c r="AF23" s="313" t="s">
        <v>116</v>
      </c>
      <c r="AG23" s="303"/>
      <c r="AH23" s="303"/>
      <c r="AI23" s="303"/>
    </row>
    <row r="24" spans="1:35" x14ac:dyDescent="0.25">
      <c r="A24" s="303"/>
      <c r="B24" s="313" t="s">
        <v>117</v>
      </c>
      <c r="C24" s="585"/>
      <c r="D24" s="579"/>
      <c r="E24" s="579"/>
      <c r="F24" s="582"/>
      <c r="G24" s="313"/>
      <c r="H24" s="588"/>
      <c r="I24" s="591"/>
      <c r="J24" s="591"/>
      <c r="K24" s="582"/>
      <c r="L24" s="440"/>
      <c r="M24" s="585"/>
      <c r="N24" s="579"/>
      <c r="O24" s="579"/>
      <c r="P24" s="582"/>
      <c r="Q24" s="314"/>
      <c r="R24" s="438">
        <v>9.4260000000000002</v>
      </c>
      <c r="S24" s="438">
        <v>1.274</v>
      </c>
      <c r="T24" s="439">
        <f t="shared" si="7"/>
        <v>10.7</v>
      </c>
      <c r="U24" s="315">
        <f t="shared" si="8"/>
        <v>42686.619834710742</v>
      </c>
      <c r="V24" s="315">
        <v>51650.81</v>
      </c>
      <c r="W24" s="316">
        <f t="shared" si="6"/>
        <v>4827.1785046728974</v>
      </c>
      <c r="X24" s="314"/>
      <c r="Y24" s="315">
        <v>369</v>
      </c>
      <c r="Z24" s="315">
        <f t="shared" si="9"/>
        <v>34014.427272727269</v>
      </c>
      <c r="AA24" s="315">
        <v>22263.62</v>
      </c>
      <c r="AB24" s="315">
        <v>15152.25</v>
      </c>
      <c r="AC24" s="316">
        <f t="shared" si="10"/>
        <v>37415.869999999995</v>
      </c>
      <c r="AD24" s="316">
        <f t="shared" si="11"/>
        <v>101.39802168021679</v>
      </c>
      <c r="AE24" s="303"/>
      <c r="AF24" s="313" t="s">
        <v>117</v>
      </c>
      <c r="AG24" s="303"/>
      <c r="AH24" s="303"/>
      <c r="AI24" s="303"/>
    </row>
    <row r="25" spans="1:35" x14ac:dyDescent="0.25">
      <c r="A25" s="303"/>
      <c r="B25" s="313" t="s">
        <v>118</v>
      </c>
      <c r="C25" s="585"/>
      <c r="D25" s="579"/>
      <c r="E25" s="579"/>
      <c r="F25" s="582"/>
      <c r="G25" s="313"/>
      <c r="H25" s="588"/>
      <c r="I25" s="591"/>
      <c r="J25" s="591"/>
      <c r="K25" s="582"/>
      <c r="L25" s="440"/>
      <c r="M25" s="585"/>
      <c r="N25" s="579"/>
      <c r="O25" s="579"/>
      <c r="P25" s="582"/>
      <c r="Q25" s="314"/>
      <c r="R25" s="438">
        <v>9.298</v>
      </c>
      <c r="S25" s="438">
        <v>1.302</v>
      </c>
      <c r="T25" s="439">
        <f t="shared" si="7"/>
        <v>10.6</v>
      </c>
      <c r="U25" s="315">
        <f t="shared" si="8"/>
        <v>42223.669421487604</v>
      </c>
      <c r="V25" s="315">
        <v>51090.64</v>
      </c>
      <c r="W25" s="316">
        <f t="shared" si="6"/>
        <v>4819.8716981132075</v>
      </c>
      <c r="X25" s="314"/>
      <c r="Y25" s="315">
        <v>360</v>
      </c>
      <c r="Z25" s="315">
        <f t="shared" si="9"/>
        <v>33184.799999999996</v>
      </c>
      <c r="AA25" s="315">
        <v>21720.6</v>
      </c>
      <c r="AB25" s="315">
        <v>14782.68</v>
      </c>
      <c r="AC25" s="316">
        <f t="shared" si="10"/>
        <v>36503.279999999999</v>
      </c>
      <c r="AD25" s="316">
        <f t="shared" si="11"/>
        <v>101.398</v>
      </c>
      <c r="AE25" s="303"/>
      <c r="AF25" s="313" t="s">
        <v>118</v>
      </c>
      <c r="AG25" s="303"/>
      <c r="AH25" s="303"/>
      <c r="AI25" s="303"/>
    </row>
    <row r="26" spans="1:35" x14ac:dyDescent="0.25">
      <c r="A26" s="303"/>
      <c r="B26" s="313" t="s">
        <v>119</v>
      </c>
      <c r="C26" s="585"/>
      <c r="D26" s="579"/>
      <c r="E26" s="579"/>
      <c r="F26" s="582"/>
      <c r="G26" s="313"/>
      <c r="H26" s="588"/>
      <c r="I26" s="591"/>
      <c r="J26" s="591"/>
      <c r="K26" s="582"/>
      <c r="L26" s="440"/>
      <c r="M26" s="585"/>
      <c r="N26" s="579"/>
      <c r="O26" s="579"/>
      <c r="P26" s="582"/>
      <c r="Q26" s="314"/>
      <c r="R26" s="438">
        <v>9.3480000000000008</v>
      </c>
      <c r="S26" s="438">
        <v>1.425</v>
      </c>
      <c r="T26" s="439">
        <f t="shared" si="7"/>
        <v>10.773000000000001</v>
      </c>
      <c r="U26" s="315">
        <f t="shared" si="8"/>
        <v>42677.347107438014</v>
      </c>
      <c r="V26" s="315">
        <v>51639.59</v>
      </c>
      <c r="W26" s="316">
        <f t="shared" si="6"/>
        <v>4793.4270862341027</v>
      </c>
      <c r="X26" s="314"/>
      <c r="Y26" s="315">
        <v>313</v>
      </c>
      <c r="Z26" s="315">
        <f t="shared" si="9"/>
        <v>28852.345454545455</v>
      </c>
      <c r="AA26" s="315">
        <v>18884.86</v>
      </c>
      <c r="AB26" s="315">
        <v>12852.72</v>
      </c>
      <c r="AC26" s="316">
        <f t="shared" si="10"/>
        <v>31737.58</v>
      </c>
      <c r="AD26" s="316">
        <f t="shared" si="11"/>
        <v>101.39801916932907</v>
      </c>
      <c r="AE26" s="303"/>
      <c r="AF26" s="313" t="s">
        <v>119</v>
      </c>
      <c r="AG26" s="303"/>
      <c r="AH26" s="303"/>
      <c r="AI26" s="303"/>
    </row>
    <row r="27" spans="1:35" x14ac:dyDescent="0.25">
      <c r="A27" s="303"/>
      <c r="B27" s="313" t="s">
        <v>120</v>
      </c>
      <c r="C27" s="585"/>
      <c r="D27" s="579"/>
      <c r="E27" s="579"/>
      <c r="F27" s="582"/>
      <c r="G27" s="313"/>
      <c r="H27" s="588"/>
      <c r="I27" s="591"/>
      <c r="J27" s="591"/>
      <c r="K27" s="582"/>
      <c r="L27" s="440"/>
      <c r="M27" s="585"/>
      <c r="N27" s="579"/>
      <c r="O27" s="579"/>
      <c r="P27" s="582"/>
      <c r="Q27" s="314"/>
      <c r="R27" s="438">
        <v>9.5500000000000007</v>
      </c>
      <c r="S27" s="438">
        <v>1.3879999999999999</v>
      </c>
      <c r="T27" s="439">
        <f t="shared" si="7"/>
        <v>10.938000000000001</v>
      </c>
      <c r="U27" s="315">
        <f t="shared" si="8"/>
        <v>43422.578512396693</v>
      </c>
      <c r="V27" s="315">
        <v>52541.32</v>
      </c>
      <c r="W27" s="316">
        <f t="shared" si="6"/>
        <v>4803.558237337721</v>
      </c>
      <c r="X27" s="314"/>
      <c r="Y27" s="315">
        <v>387</v>
      </c>
      <c r="Z27" s="315">
        <f t="shared" si="9"/>
        <v>35673.663636363635</v>
      </c>
      <c r="AA27" s="315">
        <v>23349.65</v>
      </c>
      <c r="AB27" s="315">
        <v>15891.38</v>
      </c>
      <c r="AC27" s="316">
        <f t="shared" si="10"/>
        <v>39241.03</v>
      </c>
      <c r="AD27" s="316">
        <f t="shared" si="11"/>
        <v>101.39801033591731</v>
      </c>
      <c r="AE27" s="303"/>
      <c r="AF27" s="313" t="s">
        <v>120</v>
      </c>
      <c r="AG27" s="303"/>
      <c r="AH27" s="303"/>
      <c r="AI27" s="303"/>
    </row>
    <row r="28" spans="1:35" x14ac:dyDescent="0.25">
      <c r="A28" s="303"/>
      <c r="B28" s="313" t="s">
        <v>121</v>
      </c>
      <c r="C28" s="585"/>
      <c r="D28" s="579"/>
      <c r="E28" s="579"/>
      <c r="F28" s="582"/>
      <c r="G28" s="313"/>
      <c r="H28" s="588"/>
      <c r="I28" s="591"/>
      <c r="J28" s="591"/>
      <c r="K28" s="582"/>
      <c r="L28" s="440"/>
      <c r="M28" s="585"/>
      <c r="N28" s="579"/>
      <c r="O28" s="579"/>
      <c r="P28" s="582"/>
      <c r="Q28" s="314"/>
      <c r="R28" s="438">
        <v>10.220000000000001</v>
      </c>
      <c r="S28" s="438">
        <v>2.0760000000000001</v>
      </c>
      <c r="T28" s="439">
        <f t="shared" si="7"/>
        <v>12.296000000000001</v>
      </c>
      <c r="U28" s="315">
        <f t="shared" si="8"/>
        <v>47545.768595041322</v>
      </c>
      <c r="V28" s="315">
        <v>57530.38</v>
      </c>
      <c r="W28" s="316">
        <f t="shared" si="6"/>
        <v>4678.7882238126213</v>
      </c>
      <c r="X28" s="314"/>
      <c r="Y28" s="315">
        <v>332</v>
      </c>
      <c r="Z28" s="315">
        <f t="shared" si="9"/>
        <v>30603.763636363634</v>
      </c>
      <c r="AA28" s="315">
        <v>20031.22</v>
      </c>
      <c r="AB28" s="315">
        <v>13632.92</v>
      </c>
      <c r="AC28" s="316">
        <f t="shared" si="10"/>
        <v>33664.14</v>
      </c>
      <c r="AD28" s="316">
        <f t="shared" si="11"/>
        <v>101.39801204819277</v>
      </c>
      <c r="AE28" s="303"/>
      <c r="AF28" s="313" t="s">
        <v>121</v>
      </c>
      <c r="AG28" s="303"/>
      <c r="AH28" s="303"/>
      <c r="AI28" s="303"/>
    </row>
    <row r="29" spans="1:35" x14ac:dyDescent="0.25">
      <c r="A29" s="303"/>
      <c r="B29" s="313" t="s">
        <v>122</v>
      </c>
      <c r="C29" s="585"/>
      <c r="D29" s="579"/>
      <c r="E29" s="579"/>
      <c r="F29" s="582"/>
      <c r="G29" s="313"/>
      <c r="H29" s="588"/>
      <c r="I29" s="591"/>
      <c r="J29" s="591"/>
      <c r="K29" s="582"/>
      <c r="L29" s="440"/>
      <c r="M29" s="585"/>
      <c r="N29" s="579"/>
      <c r="O29" s="579"/>
      <c r="P29" s="582"/>
      <c r="Q29" s="314"/>
      <c r="R29" s="438">
        <v>10.670999999999999</v>
      </c>
      <c r="S29" s="438">
        <v>2.1509999999999998</v>
      </c>
      <c r="T29" s="439">
        <f t="shared" si="7"/>
        <v>12.821999999999999</v>
      </c>
      <c r="U29" s="315">
        <f t="shared" si="8"/>
        <v>49814.85123966942</v>
      </c>
      <c r="V29" s="315">
        <v>60275.97</v>
      </c>
      <c r="W29" s="316">
        <f t="shared" si="6"/>
        <v>4700.9803462798318</v>
      </c>
      <c r="X29" s="314"/>
      <c r="Y29" s="315">
        <v>280</v>
      </c>
      <c r="Z29" s="315">
        <f t="shared" si="9"/>
        <v>25810.399999999998</v>
      </c>
      <c r="AA29" s="315">
        <v>16893.8</v>
      </c>
      <c r="AB29" s="315">
        <v>11497.64</v>
      </c>
      <c r="AC29" s="316">
        <f t="shared" si="10"/>
        <v>28391.439999999999</v>
      </c>
      <c r="AD29" s="316">
        <f t="shared" si="11"/>
        <v>101.398</v>
      </c>
      <c r="AE29" s="303"/>
      <c r="AF29" s="313" t="s">
        <v>122</v>
      </c>
      <c r="AG29" s="303"/>
      <c r="AH29" s="303"/>
      <c r="AI29" s="303"/>
    </row>
    <row r="30" spans="1:35" x14ac:dyDescent="0.25">
      <c r="A30" s="303"/>
      <c r="B30" s="313" t="s">
        <v>123</v>
      </c>
      <c r="C30" s="586"/>
      <c r="D30" s="580"/>
      <c r="E30" s="580"/>
      <c r="F30" s="583"/>
      <c r="G30" s="313"/>
      <c r="H30" s="589"/>
      <c r="I30" s="592"/>
      <c r="J30" s="592"/>
      <c r="K30" s="583"/>
      <c r="L30" s="440"/>
      <c r="M30" s="586"/>
      <c r="N30" s="580"/>
      <c r="O30" s="580"/>
      <c r="P30" s="583"/>
      <c r="Q30" s="314"/>
      <c r="R30" s="438">
        <v>11.891</v>
      </c>
      <c r="S30" s="438">
        <v>2.2109999999999999</v>
      </c>
      <c r="T30" s="439">
        <f t="shared" si="7"/>
        <v>14.102</v>
      </c>
      <c r="U30" s="315">
        <f t="shared" si="8"/>
        <v>55057.892561983477</v>
      </c>
      <c r="V30" s="315">
        <v>66620.05</v>
      </c>
      <c r="W30" s="316">
        <f t="shared" si="6"/>
        <v>4724.1561480641049</v>
      </c>
      <c r="X30" s="314"/>
      <c r="Y30" s="315">
        <v>298</v>
      </c>
      <c r="Z30" s="315">
        <f t="shared" si="9"/>
        <v>27469.636363636364</v>
      </c>
      <c r="AA30" s="315">
        <v>17979.830000000002</v>
      </c>
      <c r="AB30" s="315">
        <v>12236.77</v>
      </c>
      <c r="AC30" s="316">
        <f t="shared" si="10"/>
        <v>30216.600000000002</v>
      </c>
      <c r="AD30" s="316">
        <f t="shared" si="11"/>
        <v>101.39798657718121</v>
      </c>
      <c r="AE30" s="303"/>
      <c r="AF30" s="313" t="s">
        <v>123</v>
      </c>
      <c r="AG30" s="303"/>
      <c r="AH30" s="303"/>
      <c r="AI30" s="303"/>
    </row>
    <row r="31" spans="1:35" x14ac:dyDescent="0.25">
      <c r="A31" s="303">
        <v>2021</v>
      </c>
      <c r="B31" s="313" t="s">
        <v>112</v>
      </c>
      <c r="C31" s="584">
        <v>29.131</v>
      </c>
      <c r="D31" s="578">
        <f t="shared" ref="D31" si="18">+E31/1.21</f>
        <v>19629.537190082647</v>
      </c>
      <c r="E31" s="578">
        <v>23751.74</v>
      </c>
      <c r="F31" s="581">
        <f t="shared" ref="F31" si="19">E31/C31</f>
        <v>815.34241872918892</v>
      </c>
      <c r="G31" s="313"/>
      <c r="H31" s="587">
        <v>494.30700000000002</v>
      </c>
      <c r="I31" s="590">
        <f t="shared" ref="I31" si="20">+J31/1.21</f>
        <v>827883.3305785124</v>
      </c>
      <c r="J31" s="590">
        <v>1001738.83</v>
      </c>
      <c r="K31" s="581">
        <f t="shared" si="3"/>
        <v>2026.5519808540034</v>
      </c>
      <c r="L31" s="440"/>
      <c r="M31" s="584">
        <f t="shared" ref="M31:O31" si="21">H31*84.31%</f>
        <v>416.75023170000003</v>
      </c>
      <c r="N31" s="578">
        <f t="shared" ref="N31" si="22">+O31/1.21</f>
        <v>697988.43601074384</v>
      </c>
      <c r="O31" s="578">
        <f t="shared" si="21"/>
        <v>844566.00757300004</v>
      </c>
      <c r="P31" s="581">
        <f t="shared" ref="P31" si="23">O31/M31</f>
        <v>2026.5519808540037</v>
      </c>
      <c r="Q31" s="314"/>
      <c r="R31" s="438">
        <v>12.182</v>
      </c>
      <c r="S31" s="438">
        <v>2.2280000000000002</v>
      </c>
      <c r="T31" s="439">
        <f t="shared" si="7"/>
        <v>14.41</v>
      </c>
      <c r="U31" s="315">
        <f t="shared" si="8"/>
        <v>52197.123966942148</v>
      </c>
      <c r="V31" s="315">
        <v>63158.52</v>
      </c>
      <c r="W31" s="316">
        <f t="shared" si="6"/>
        <v>4382.9646079111726</v>
      </c>
      <c r="X31" s="314"/>
      <c r="Y31" s="315">
        <v>352</v>
      </c>
      <c r="Z31" s="315">
        <f t="shared" si="9"/>
        <v>33338.363636363632</v>
      </c>
      <c r="AA31" s="315">
        <v>21605.759999999998</v>
      </c>
      <c r="AB31" s="315">
        <v>15066.44</v>
      </c>
      <c r="AC31" s="316">
        <f t="shared" si="10"/>
        <v>36672.199999999997</v>
      </c>
      <c r="AD31" s="316">
        <f t="shared" si="11"/>
        <v>104.18238636363635</v>
      </c>
      <c r="AE31" s="303"/>
      <c r="AF31" s="313" t="s">
        <v>112</v>
      </c>
      <c r="AG31" s="303">
        <v>2021</v>
      </c>
      <c r="AH31" s="303"/>
      <c r="AI31" s="303"/>
    </row>
    <row r="32" spans="1:35" x14ac:dyDescent="0.25">
      <c r="A32" s="303"/>
      <c r="B32" s="313" t="s">
        <v>113</v>
      </c>
      <c r="C32" s="585"/>
      <c r="D32" s="579"/>
      <c r="E32" s="579"/>
      <c r="F32" s="582"/>
      <c r="G32" s="313"/>
      <c r="H32" s="588"/>
      <c r="I32" s="591"/>
      <c r="J32" s="591"/>
      <c r="K32" s="582"/>
      <c r="L32" s="440"/>
      <c r="M32" s="585"/>
      <c r="N32" s="579"/>
      <c r="O32" s="579"/>
      <c r="P32" s="582"/>
      <c r="Q32" s="314"/>
      <c r="R32" s="438">
        <v>12.032</v>
      </c>
      <c r="S32" s="438">
        <v>2.028</v>
      </c>
      <c r="T32" s="439">
        <f t="shared" si="7"/>
        <v>14.06</v>
      </c>
      <c r="U32" s="315">
        <f t="shared" si="8"/>
        <v>51258.198347107435</v>
      </c>
      <c r="V32" s="315">
        <v>62022.42</v>
      </c>
      <c r="W32" s="316">
        <f t="shared" si="6"/>
        <v>4411.2674253200566</v>
      </c>
      <c r="X32" s="314"/>
      <c r="Y32" s="315">
        <v>354</v>
      </c>
      <c r="Z32" s="315">
        <f t="shared" si="9"/>
        <v>34065.418181818175</v>
      </c>
      <c r="AA32" s="315">
        <v>21950.48</v>
      </c>
      <c r="AB32" s="315">
        <v>15521.48</v>
      </c>
      <c r="AC32" s="316">
        <f t="shared" si="10"/>
        <v>37471.96</v>
      </c>
      <c r="AD32" s="316">
        <f t="shared" si="11"/>
        <v>105.85299435028249</v>
      </c>
      <c r="AE32" s="303"/>
      <c r="AF32" s="313" t="s">
        <v>113</v>
      </c>
      <c r="AG32" s="303"/>
      <c r="AH32" s="303"/>
      <c r="AI32" s="303"/>
    </row>
    <row r="33" spans="1:35" x14ac:dyDescent="0.25">
      <c r="A33" s="303"/>
      <c r="B33" s="313" t="s">
        <v>114</v>
      </c>
      <c r="C33" s="585"/>
      <c r="D33" s="579"/>
      <c r="E33" s="579"/>
      <c r="F33" s="582"/>
      <c r="G33" s="313"/>
      <c r="H33" s="588"/>
      <c r="I33" s="591"/>
      <c r="J33" s="591"/>
      <c r="K33" s="582"/>
      <c r="L33" s="440"/>
      <c r="M33" s="585"/>
      <c r="N33" s="579"/>
      <c r="O33" s="579"/>
      <c r="P33" s="582"/>
      <c r="Q33" s="314"/>
      <c r="R33" s="438">
        <v>12.613</v>
      </c>
      <c r="S33" s="438">
        <v>2.2570000000000001</v>
      </c>
      <c r="T33" s="439">
        <f t="shared" si="7"/>
        <v>14.87</v>
      </c>
      <c r="U33" s="315">
        <f t="shared" si="8"/>
        <v>53871.041322314049</v>
      </c>
      <c r="V33" s="315">
        <v>65183.96</v>
      </c>
      <c r="W33" s="316">
        <f t="shared" si="6"/>
        <v>4383.588433086752</v>
      </c>
      <c r="X33" s="314"/>
      <c r="Y33" s="315">
        <v>352</v>
      </c>
      <c r="Z33" s="315">
        <f t="shared" si="9"/>
        <v>33872.536363636362</v>
      </c>
      <c r="AA33" s="315">
        <v>21826</v>
      </c>
      <c r="AB33" s="315">
        <v>15433.79</v>
      </c>
      <c r="AC33" s="316">
        <f t="shared" si="10"/>
        <v>37259.79</v>
      </c>
      <c r="AD33" s="316">
        <f t="shared" si="11"/>
        <v>105.85167613636364</v>
      </c>
      <c r="AE33" s="303"/>
      <c r="AF33" s="313" t="s">
        <v>114</v>
      </c>
      <c r="AG33" s="303"/>
      <c r="AH33" s="303"/>
      <c r="AI33" s="303"/>
    </row>
    <row r="34" spans="1:35" x14ac:dyDescent="0.25">
      <c r="A34" s="303"/>
      <c r="B34" s="313" t="s">
        <v>115</v>
      </c>
      <c r="C34" s="585"/>
      <c r="D34" s="579"/>
      <c r="E34" s="579"/>
      <c r="F34" s="582"/>
      <c r="G34" s="313"/>
      <c r="H34" s="588"/>
      <c r="I34" s="591"/>
      <c r="J34" s="591"/>
      <c r="K34" s="582"/>
      <c r="L34" s="440"/>
      <c r="M34" s="585"/>
      <c r="N34" s="579"/>
      <c r="O34" s="579"/>
      <c r="P34" s="582"/>
      <c r="Q34" s="314"/>
      <c r="R34" s="438">
        <v>11.824</v>
      </c>
      <c r="S34" s="438">
        <v>2.121</v>
      </c>
      <c r="T34" s="439">
        <f t="shared" si="7"/>
        <v>13.945</v>
      </c>
      <c r="U34" s="315">
        <f t="shared" si="8"/>
        <v>50651.140495867767</v>
      </c>
      <c r="V34" s="315">
        <v>61287.88</v>
      </c>
      <c r="W34" s="316">
        <f t="shared" si="6"/>
        <v>4394.9716744352809</v>
      </c>
      <c r="X34" s="314"/>
      <c r="Y34" s="315">
        <v>351</v>
      </c>
      <c r="Z34" s="315">
        <f t="shared" si="9"/>
        <v>33776.736363636366</v>
      </c>
      <c r="AA34" s="315">
        <v>21764.46</v>
      </c>
      <c r="AB34" s="315">
        <v>15389.95</v>
      </c>
      <c r="AC34" s="316">
        <f t="shared" si="10"/>
        <v>37154.410000000003</v>
      </c>
      <c r="AD34" s="316">
        <f t="shared" si="11"/>
        <v>105.85301994301996</v>
      </c>
      <c r="AE34" s="303"/>
      <c r="AF34" s="313" t="s">
        <v>115</v>
      </c>
      <c r="AG34" s="303"/>
      <c r="AH34" s="303"/>
      <c r="AI34" s="303"/>
    </row>
    <row r="35" spans="1:35" x14ac:dyDescent="0.25">
      <c r="A35" s="303"/>
      <c r="B35" s="313" t="s">
        <v>116</v>
      </c>
      <c r="C35" s="585"/>
      <c r="D35" s="579"/>
      <c r="E35" s="579"/>
      <c r="F35" s="582"/>
      <c r="G35" s="313"/>
      <c r="H35" s="588"/>
      <c r="I35" s="591"/>
      <c r="J35" s="591"/>
      <c r="K35" s="582"/>
      <c r="L35" s="440"/>
      <c r="M35" s="585"/>
      <c r="N35" s="579"/>
      <c r="O35" s="579"/>
      <c r="P35" s="582"/>
      <c r="Q35" s="314"/>
      <c r="R35" s="438">
        <v>11.198</v>
      </c>
      <c r="S35" s="438">
        <v>2.0099999999999998</v>
      </c>
      <c r="T35" s="439">
        <f t="shared" si="7"/>
        <v>13.208</v>
      </c>
      <c r="U35" s="315">
        <f t="shared" si="8"/>
        <v>48090.63636363636</v>
      </c>
      <c r="V35" s="315">
        <v>58189.67</v>
      </c>
      <c r="W35" s="316">
        <f t="shared" si="6"/>
        <v>4405.6382495457301</v>
      </c>
      <c r="X35" s="314"/>
      <c r="Y35" s="315">
        <v>341</v>
      </c>
      <c r="Z35" s="315">
        <f t="shared" si="9"/>
        <v>32814.436363636356</v>
      </c>
      <c r="AA35" s="315">
        <v>21144.39</v>
      </c>
      <c r="AB35" s="315">
        <v>14951.49</v>
      </c>
      <c r="AC35" s="316">
        <f t="shared" si="10"/>
        <v>36095.879999999997</v>
      </c>
      <c r="AD35" s="316">
        <f t="shared" si="11"/>
        <v>105.85302052785923</v>
      </c>
      <c r="AE35" s="303"/>
      <c r="AF35" s="313" t="s">
        <v>116</v>
      </c>
      <c r="AG35" s="303"/>
      <c r="AH35" s="303"/>
      <c r="AI35" s="303"/>
    </row>
    <row r="36" spans="1:35" x14ac:dyDescent="0.25">
      <c r="A36" s="303"/>
      <c r="B36" s="313" t="s">
        <v>117</v>
      </c>
      <c r="C36" s="585"/>
      <c r="D36" s="579"/>
      <c r="E36" s="579"/>
      <c r="F36" s="582"/>
      <c r="G36" s="313"/>
      <c r="H36" s="588"/>
      <c r="I36" s="591"/>
      <c r="J36" s="591"/>
      <c r="K36" s="582"/>
      <c r="L36" s="440"/>
      <c r="M36" s="585"/>
      <c r="N36" s="579"/>
      <c r="O36" s="579"/>
      <c r="P36" s="582"/>
      <c r="Q36" s="314"/>
      <c r="R36" s="438">
        <v>9.6869999999999994</v>
      </c>
      <c r="S36" s="438">
        <v>1.304</v>
      </c>
      <c r="T36" s="439">
        <f t="shared" si="7"/>
        <v>10.991</v>
      </c>
      <c r="U36" s="315">
        <f t="shared" si="8"/>
        <v>41088.190082644629</v>
      </c>
      <c r="V36" s="315">
        <v>49716.71</v>
      </c>
      <c r="W36" s="316">
        <f t="shared" si="6"/>
        <v>4523.4018742607586</v>
      </c>
      <c r="X36" s="314"/>
      <c r="Y36" s="315">
        <v>388</v>
      </c>
      <c r="Z36" s="315">
        <f t="shared" si="9"/>
        <v>37337.245454545453</v>
      </c>
      <c r="AA36" s="315">
        <v>24058.720000000001</v>
      </c>
      <c r="AB36" s="315">
        <v>17012.25</v>
      </c>
      <c r="AC36" s="316">
        <f t="shared" si="10"/>
        <v>41070.97</v>
      </c>
      <c r="AD36" s="316">
        <f t="shared" si="11"/>
        <v>105.85301546391753</v>
      </c>
      <c r="AE36" s="303"/>
      <c r="AF36" s="313" t="s">
        <v>117</v>
      </c>
      <c r="AG36" s="303"/>
      <c r="AH36" s="303"/>
      <c r="AI36" s="303"/>
    </row>
    <row r="37" spans="1:35" x14ac:dyDescent="0.25">
      <c r="A37" s="303"/>
      <c r="B37" s="313" t="s">
        <v>118</v>
      </c>
      <c r="C37" s="585"/>
      <c r="D37" s="579"/>
      <c r="E37" s="579"/>
      <c r="F37" s="582"/>
      <c r="G37" s="313"/>
      <c r="H37" s="588"/>
      <c r="I37" s="591"/>
      <c r="J37" s="591"/>
      <c r="K37" s="582"/>
      <c r="L37" s="440"/>
      <c r="M37" s="585"/>
      <c r="N37" s="579"/>
      <c r="O37" s="579"/>
      <c r="P37" s="582"/>
      <c r="Q37" s="314"/>
      <c r="R37" s="438">
        <v>9.4819999999999993</v>
      </c>
      <c r="S37" s="438">
        <v>1.365</v>
      </c>
      <c r="T37" s="439">
        <f t="shared" si="7"/>
        <v>10.847</v>
      </c>
      <c r="U37" s="315">
        <f t="shared" si="8"/>
        <v>40432.347107438014</v>
      </c>
      <c r="V37" s="315">
        <v>48923.14</v>
      </c>
      <c r="W37" s="316">
        <f t="shared" si="6"/>
        <v>4510.2922467041581</v>
      </c>
      <c r="X37" s="314"/>
      <c r="Y37" s="315">
        <v>391</v>
      </c>
      <c r="Z37" s="315">
        <f t="shared" si="9"/>
        <v>37625.936363636356</v>
      </c>
      <c r="AA37" s="315">
        <v>24244.74</v>
      </c>
      <c r="AB37" s="315">
        <v>17143.79</v>
      </c>
      <c r="AC37" s="316">
        <f t="shared" si="10"/>
        <v>41388.53</v>
      </c>
      <c r="AD37" s="316">
        <f t="shared" si="11"/>
        <v>105.85301790281329</v>
      </c>
      <c r="AE37" s="303"/>
      <c r="AF37" s="313" t="s">
        <v>118</v>
      </c>
      <c r="AG37" s="303"/>
      <c r="AH37" s="303"/>
      <c r="AI37" s="303"/>
    </row>
    <row r="38" spans="1:35" x14ac:dyDescent="0.25">
      <c r="A38" s="303"/>
      <c r="B38" s="313" t="s">
        <v>119</v>
      </c>
      <c r="C38" s="585"/>
      <c r="D38" s="579"/>
      <c r="E38" s="579"/>
      <c r="F38" s="582"/>
      <c r="G38" s="313"/>
      <c r="H38" s="588"/>
      <c r="I38" s="591"/>
      <c r="J38" s="591"/>
      <c r="K38" s="582"/>
      <c r="L38" s="440"/>
      <c r="M38" s="585"/>
      <c r="N38" s="579"/>
      <c r="O38" s="579"/>
      <c r="P38" s="582"/>
      <c r="Q38" s="314"/>
      <c r="R38" s="438">
        <v>10.154</v>
      </c>
      <c r="S38" s="438">
        <v>1.38</v>
      </c>
      <c r="T38" s="439">
        <f t="shared" si="7"/>
        <v>11.533999999999999</v>
      </c>
      <c r="U38" s="315">
        <f t="shared" si="8"/>
        <v>42985.553719008261</v>
      </c>
      <c r="V38" s="315">
        <v>52012.52</v>
      </c>
      <c r="W38" s="316">
        <f t="shared" si="6"/>
        <v>4509.4954048898908</v>
      </c>
      <c r="X38" s="314"/>
      <c r="Y38" s="315">
        <v>404</v>
      </c>
      <c r="Z38" s="315">
        <f t="shared" si="9"/>
        <v>38876.918181818182</v>
      </c>
      <c r="AA38" s="315">
        <v>25050.83</v>
      </c>
      <c r="AB38" s="315">
        <v>17713.78</v>
      </c>
      <c r="AC38" s="316">
        <f t="shared" si="10"/>
        <v>42764.61</v>
      </c>
      <c r="AD38" s="316">
        <f t="shared" si="11"/>
        <v>105.85299504950495</v>
      </c>
      <c r="AE38" s="303"/>
      <c r="AF38" s="313" t="s">
        <v>119</v>
      </c>
      <c r="AG38" s="303"/>
      <c r="AH38" s="303"/>
      <c r="AI38" s="303"/>
    </row>
    <row r="39" spans="1:35" x14ac:dyDescent="0.25">
      <c r="A39" s="303"/>
      <c r="B39" s="313" t="s">
        <v>120</v>
      </c>
      <c r="C39" s="585"/>
      <c r="D39" s="579"/>
      <c r="E39" s="579"/>
      <c r="F39" s="582"/>
      <c r="G39" s="313"/>
      <c r="H39" s="588"/>
      <c r="I39" s="591"/>
      <c r="J39" s="591"/>
      <c r="K39" s="582"/>
      <c r="L39" s="440"/>
      <c r="M39" s="585"/>
      <c r="N39" s="579"/>
      <c r="O39" s="579"/>
      <c r="P39" s="582"/>
      <c r="Q39" s="314"/>
      <c r="R39" s="438">
        <v>10.199999999999999</v>
      </c>
      <c r="S39" s="438">
        <v>1.3380000000000001</v>
      </c>
      <c r="T39" s="439">
        <f t="shared" si="7"/>
        <v>11.538</v>
      </c>
      <c r="U39" s="315">
        <f t="shared" si="8"/>
        <v>43079.603305785124</v>
      </c>
      <c r="V39" s="315">
        <v>52126.32</v>
      </c>
      <c r="W39" s="316">
        <f t="shared" si="6"/>
        <v>4517.7951118044721</v>
      </c>
      <c r="X39" s="314"/>
      <c r="Y39" s="315">
        <v>462</v>
      </c>
      <c r="Z39" s="315">
        <f t="shared" si="9"/>
        <v>44458.254545454547</v>
      </c>
      <c r="AA39" s="315">
        <v>28647.23</v>
      </c>
      <c r="AB39" s="315">
        <v>20256.849999999999</v>
      </c>
      <c r="AC39" s="316">
        <f t="shared" si="10"/>
        <v>48904.08</v>
      </c>
      <c r="AD39" s="316">
        <f t="shared" si="11"/>
        <v>105.85298701298701</v>
      </c>
      <c r="AE39" s="303"/>
      <c r="AF39" s="313" t="s">
        <v>120</v>
      </c>
      <c r="AG39" s="303"/>
      <c r="AH39" s="303"/>
      <c r="AI39" s="303"/>
    </row>
    <row r="40" spans="1:35" x14ac:dyDescent="0.25">
      <c r="A40" s="303"/>
      <c r="B40" s="313" t="s">
        <v>121</v>
      </c>
      <c r="C40" s="585"/>
      <c r="D40" s="579"/>
      <c r="E40" s="579"/>
      <c r="F40" s="582"/>
      <c r="G40" s="313"/>
      <c r="H40" s="588"/>
      <c r="I40" s="591"/>
      <c r="J40" s="591"/>
      <c r="K40" s="582"/>
      <c r="L40" s="440"/>
      <c r="M40" s="585"/>
      <c r="N40" s="579"/>
      <c r="O40" s="579"/>
      <c r="P40" s="582"/>
      <c r="Q40" s="314"/>
      <c r="R40" s="438">
        <v>11.006</v>
      </c>
      <c r="S40" s="438">
        <v>1.7829999999999999</v>
      </c>
      <c r="T40" s="439">
        <f t="shared" si="7"/>
        <v>12.789</v>
      </c>
      <c r="U40" s="315">
        <f t="shared" si="8"/>
        <v>46943.223140495873</v>
      </c>
      <c r="V40" s="315">
        <v>56801.3</v>
      </c>
      <c r="W40" s="316">
        <f t="shared" si="6"/>
        <v>4441.4184064430374</v>
      </c>
      <c r="X40" s="314"/>
      <c r="Y40" s="315">
        <v>313</v>
      </c>
      <c r="Z40" s="315">
        <f t="shared" si="9"/>
        <v>30119.990909090906</v>
      </c>
      <c r="AA40" s="315">
        <v>19408.189999999999</v>
      </c>
      <c r="AB40" s="315">
        <v>13723.8</v>
      </c>
      <c r="AC40" s="316">
        <f t="shared" si="10"/>
        <v>33131.99</v>
      </c>
      <c r="AD40" s="316">
        <f t="shared" si="11"/>
        <v>105.85300319488817</v>
      </c>
      <c r="AE40" s="303"/>
      <c r="AF40" s="313" t="s">
        <v>121</v>
      </c>
      <c r="AG40" s="303"/>
      <c r="AH40" s="303"/>
      <c r="AI40" s="303"/>
    </row>
    <row r="41" spans="1:35" x14ac:dyDescent="0.25">
      <c r="A41" s="303"/>
      <c r="B41" s="313" t="s">
        <v>122</v>
      </c>
      <c r="C41" s="585"/>
      <c r="D41" s="579"/>
      <c r="E41" s="579"/>
      <c r="F41" s="582"/>
      <c r="G41" s="313"/>
      <c r="H41" s="588"/>
      <c r="I41" s="591"/>
      <c r="J41" s="591"/>
      <c r="K41" s="582"/>
      <c r="L41" s="440"/>
      <c r="M41" s="585"/>
      <c r="N41" s="579"/>
      <c r="O41" s="579"/>
      <c r="P41" s="582"/>
      <c r="Q41" s="314"/>
      <c r="R41" s="438">
        <v>11.672000000000001</v>
      </c>
      <c r="S41" s="438">
        <v>1.966</v>
      </c>
      <c r="T41" s="439">
        <f t="shared" si="7"/>
        <v>13.638</v>
      </c>
      <c r="U41" s="315">
        <f t="shared" si="8"/>
        <v>41148.049586776862</v>
      </c>
      <c r="V41" s="315">
        <v>49789.14</v>
      </c>
      <c r="W41" s="316">
        <f t="shared" si="6"/>
        <v>3650.7655081390235</v>
      </c>
      <c r="X41" s="314"/>
      <c r="Y41" s="315">
        <v>384</v>
      </c>
      <c r="Z41" s="315">
        <f t="shared" si="9"/>
        <v>36952.318181818184</v>
      </c>
      <c r="AA41" s="315">
        <v>23810.69</v>
      </c>
      <c r="AB41" s="315">
        <v>16836.86</v>
      </c>
      <c r="AC41" s="316">
        <f t="shared" si="10"/>
        <v>40647.550000000003</v>
      </c>
      <c r="AD41" s="316">
        <f t="shared" si="11"/>
        <v>105.85299479166667</v>
      </c>
      <c r="AE41" s="303"/>
      <c r="AF41" s="313" t="s">
        <v>122</v>
      </c>
      <c r="AG41" s="303"/>
      <c r="AH41" s="303"/>
      <c r="AI41" s="303"/>
    </row>
    <row r="42" spans="1:35" x14ac:dyDescent="0.25">
      <c r="A42" s="303"/>
      <c r="B42" s="313" t="s">
        <v>123</v>
      </c>
      <c r="C42" s="586"/>
      <c r="D42" s="580"/>
      <c r="E42" s="580"/>
      <c r="F42" s="583"/>
      <c r="G42" s="313"/>
      <c r="H42" s="589"/>
      <c r="I42" s="592"/>
      <c r="J42" s="592"/>
      <c r="K42" s="583"/>
      <c r="L42" s="440"/>
      <c r="M42" s="586"/>
      <c r="N42" s="580"/>
      <c r="O42" s="580"/>
      <c r="P42" s="583"/>
      <c r="Q42" s="314"/>
      <c r="R42" s="438">
        <v>11.999000000000001</v>
      </c>
      <c r="S42" s="438">
        <v>2.02</v>
      </c>
      <c r="T42" s="439">
        <f t="shared" si="7"/>
        <v>14.019</v>
      </c>
      <c r="U42" s="315">
        <f t="shared" si="8"/>
        <v>42247.264462809922</v>
      </c>
      <c r="V42" s="315">
        <v>51119.19</v>
      </c>
      <c r="W42" s="316">
        <f>V42/T42</f>
        <v>3646.4219987160282</v>
      </c>
      <c r="X42" s="314"/>
      <c r="Y42" s="315">
        <v>209</v>
      </c>
      <c r="Z42" s="315">
        <f t="shared" si="9"/>
        <v>20111.645454545451</v>
      </c>
      <c r="AA42" s="315">
        <v>12959</v>
      </c>
      <c r="AB42" s="315">
        <v>9163.81</v>
      </c>
      <c r="AC42" s="316">
        <f t="shared" si="10"/>
        <v>22122.809999999998</v>
      </c>
      <c r="AD42" s="316">
        <f t="shared" si="11"/>
        <v>105.85076555023922</v>
      </c>
      <c r="AE42" s="303"/>
      <c r="AF42" s="313" t="s">
        <v>123</v>
      </c>
      <c r="AG42" s="303"/>
      <c r="AH42" s="303"/>
      <c r="AI42" s="303"/>
    </row>
    <row r="44" spans="1:35" x14ac:dyDescent="0.25">
      <c r="B44" s="313">
        <v>2019</v>
      </c>
      <c r="C44" s="127">
        <f>SUM(C7:C18)</f>
        <v>27.302</v>
      </c>
      <c r="D44" s="127">
        <f>SUM(D7:D18)</f>
        <v>25595.842975206615</v>
      </c>
      <c r="E44" s="127">
        <f>SUM(E7:E18)</f>
        <v>30970.97</v>
      </c>
      <c r="F44" s="127">
        <f>E44/C44</f>
        <v>1134.384660464435</v>
      </c>
      <c r="G44" s="313"/>
      <c r="H44" s="127">
        <f>SUM(H7:H18)</f>
        <v>550.28800000000001</v>
      </c>
      <c r="I44" s="127">
        <f>SUM(I7:I18)</f>
        <v>960575.56198347104</v>
      </c>
      <c r="J44" s="127">
        <f>SUM(J7:J18)</f>
        <v>1162296.43</v>
      </c>
      <c r="K44" s="127">
        <f>J44/H44</f>
        <v>2112.1602324600935</v>
      </c>
      <c r="L44" s="127"/>
      <c r="M44" s="127">
        <f>SUM(M7:M18)</f>
        <v>463.94781280000007</v>
      </c>
      <c r="N44" s="127">
        <f>SUM(N7:N18)</f>
        <v>809861.25630826456</v>
      </c>
      <c r="O44" s="127">
        <f>SUM(O7:O18)</f>
        <v>979932.12013300008</v>
      </c>
      <c r="P44" s="127">
        <f>O44/M44</f>
        <v>2112.1602324600935</v>
      </c>
      <c r="R44" s="127">
        <f>SUM(R7:R18)</f>
        <v>129.762</v>
      </c>
      <c r="S44" s="127">
        <f t="shared" ref="S44:T44" si="24">SUM(S7:S18)</f>
        <v>22.731999999999996</v>
      </c>
      <c r="T44" s="127">
        <f t="shared" si="24"/>
        <v>152.49400000000003</v>
      </c>
      <c r="U44" s="127">
        <f>SUM(U7:U18)</f>
        <v>608643.61983471084</v>
      </c>
      <c r="V44" s="127">
        <f>SUM(V7:V18)</f>
        <v>736458.78</v>
      </c>
      <c r="W44" s="127">
        <f t="shared" ref="W44:W45" si="25">V44/T44</f>
        <v>4829.4279119178454</v>
      </c>
      <c r="Y44" s="127">
        <f>SUM(Y7:Y18)</f>
        <v>4598</v>
      </c>
      <c r="Z44" s="127">
        <f>SUM(Z7:Z18)</f>
        <v>385205.57727272727</v>
      </c>
      <c r="AA44" s="127"/>
      <c r="AB44" s="127"/>
      <c r="AC44" s="127">
        <f>SUM(AC7:AC18)</f>
        <v>423726.13500000001</v>
      </c>
      <c r="AD44" s="127">
        <f>AC44/Y44</f>
        <v>92.154444323618961</v>
      </c>
    </row>
    <row r="45" spans="1:35" x14ac:dyDescent="0.25">
      <c r="B45" s="313">
        <v>2020</v>
      </c>
      <c r="C45" s="127">
        <f>SUM(C19:C30)</f>
        <v>28.524000000000001</v>
      </c>
      <c r="D45" s="127">
        <f>SUM(D19:D30)</f>
        <v>26625.140495867767</v>
      </c>
      <c r="E45" s="127">
        <f>SUM(E19:E30)</f>
        <v>32216.42</v>
      </c>
      <c r="F45" s="127">
        <f>E45/C45</f>
        <v>1129.44958631328</v>
      </c>
      <c r="G45" s="313"/>
      <c r="H45" s="127">
        <f>SUM(H19:H30)</f>
        <v>490.048</v>
      </c>
      <c r="I45" s="127">
        <f>SUM(I19:I30)</f>
        <v>925564.10743801657</v>
      </c>
      <c r="J45" s="127">
        <f>SUM(J19:J30)</f>
        <v>1119932.57</v>
      </c>
      <c r="K45" s="127">
        <f>J45/H45</f>
        <v>2285.352802174481</v>
      </c>
      <c r="L45" s="127"/>
      <c r="M45" s="127">
        <f>SUM(M19:M30)</f>
        <v>413.15946880000001</v>
      </c>
      <c r="N45" s="127">
        <f>SUM(N19:N30)</f>
        <v>780343.09898099187</v>
      </c>
      <c r="O45" s="127">
        <f>SUM(O19:O30)</f>
        <v>944215.14976700011</v>
      </c>
      <c r="P45" s="127">
        <f>O45/M45</f>
        <v>2285.352802174481</v>
      </c>
      <c r="R45" s="127">
        <f>SUM(R19:R30)</f>
        <v>126.176</v>
      </c>
      <c r="S45" s="127">
        <f t="shared" ref="S45:T45" si="26">SUM(S19:S30)</f>
        <v>21.624999999999996</v>
      </c>
      <c r="T45" s="127">
        <f t="shared" si="26"/>
        <v>147.80100000000002</v>
      </c>
      <c r="U45" s="127">
        <f>SUM(U19:U30)</f>
        <v>577709.08264462801</v>
      </c>
      <c r="V45" s="127">
        <f>SUM(V19:V30)</f>
        <v>699027.99</v>
      </c>
      <c r="W45" s="127">
        <f t="shared" si="25"/>
        <v>4729.5213834818433</v>
      </c>
      <c r="Y45" s="127">
        <f>SUM(Y19:Y30)</f>
        <v>4108</v>
      </c>
      <c r="Z45" s="127">
        <f>SUM(Z19:Z30)</f>
        <v>379363.95454545453</v>
      </c>
      <c r="AA45" s="127"/>
      <c r="AB45" s="127"/>
      <c r="AC45" s="127">
        <f>SUM(AC19:AC30)</f>
        <v>417300.35000000003</v>
      </c>
      <c r="AD45" s="127">
        <f>AC45/Y45</f>
        <v>101.58236368062319</v>
      </c>
    </row>
    <row r="46" spans="1:35" x14ac:dyDescent="0.25">
      <c r="B46" s="313">
        <v>2021</v>
      </c>
      <c r="C46" s="127">
        <f>SUM(C31:C42)</f>
        <v>29.131</v>
      </c>
      <c r="D46" s="127">
        <f>SUM(D31:D42)</f>
        <v>19629.537190082647</v>
      </c>
      <c r="E46" s="127">
        <f>SUM(E31:E42)</f>
        <v>23751.74</v>
      </c>
      <c r="F46" s="127">
        <f>E46/C46</f>
        <v>815.34241872918892</v>
      </c>
      <c r="G46" s="313"/>
      <c r="H46" s="127">
        <f>SUM(H31:H42)</f>
        <v>494.30700000000002</v>
      </c>
      <c r="I46" s="127">
        <f>SUM(I31:I42)</f>
        <v>827883.3305785124</v>
      </c>
      <c r="J46" s="127">
        <f>SUM(J31:J42)</f>
        <v>1001738.83</v>
      </c>
      <c r="K46" s="127">
        <f>J46/H46</f>
        <v>2026.5519808540034</v>
      </c>
      <c r="L46" s="127"/>
      <c r="M46" s="127">
        <f>SUM(M31:M42)</f>
        <v>416.75023170000003</v>
      </c>
      <c r="N46" s="127">
        <f>SUM(N31:N42)</f>
        <v>697988.43601074384</v>
      </c>
      <c r="O46" s="127">
        <f>SUM(O31:O42)</f>
        <v>844566.00757300004</v>
      </c>
      <c r="P46" s="127">
        <f>O46/M46</f>
        <v>2026.5519808540037</v>
      </c>
      <c r="R46" s="127">
        <f>SUM(R31:R42)</f>
        <v>134.04900000000001</v>
      </c>
      <c r="S46" s="127">
        <f t="shared" ref="S46:T46" si="27">SUM(S31:S42)</f>
        <v>21.800000000000004</v>
      </c>
      <c r="T46" s="127">
        <f t="shared" si="27"/>
        <v>155.84899999999999</v>
      </c>
      <c r="U46" s="127">
        <f>SUM(U31:U42)</f>
        <v>553992.37190082646</v>
      </c>
      <c r="V46" s="127">
        <f>SUM(V31:V42)</f>
        <v>670330.77</v>
      </c>
      <c r="W46" s="127">
        <f>V46/T46</f>
        <v>4301.1554132525716</v>
      </c>
      <c r="Y46" s="127">
        <f>SUM(Y31:Y42)</f>
        <v>4301</v>
      </c>
      <c r="Z46" s="127">
        <f>SUM(Z31:Z42)</f>
        <v>413349.8</v>
      </c>
      <c r="AA46" s="127"/>
      <c r="AB46" s="127"/>
      <c r="AC46" s="127">
        <f>SUM(AC31:AC42)</f>
        <v>454684.77999999997</v>
      </c>
      <c r="AD46" s="127">
        <f>AC46/Y46</f>
        <v>105.71606138107416</v>
      </c>
    </row>
    <row r="48" spans="1:35" x14ac:dyDescent="0.25">
      <c r="B48" s="332" t="s">
        <v>161</v>
      </c>
      <c r="C48" s="332"/>
      <c r="D48" s="332"/>
      <c r="E48" s="332"/>
      <c r="F48" s="332"/>
      <c r="G48" s="332"/>
      <c r="H48" s="447">
        <f>H44</f>
        <v>550.28800000000001</v>
      </c>
      <c r="I48" s="448"/>
      <c r="J48" s="447">
        <f>K48*H48</f>
        <v>1895818.3019483192</v>
      </c>
      <c r="K48" s="447">
        <f>K46*1.7</f>
        <v>3445.1383674518056</v>
      </c>
      <c r="L48" s="333"/>
      <c r="M48" s="333">
        <f>M44</f>
        <v>463.94781280000007</v>
      </c>
      <c r="N48" s="332"/>
      <c r="O48" s="333">
        <f>P48*M48</f>
        <v>1598364.4103726284</v>
      </c>
      <c r="P48" s="333">
        <f>P46*1.7</f>
        <v>3445.1383674518061</v>
      </c>
      <c r="Q48" s="332"/>
      <c r="R48" s="333">
        <f>R44</f>
        <v>129.762</v>
      </c>
      <c r="S48" s="333"/>
      <c r="T48" s="333"/>
      <c r="U48" s="332"/>
      <c r="V48" s="333">
        <f>W48*R48</f>
        <v>948815.09884861636</v>
      </c>
      <c r="W48" s="333">
        <f>W46*1.7</f>
        <v>7311.9642025293715</v>
      </c>
      <c r="X48" s="332"/>
      <c r="Y48" s="333">
        <f>Y44</f>
        <v>4598</v>
      </c>
      <c r="Z48" s="332"/>
      <c r="AA48" s="332"/>
      <c r="AB48" s="332"/>
      <c r="AC48" s="333">
        <f>Y48*AD48</f>
        <v>583298.94027621474</v>
      </c>
      <c r="AD48" s="451">
        <f>AD46*1.2</f>
        <v>126.85927365728898</v>
      </c>
    </row>
    <row r="49" spans="8:30" x14ac:dyDescent="0.25">
      <c r="H49" s="449">
        <v>2019</v>
      </c>
      <c r="I49" s="450"/>
      <c r="J49" s="450"/>
      <c r="K49" s="450" t="s">
        <v>168</v>
      </c>
      <c r="M49" s="328">
        <v>2019</v>
      </c>
      <c r="P49" t="s">
        <v>168</v>
      </c>
      <c r="R49" s="328">
        <v>2019</v>
      </c>
      <c r="S49" s="328"/>
      <c r="T49" s="328"/>
      <c r="W49" t="s">
        <v>168</v>
      </c>
      <c r="Y49" s="328">
        <v>2019</v>
      </c>
      <c r="AD49" t="s">
        <v>169</v>
      </c>
    </row>
  </sheetData>
  <mergeCells count="36">
    <mergeCell ref="M31:M42"/>
    <mergeCell ref="N31:N42"/>
    <mergeCell ref="O31:O42"/>
    <mergeCell ref="P31:P42"/>
    <mergeCell ref="M7:M18"/>
    <mergeCell ref="N7:N18"/>
    <mergeCell ref="O7:O18"/>
    <mergeCell ref="P7:P18"/>
    <mergeCell ref="M19:M30"/>
    <mergeCell ref="N19:N30"/>
    <mergeCell ref="O19:O30"/>
    <mergeCell ref="P19:P30"/>
    <mergeCell ref="H7:H18"/>
    <mergeCell ref="I7:I18"/>
    <mergeCell ref="J7:J18"/>
    <mergeCell ref="H19:H30"/>
    <mergeCell ref="I19:I30"/>
    <mergeCell ref="J19:J30"/>
    <mergeCell ref="I31:I42"/>
    <mergeCell ref="J31:J42"/>
    <mergeCell ref="K7:K18"/>
    <mergeCell ref="K19:K30"/>
    <mergeCell ref="K31:K42"/>
    <mergeCell ref="C31:C42"/>
    <mergeCell ref="D31:D42"/>
    <mergeCell ref="E31:E42"/>
    <mergeCell ref="F31:F42"/>
    <mergeCell ref="H31:H42"/>
    <mergeCell ref="C7:C18"/>
    <mergeCell ref="D7:D18"/>
    <mergeCell ref="E7:E18"/>
    <mergeCell ref="F7:F18"/>
    <mergeCell ref="C19:C30"/>
    <mergeCell ref="D19:D30"/>
    <mergeCell ref="E19:E30"/>
    <mergeCell ref="F19:F30"/>
  </mergeCells>
  <pageMargins left="0.7" right="0.7" top="0.78740157499999996" bottom="0.78740157499999996" header="0.3" footer="0.3"/>
  <pageSetup paperSize="9" orientation="portrait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49"/>
  <sheetViews>
    <sheetView zoomScale="70" zoomScaleNormal="70" workbookViewId="0">
      <selection activeCell="AC47" sqref="AC47"/>
    </sheetView>
  </sheetViews>
  <sheetFormatPr defaultRowHeight="15" x14ac:dyDescent="0.25"/>
  <cols>
    <col min="3" max="3" width="9.28515625" bestFit="1" customWidth="1"/>
    <col min="4" max="4" width="9.28515625" customWidth="1"/>
    <col min="5" max="5" width="11" customWidth="1"/>
    <col min="6" max="6" width="10.7109375" customWidth="1"/>
    <col min="7" max="7" width="12.140625" customWidth="1"/>
    <col min="9" max="9" width="9.28515625" bestFit="1" customWidth="1"/>
    <col min="11" max="12" width="9.28515625" bestFit="1" customWidth="1"/>
    <col min="13" max="13" width="10.28515625" bestFit="1" customWidth="1"/>
    <col min="14" max="18" width="9.28515625" customWidth="1"/>
    <col min="19" max="19" width="14.85546875" bestFit="1" customWidth="1"/>
  </cols>
  <sheetData>
    <row r="1" spans="1:24" ht="26.25" x14ac:dyDescent="0.4">
      <c r="B1" s="341" t="s">
        <v>175</v>
      </c>
    </row>
    <row r="2" spans="1:24" x14ac:dyDescent="0.25">
      <c r="A2" s="303"/>
      <c r="B2" s="303"/>
      <c r="C2" s="304"/>
      <c r="D2" s="304"/>
      <c r="E2" s="304"/>
      <c r="F2" s="304"/>
      <c r="G2" s="304"/>
      <c r="H2" s="303"/>
      <c r="I2" s="303"/>
      <c r="J2" s="303"/>
      <c r="K2" s="303"/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W2" s="303"/>
      <c r="X2" s="303"/>
    </row>
    <row r="3" spans="1:24" x14ac:dyDescent="0.25">
      <c r="A3" s="303"/>
      <c r="B3" s="303"/>
      <c r="C3" s="304"/>
      <c r="D3" s="304"/>
      <c r="E3" s="306" t="s">
        <v>42</v>
      </c>
      <c r="F3" s="306"/>
      <c r="G3" s="306"/>
      <c r="H3" s="303"/>
      <c r="I3" s="303"/>
      <c r="J3" s="306" t="s">
        <v>176</v>
      </c>
      <c r="K3" s="303"/>
      <c r="L3" s="303"/>
      <c r="M3" s="303"/>
      <c r="N3" s="303"/>
      <c r="O3" s="303"/>
      <c r="P3" s="303"/>
      <c r="Q3" s="303"/>
      <c r="R3" s="303"/>
    </row>
    <row r="4" spans="1:24" x14ac:dyDescent="0.25">
      <c r="A4" s="303"/>
      <c r="B4" s="303"/>
      <c r="C4" s="304"/>
      <c r="D4" s="304"/>
      <c r="E4" s="303" t="s">
        <v>177</v>
      </c>
      <c r="F4" s="303"/>
      <c r="G4" s="303"/>
      <c r="H4" s="303"/>
      <c r="I4" s="303"/>
      <c r="J4" s="303" t="s">
        <v>178</v>
      </c>
      <c r="K4" s="303"/>
      <c r="L4" s="303"/>
      <c r="M4" s="303"/>
      <c r="N4" s="303"/>
      <c r="O4" s="303"/>
      <c r="P4" s="303"/>
      <c r="Q4" s="303"/>
      <c r="R4" s="303"/>
    </row>
    <row r="5" spans="1:24" x14ac:dyDescent="0.25">
      <c r="A5" s="303"/>
      <c r="B5" s="303"/>
      <c r="C5" s="308" t="s">
        <v>179</v>
      </c>
      <c r="D5" s="308" t="s">
        <v>180</v>
      </c>
      <c r="E5" s="308" t="s">
        <v>181</v>
      </c>
      <c r="F5" s="308" t="s">
        <v>3</v>
      </c>
      <c r="G5" s="308" t="s">
        <v>4</v>
      </c>
      <c r="H5" s="308" t="s">
        <v>94</v>
      </c>
      <c r="I5" s="303"/>
      <c r="J5" s="309" t="s">
        <v>1</v>
      </c>
      <c r="K5" s="309" t="s">
        <v>3</v>
      </c>
      <c r="L5" s="309" t="s">
        <v>4</v>
      </c>
      <c r="M5" s="309" t="s">
        <v>153</v>
      </c>
      <c r="N5" s="303"/>
      <c r="O5" s="303"/>
      <c r="P5" s="303"/>
      <c r="Q5" s="303"/>
      <c r="R5" s="303"/>
    </row>
    <row r="6" spans="1:24" x14ac:dyDescent="0.25">
      <c r="A6" s="303"/>
      <c r="B6" s="303"/>
      <c r="C6" s="303"/>
      <c r="D6" s="303"/>
      <c r="E6" s="342"/>
      <c r="F6" s="342"/>
      <c r="G6" s="342"/>
      <c r="H6" s="342"/>
      <c r="I6" s="303"/>
      <c r="J6" s="342"/>
      <c r="K6" s="342"/>
      <c r="L6" s="342"/>
      <c r="M6" s="342"/>
      <c r="N6" s="303"/>
      <c r="O6" s="303"/>
      <c r="P6" s="303"/>
      <c r="Q6" s="303"/>
      <c r="R6" s="303"/>
    </row>
    <row r="7" spans="1:24" x14ac:dyDescent="0.25">
      <c r="A7" s="303">
        <v>2019</v>
      </c>
      <c r="B7" s="343" t="s">
        <v>112</v>
      </c>
      <c r="C7" s="344">
        <v>1.6639999999999999</v>
      </c>
      <c r="D7" s="345">
        <v>47.14</v>
      </c>
      <c r="E7" s="346">
        <f>C7+D7</f>
        <v>48.804000000000002</v>
      </c>
      <c r="F7" s="347">
        <v>112266.22</v>
      </c>
      <c r="G7" s="348">
        <f>F7*1.21</f>
        <v>135842.1262</v>
      </c>
      <c r="H7" s="349">
        <f>G7/E7</f>
        <v>2783.4219777067451</v>
      </c>
      <c r="I7" s="314"/>
      <c r="J7" s="350">
        <v>43</v>
      </c>
      <c r="K7" s="351">
        <v>2965.28</v>
      </c>
      <c r="L7" s="351">
        <v>3410.07</v>
      </c>
      <c r="M7" s="352">
        <f>L7/J7</f>
        <v>79.303953488372102</v>
      </c>
      <c r="N7" s="303"/>
      <c r="O7" s="343" t="s">
        <v>112</v>
      </c>
      <c r="P7" s="303">
        <v>2019</v>
      </c>
      <c r="Q7" s="303"/>
      <c r="R7" s="303"/>
    </row>
    <row r="8" spans="1:24" x14ac:dyDescent="0.25">
      <c r="A8" s="303"/>
      <c r="B8" s="343" t="s">
        <v>113</v>
      </c>
      <c r="C8" s="353">
        <v>1.1879999999999999</v>
      </c>
      <c r="D8" s="354">
        <v>42.201000000000001</v>
      </c>
      <c r="E8" s="355">
        <f t="shared" ref="E8:E18" si="0">C8+D8</f>
        <v>43.389000000000003</v>
      </c>
      <c r="F8" s="356">
        <v>82290.69</v>
      </c>
      <c r="G8" s="357">
        <f t="shared" ref="G8:G18" si="1">F8*1.21</f>
        <v>99571.734899999996</v>
      </c>
      <c r="H8" s="349">
        <f t="shared" ref="H8:H42" si="2">G8/E8</f>
        <v>2294.8612528521053</v>
      </c>
      <c r="I8" s="314"/>
      <c r="J8" s="568">
        <v>682</v>
      </c>
      <c r="K8" s="571">
        <v>47030.720000000001</v>
      </c>
      <c r="L8" s="571">
        <v>54085</v>
      </c>
      <c r="M8" s="574">
        <f>L8/J8</f>
        <v>79.303519061583572</v>
      </c>
      <c r="N8" s="303"/>
      <c r="O8" s="343" t="s">
        <v>113</v>
      </c>
      <c r="P8" s="303"/>
      <c r="Q8" s="303"/>
      <c r="R8" s="303"/>
    </row>
    <row r="9" spans="1:24" x14ac:dyDescent="0.25">
      <c r="A9" s="303"/>
      <c r="B9" s="343" t="s">
        <v>114</v>
      </c>
      <c r="C9" s="353">
        <v>2.129</v>
      </c>
      <c r="D9" s="354">
        <v>32.585000000000001</v>
      </c>
      <c r="E9" s="355">
        <f t="shared" si="0"/>
        <v>34.713999999999999</v>
      </c>
      <c r="F9" s="356">
        <v>71646.38</v>
      </c>
      <c r="G9" s="357">
        <f t="shared" si="1"/>
        <v>86692.1198</v>
      </c>
      <c r="H9" s="349">
        <f t="shared" si="2"/>
        <v>2497.3244166618656</v>
      </c>
      <c r="I9" s="314"/>
      <c r="J9" s="569"/>
      <c r="K9" s="572"/>
      <c r="L9" s="572"/>
      <c r="M9" s="575"/>
      <c r="N9" s="303"/>
      <c r="O9" s="343" t="s">
        <v>114</v>
      </c>
      <c r="P9" s="303"/>
      <c r="Q9" s="303"/>
      <c r="R9" s="303"/>
    </row>
    <row r="10" spans="1:24" x14ac:dyDescent="0.25">
      <c r="A10" s="303"/>
      <c r="B10" s="343" t="s">
        <v>115</v>
      </c>
      <c r="C10" s="353">
        <v>1.0960000000000001</v>
      </c>
      <c r="D10" s="358">
        <v>20.297000000000001</v>
      </c>
      <c r="E10" s="355">
        <f t="shared" si="0"/>
        <v>21.393000000000001</v>
      </c>
      <c r="F10" s="356">
        <v>48176.12</v>
      </c>
      <c r="G10" s="357">
        <f t="shared" si="1"/>
        <v>58293.105199999998</v>
      </c>
      <c r="H10" s="349">
        <f t="shared" si="2"/>
        <v>2724.8681905296121</v>
      </c>
      <c r="I10" s="314"/>
      <c r="J10" s="570"/>
      <c r="K10" s="573"/>
      <c r="L10" s="573"/>
      <c r="M10" s="576"/>
      <c r="N10" s="303"/>
      <c r="O10" s="343" t="s">
        <v>115</v>
      </c>
      <c r="P10" s="303"/>
      <c r="Q10" s="303"/>
      <c r="R10" s="303"/>
    </row>
    <row r="11" spans="1:24" x14ac:dyDescent="0.25">
      <c r="A11" s="303"/>
      <c r="B11" s="343" t="s">
        <v>116</v>
      </c>
      <c r="C11" s="353">
        <v>0.52300000000000002</v>
      </c>
      <c r="D11" s="358">
        <v>20.116</v>
      </c>
      <c r="E11" s="355">
        <f t="shared" si="0"/>
        <v>20.638999999999999</v>
      </c>
      <c r="F11" s="356">
        <v>43553.06</v>
      </c>
      <c r="G11" s="357">
        <f t="shared" si="1"/>
        <v>52699.202599999997</v>
      </c>
      <c r="H11" s="349">
        <f t="shared" si="2"/>
        <v>2553.3796501768497</v>
      </c>
      <c r="I11" s="314"/>
      <c r="J11" s="568">
        <v>1703</v>
      </c>
      <c r="K11" s="571">
        <v>117438</v>
      </c>
      <c r="L11" s="571">
        <v>135054.712</v>
      </c>
      <c r="M11" s="574">
        <f>L11/J11</f>
        <v>79.304000000000002</v>
      </c>
      <c r="N11" s="303"/>
      <c r="O11" s="343" t="s">
        <v>116</v>
      </c>
      <c r="P11" s="303"/>
      <c r="Q11" s="303"/>
      <c r="R11" s="303"/>
    </row>
    <row r="12" spans="1:24" x14ac:dyDescent="0.25">
      <c r="A12" s="303"/>
      <c r="B12" s="343" t="s">
        <v>117</v>
      </c>
      <c r="C12" s="353">
        <v>0.39</v>
      </c>
      <c r="D12" s="354">
        <v>6.4420000000000002</v>
      </c>
      <c r="E12" s="355">
        <f t="shared" si="0"/>
        <v>6.8319999999999999</v>
      </c>
      <c r="F12" s="356">
        <v>15911.93</v>
      </c>
      <c r="G12" s="357">
        <f t="shared" si="1"/>
        <v>19253.435300000001</v>
      </c>
      <c r="H12" s="349">
        <f t="shared" si="2"/>
        <v>2818.1257757611243</v>
      </c>
      <c r="I12" s="314"/>
      <c r="J12" s="569"/>
      <c r="K12" s="572"/>
      <c r="L12" s="572"/>
      <c r="M12" s="575"/>
      <c r="N12" s="303"/>
      <c r="O12" s="343" t="s">
        <v>117</v>
      </c>
      <c r="P12" s="303"/>
      <c r="Q12" s="303"/>
      <c r="R12" s="303"/>
    </row>
    <row r="13" spans="1:24" x14ac:dyDescent="0.25">
      <c r="A13" s="303"/>
      <c r="B13" s="343" t="s">
        <v>118</v>
      </c>
      <c r="C13" s="353">
        <v>0.58599999999999997</v>
      </c>
      <c r="D13" s="354">
        <v>8.7080000000000002</v>
      </c>
      <c r="E13" s="355">
        <f t="shared" si="0"/>
        <v>9.2940000000000005</v>
      </c>
      <c r="F13" s="356">
        <v>21217.03</v>
      </c>
      <c r="G13" s="357">
        <f t="shared" si="1"/>
        <v>25672.606299999999</v>
      </c>
      <c r="H13" s="349">
        <f t="shared" si="2"/>
        <v>2762.2774155369052</v>
      </c>
      <c r="I13" s="314"/>
      <c r="J13" s="569"/>
      <c r="K13" s="572"/>
      <c r="L13" s="572"/>
      <c r="M13" s="575"/>
      <c r="N13" s="303"/>
      <c r="O13" s="343" t="s">
        <v>118</v>
      </c>
      <c r="P13" s="303"/>
      <c r="Q13" s="303"/>
      <c r="R13" s="303"/>
    </row>
    <row r="14" spans="1:24" x14ac:dyDescent="0.25">
      <c r="A14" s="303"/>
      <c r="B14" s="343" t="s">
        <v>119</v>
      </c>
      <c r="C14" s="353">
        <v>0.439</v>
      </c>
      <c r="D14" s="354">
        <v>7.92</v>
      </c>
      <c r="E14" s="355">
        <f t="shared" si="0"/>
        <v>8.359</v>
      </c>
      <c r="F14" s="356">
        <v>18579.310000000001</v>
      </c>
      <c r="G14" s="357">
        <f t="shared" si="1"/>
        <v>22480.965100000001</v>
      </c>
      <c r="H14" s="349">
        <f t="shared" si="2"/>
        <v>2689.4323603301832</v>
      </c>
      <c r="I14" s="314"/>
      <c r="J14" s="569"/>
      <c r="K14" s="572"/>
      <c r="L14" s="572"/>
      <c r="M14" s="575"/>
      <c r="N14" s="303"/>
      <c r="O14" s="343" t="s">
        <v>119</v>
      </c>
      <c r="P14" s="303"/>
      <c r="Q14" s="303"/>
      <c r="R14" s="303"/>
    </row>
    <row r="15" spans="1:24" x14ac:dyDescent="0.25">
      <c r="A15" s="303"/>
      <c r="B15" s="343" t="s">
        <v>120</v>
      </c>
      <c r="C15" s="353">
        <v>0.33100000000000002</v>
      </c>
      <c r="D15" s="354">
        <v>10.912000000000001</v>
      </c>
      <c r="E15" s="355">
        <f t="shared" si="0"/>
        <v>11.243</v>
      </c>
      <c r="F15" s="356">
        <v>24970.19</v>
      </c>
      <c r="G15" s="357">
        <f t="shared" si="1"/>
        <v>30213.929899999999</v>
      </c>
      <c r="H15" s="349">
        <f t="shared" si="2"/>
        <v>2687.3547896468913</v>
      </c>
      <c r="I15" s="314"/>
      <c r="J15" s="569"/>
      <c r="K15" s="572"/>
      <c r="L15" s="572"/>
      <c r="M15" s="575"/>
      <c r="N15" s="303"/>
      <c r="O15" s="343" t="s">
        <v>120</v>
      </c>
      <c r="P15" s="303"/>
      <c r="Q15" s="303"/>
      <c r="R15" s="303"/>
    </row>
    <row r="16" spans="1:24" x14ac:dyDescent="0.25">
      <c r="A16" s="303"/>
      <c r="B16" s="343" t="s">
        <v>121</v>
      </c>
      <c r="C16" s="353">
        <v>1.7290000000000001</v>
      </c>
      <c r="D16" s="354">
        <v>19.936</v>
      </c>
      <c r="E16" s="355">
        <f t="shared" si="0"/>
        <v>21.664999999999999</v>
      </c>
      <c r="F16" s="356">
        <v>46836.78</v>
      </c>
      <c r="G16" s="357">
        <f t="shared" si="1"/>
        <v>56672.503799999999</v>
      </c>
      <c r="H16" s="349">
        <f t="shared" si="2"/>
        <v>2615.8552411723981</v>
      </c>
      <c r="I16" s="314"/>
      <c r="J16" s="569"/>
      <c r="K16" s="572"/>
      <c r="L16" s="572"/>
      <c r="M16" s="575"/>
      <c r="N16" s="303"/>
      <c r="O16" s="343" t="s">
        <v>121</v>
      </c>
      <c r="P16" s="303"/>
      <c r="Q16" s="303"/>
      <c r="R16" s="303"/>
    </row>
    <row r="17" spans="1:18" x14ac:dyDescent="0.25">
      <c r="A17" s="303"/>
      <c r="B17" s="343" t="s">
        <v>122</v>
      </c>
      <c r="C17" s="353">
        <v>3.3370000000000002</v>
      </c>
      <c r="D17" s="354">
        <v>26.369</v>
      </c>
      <c r="E17" s="355">
        <f t="shared" si="0"/>
        <v>29.706</v>
      </c>
      <c r="F17" s="356">
        <v>63160.66</v>
      </c>
      <c r="G17" s="357">
        <f t="shared" si="1"/>
        <v>76424.3986</v>
      </c>
      <c r="H17" s="349">
        <f t="shared" si="2"/>
        <v>2572.6923382481655</v>
      </c>
      <c r="I17" s="314"/>
      <c r="J17" s="569"/>
      <c r="K17" s="572"/>
      <c r="L17" s="572"/>
      <c r="M17" s="575"/>
      <c r="N17" s="303"/>
      <c r="O17" s="343" t="s">
        <v>122</v>
      </c>
      <c r="P17" s="303"/>
      <c r="Q17" s="303"/>
      <c r="R17" s="303"/>
    </row>
    <row r="18" spans="1:18" x14ac:dyDescent="0.25">
      <c r="A18" s="303"/>
      <c r="B18" s="343" t="s">
        <v>123</v>
      </c>
      <c r="C18" s="359">
        <v>2.0329999999999999</v>
      </c>
      <c r="D18" s="360">
        <v>27.172999999999998</v>
      </c>
      <c r="E18" s="361">
        <f t="shared" si="0"/>
        <v>29.206</v>
      </c>
      <c r="F18" s="362">
        <v>61458.77</v>
      </c>
      <c r="G18" s="363">
        <f t="shared" si="1"/>
        <v>74365.111699999994</v>
      </c>
      <c r="H18" s="349">
        <f t="shared" si="2"/>
        <v>2546.2272033143872</v>
      </c>
      <c r="I18" s="314"/>
      <c r="J18" s="570"/>
      <c r="K18" s="573"/>
      <c r="L18" s="573"/>
      <c r="M18" s="576"/>
      <c r="N18" s="303"/>
      <c r="O18" s="343" t="s">
        <v>123</v>
      </c>
      <c r="P18" s="303"/>
      <c r="Q18" s="303"/>
      <c r="R18" s="303"/>
    </row>
    <row r="19" spans="1:18" x14ac:dyDescent="0.25">
      <c r="A19" s="303">
        <v>2020</v>
      </c>
      <c r="B19" s="343" t="s">
        <v>112</v>
      </c>
      <c r="C19" s="344">
        <v>0.38</v>
      </c>
      <c r="D19" s="345">
        <v>38.209000000000003</v>
      </c>
      <c r="E19" s="346">
        <f>C19+D19</f>
        <v>38.589000000000006</v>
      </c>
      <c r="F19" s="347">
        <f>G19/1.21</f>
        <v>73108.396694214884</v>
      </c>
      <c r="G19" s="348">
        <v>88461.16</v>
      </c>
      <c r="H19" s="349">
        <f t="shared" si="2"/>
        <v>2292.3931690378085</v>
      </c>
      <c r="I19" s="314"/>
      <c r="J19" s="350">
        <v>131</v>
      </c>
      <c r="K19" s="351">
        <v>9481.7800000000007</v>
      </c>
      <c r="L19" s="351">
        <v>10904.047</v>
      </c>
      <c r="M19" s="352">
        <f>L19/J19</f>
        <v>83.237000000000009</v>
      </c>
      <c r="N19" s="364"/>
      <c r="O19" s="343" t="s">
        <v>112</v>
      </c>
      <c r="P19" s="303">
        <v>2020</v>
      </c>
      <c r="Q19" s="303"/>
      <c r="R19" s="303"/>
    </row>
    <row r="20" spans="1:18" x14ac:dyDescent="0.25">
      <c r="A20" s="303"/>
      <c r="B20" s="343" t="s">
        <v>113</v>
      </c>
      <c r="C20" s="353">
        <v>0.42199999999999999</v>
      </c>
      <c r="D20" s="354">
        <v>32.131999999999998</v>
      </c>
      <c r="E20" s="355">
        <f t="shared" ref="E20:E30" si="3">C20+D20</f>
        <v>32.553999999999995</v>
      </c>
      <c r="F20" s="356">
        <f>G20/1.21</f>
        <v>64248.487603305788</v>
      </c>
      <c r="G20" s="357">
        <v>77740.67</v>
      </c>
      <c r="H20" s="349">
        <f t="shared" si="2"/>
        <v>2388.0527738526757</v>
      </c>
      <c r="I20" s="314"/>
      <c r="J20" s="568">
        <v>1438</v>
      </c>
      <c r="K20" s="571">
        <v>104328.28</v>
      </c>
      <c r="L20" s="571">
        <v>116930.23</v>
      </c>
      <c r="M20" s="574">
        <f>L20/J20</f>
        <v>81.314485396383859</v>
      </c>
      <c r="N20" s="364"/>
      <c r="O20" s="343" t="s">
        <v>113</v>
      </c>
      <c r="P20" s="303"/>
      <c r="Q20" s="303"/>
      <c r="R20" s="303"/>
    </row>
    <row r="21" spans="1:18" x14ac:dyDescent="0.25">
      <c r="A21" s="303"/>
      <c r="B21" s="343" t="s">
        <v>114</v>
      </c>
      <c r="C21" s="353">
        <v>0.54700000000000004</v>
      </c>
      <c r="D21" s="354">
        <v>22.536999999999999</v>
      </c>
      <c r="E21" s="355">
        <f t="shared" si="3"/>
        <v>23.084</v>
      </c>
      <c r="F21" s="356">
        <f t="shared" ref="F21:F42" si="4">G21/1.21</f>
        <v>48274.247933884297</v>
      </c>
      <c r="G21" s="357">
        <v>58411.839999999997</v>
      </c>
      <c r="H21" s="349">
        <f t="shared" si="2"/>
        <v>2530.403742852192</v>
      </c>
      <c r="I21" s="314"/>
      <c r="J21" s="569"/>
      <c r="K21" s="572"/>
      <c r="L21" s="572"/>
      <c r="M21" s="575"/>
      <c r="N21" s="364"/>
      <c r="O21" s="343" t="s">
        <v>114</v>
      </c>
      <c r="P21" s="303"/>
      <c r="Q21" s="303"/>
      <c r="R21" s="303"/>
    </row>
    <row r="22" spans="1:18" x14ac:dyDescent="0.25">
      <c r="A22" s="303"/>
      <c r="B22" s="343" t="s">
        <v>115</v>
      </c>
      <c r="C22" s="353">
        <v>0.39200000000000002</v>
      </c>
      <c r="D22" s="358">
        <v>12.422000000000001</v>
      </c>
      <c r="E22" s="355">
        <f t="shared" si="3"/>
        <v>12.814</v>
      </c>
      <c r="F22" s="356">
        <f t="shared" si="4"/>
        <v>27135.115702479339</v>
      </c>
      <c r="G22" s="357">
        <v>32833.49</v>
      </c>
      <c r="H22" s="349">
        <f t="shared" si="2"/>
        <v>2562.3138754487277</v>
      </c>
      <c r="I22" s="314"/>
      <c r="J22" s="569"/>
      <c r="K22" s="572"/>
      <c r="L22" s="572"/>
      <c r="M22" s="575"/>
      <c r="N22" s="364"/>
      <c r="O22" s="343" t="s">
        <v>115</v>
      </c>
      <c r="P22" s="303"/>
      <c r="Q22" s="303"/>
      <c r="R22" s="303"/>
    </row>
    <row r="23" spans="1:18" x14ac:dyDescent="0.25">
      <c r="A23" s="303"/>
      <c r="B23" s="343" t="s">
        <v>116</v>
      </c>
      <c r="C23" s="353">
        <v>0.315</v>
      </c>
      <c r="D23" s="354">
        <v>11.448</v>
      </c>
      <c r="E23" s="355">
        <f t="shared" si="3"/>
        <v>11.763</v>
      </c>
      <c r="F23" s="356">
        <f t="shared" si="4"/>
        <v>25058.909090909092</v>
      </c>
      <c r="G23" s="357">
        <v>30321.279999999999</v>
      </c>
      <c r="H23" s="349">
        <f t="shared" si="2"/>
        <v>2577.6825639717758</v>
      </c>
      <c r="I23" s="314"/>
      <c r="J23" s="569"/>
      <c r="K23" s="572"/>
      <c r="L23" s="572"/>
      <c r="M23" s="575"/>
      <c r="N23" s="303"/>
      <c r="O23" s="343" t="s">
        <v>116</v>
      </c>
      <c r="P23" s="303"/>
      <c r="Q23" s="303"/>
      <c r="R23" s="303"/>
    </row>
    <row r="24" spans="1:18" x14ac:dyDescent="0.25">
      <c r="A24" s="303"/>
      <c r="B24" s="343" t="s">
        <v>117</v>
      </c>
      <c r="C24" s="353">
        <v>0.31</v>
      </c>
      <c r="D24" s="354">
        <v>11.32</v>
      </c>
      <c r="E24" s="355">
        <f t="shared" si="3"/>
        <v>11.63</v>
      </c>
      <c r="F24" s="356">
        <f t="shared" si="4"/>
        <v>24864.685950413223</v>
      </c>
      <c r="G24" s="357">
        <v>30086.27</v>
      </c>
      <c r="H24" s="349">
        <f t="shared" si="2"/>
        <v>2586.9535683576955</v>
      </c>
      <c r="I24" s="314"/>
      <c r="J24" s="569"/>
      <c r="K24" s="572"/>
      <c r="L24" s="572"/>
      <c r="M24" s="575"/>
      <c r="N24" s="303"/>
      <c r="O24" s="343" t="s">
        <v>117</v>
      </c>
      <c r="P24" s="303"/>
      <c r="Q24" s="303"/>
      <c r="R24" s="303"/>
    </row>
    <row r="25" spans="1:18" x14ac:dyDescent="0.25">
      <c r="A25" s="303"/>
      <c r="B25" s="343" t="s">
        <v>118</v>
      </c>
      <c r="C25" s="353">
        <v>0.377</v>
      </c>
      <c r="D25" s="354">
        <v>6.08</v>
      </c>
      <c r="E25" s="355">
        <f t="shared" si="3"/>
        <v>6.4569999999999999</v>
      </c>
      <c r="F25" s="356">
        <f t="shared" si="4"/>
        <v>14830.892561983472</v>
      </c>
      <c r="G25" s="357">
        <v>17945.38</v>
      </c>
      <c r="H25" s="349">
        <f t="shared" si="2"/>
        <v>2779.2132569304631</v>
      </c>
      <c r="I25" s="314"/>
      <c r="J25" s="569"/>
      <c r="K25" s="572"/>
      <c r="L25" s="572"/>
      <c r="M25" s="575"/>
      <c r="N25" s="303"/>
      <c r="O25" s="343" t="s">
        <v>118</v>
      </c>
      <c r="P25" s="303"/>
      <c r="Q25" s="303"/>
      <c r="R25" s="303"/>
    </row>
    <row r="26" spans="1:18" x14ac:dyDescent="0.25">
      <c r="A26" s="303"/>
      <c r="B26" s="343" t="s">
        <v>119</v>
      </c>
      <c r="C26" s="353">
        <v>0.32100000000000001</v>
      </c>
      <c r="D26" s="354">
        <v>5.1870000000000003</v>
      </c>
      <c r="E26" s="355">
        <f t="shared" si="3"/>
        <v>5.508</v>
      </c>
      <c r="F26" s="356">
        <f t="shared" si="4"/>
        <v>12963.809917355371</v>
      </c>
      <c r="G26" s="357">
        <v>15686.21</v>
      </c>
      <c r="H26" s="349">
        <f t="shared" si="2"/>
        <v>2847.8957879448076</v>
      </c>
      <c r="I26" s="314"/>
      <c r="J26" s="569"/>
      <c r="K26" s="572"/>
      <c r="L26" s="572"/>
      <c r="M26" s="575"/>
      <c r="N26" s="303"/>
      <c r="O26" s="343" t="s">
        <v>119</v>
      </c>
      <c r="P26" s="303"/>
      <c r="Q26" s="303"/>
      <c r="R26" s="303"/>
    </row>
    <row r="27" spans="1:18" x14ac:dyDescent="0.25">
      <c r="A27" s="303"/>
      <c r="B27" s="343" t="s">
        <v>120</v>
      </c>
      <c r="C27" s="353">
        <v>0.24299999999999999</v>
      </c>
      <c r="D27" s="354">
        <v>6.52</v>
      </c>
      <c r="E27" s="355">
        <f t="shared" si="3"/>
        <v>6.7629999999999999</v>
      </c>
      <c r="F27" s="356">
        <f t="shared" si="4"/>
        <v>15351.719008264465</v>
      </c>
      <c r="G27" s="357">
        <v>18575.580000000002</v>
      </c>
      <c r="H27" s="349">
        <f t="shared" si="2"/>
        <v>2746.6479373059296</v>
      </c>
      <c r="I27" s="314"/>
      <c r="J27" s="569"/>
      <c r="K27" s="572"/>
      <c r="L27" s="572"/>
      <c r="M27" s="575"/>
      <c r="N27" s="303"/>
      <c r="O27" s="343" t="s">
        <v>120</v>
      </c>
      <c r="P27" s="303"/>
      <c r="Q27" s="303"/>
      <c r="R27" s="303"/>
    </row>
    <row r="28" spans="1:18" x14ac:dyDescent="0.25">
      <c r="A28" s="303"/>
      <c r="B28" s="343" t="s">
        <v>121</v>
      </c>
      <c r="C28" s="353">
        <v>0.30499999999999999</v>
      </c>
      <c r="D28" s="354">
        <v>15.048</v>
      </c>
      <c r="E28" s="355">
        <f t="shared" si="3"/>
        <v>15.353</v>
      </c>
      <c r="F28" s="356">
        <f t="shared" si="4"/>
        <v>31997.099173553717</v>
      </c>
      <c r="G28" s="357">
        <v>38716.49</v>
      </c>
      <c r="H28" s="349">
        <f t="shared" si="2"/>
        <v>2521.7540545821662</v>
      </c>
      <c r="I28" s="314"/>
      <c r="J28" s="569"/>
      <c r="K28" s="572"/>
      <c r="L28" s="572"/>
      <c r="M28" s="575"/>
      <c r="N28" s="303"/>
      <c r="O28" s="343" t="s">
        <v>121</v>
      </c>
      <c r="P28" s="303"/>
      <c r="Q28" s="303"/>
      <c r="R28" s="303"/>
    </row>
    <row r="29" spans="1:18" x14ac:dyDescent="0.25">
      <c r="A29" s="303"/>
      <c r="B29" s="343" t="s">
        <v>122</v>
      </c>
      <c r="C29" s="353">
        <v>0.31900000000000001</v>
      </c>
      <c r="D29" s="354">
        <v>20.321999999999999</v>
      </c>
      <c r="E29" s="355">
        <f t="shared" si="3"/>
        <v>20.640999999999998</v>
      </c>
      <c r="F29" s="356">
        <f t="shared" si="4"/>
        <v>42233.074380165286</v>
      </c>
      <c r="G29" s="357">
        <v>51102.02</v>
      </c>
      <c r="H29" s="349">
        <f t="shared" si="2"/>
        <v>2475.7531127367861</v>
      </c>
      <c r="I29" s="314"/>
      <c r="J29" s="569"/>
      <c r="K29" s="572"/>
      <c r="L29" s="572"/>
      <c r="M29" s="575"/>
      <c r="N29" s="303"/>
      <c r="O29" s="343" t="s">
        <v>122</v>
      </c>
      <c r="P29" s="303"/>
      <c r="Q29" s="303"/>
      <c r="R29" s="303"/>
    </row>
    <row r="30" spans="1:18" x14ac:dyDescent="0.25">
      <c r="A30" s="303"/>
      <c r="B30" s="343" t="s">
        <v>123</v>
      </c>
      <c r="C30" s="359">
        <v>0.40699999999999997</v>
      </c>
      <c r="D30" s="360">
        <v>38.218000000000004</v>
      </c>
      <c r="E30" s="361">
        <f t="shared" si="3"/>
        <v>38.625</v>
      </c>
      <c r="F30" s="356">
        <f t="shared" si="4"/>
        <v>71790.834710743802</v>
      </c>
      <c r="G30" s="363">
        <v>86866.91</v>
      </c>
      <c r="H30" s="349">
        <f t="shared" si="2"/>
        <v>2248.9814886731392</v>
      </c>
      <c r="I30" s="314"/>
      <c r="J30" s="570"/>
      <c r="K30" s="573"/>
      <c r="L30" s="573"/>
      <c r="M30" s="576"/>
      <c r="N30" s="303"/>
      <c r="O30" s="343" t="s">
        <v>123</v>
      </c>
      <c r="P30" s="303"/>
      <c r="Q30" s="303"/>
      <c r="R30" s="303"/>
    </row>
    <row r="31" spans="1:18" x14ac:dyDescent="0.25">
      <c r="A31" s="303">
        <v>2021</v>
      </c>
      <c r="B31" s="343" t="s">
        <v>112</v>
      </c>
      <c r="C31" s="344">
        <v>0.40400000000000003</v>
      </c>
      <c r="D31" s="345">
        <v>34.36</v>
      </c>
      <c r="E31" s="346">
        <f>C31+D31</f>
        <v>34.764000000000003</v>
      </c>
      <c r="F31" s="347">
        <f t="shared" si="4"/>
        <v>63913.190082644636</v>
      </c>
      <c r="G31" s="348">
        <v>77334.960000000006</v>
      </c>
      <c r="H31" s="349">
        <f t="shared" si="2"/>
        <v>2224.5702450811182</v>
      </c>
      <c r="I31" s="314"/>
      <c r="J31" s="365"/>
      <c r="K31" s="366"/>
      <c r="L31" s="366"/>
      <c r="M31" s="367"/>
      <c r="N31" s="303"/>
      <c r="O31" s="343" t="s">
        <v>112</v>
      </c>
      <c r="P31" s="303">
        <v>2021</v>
      </c>
      <c r="Q31" s="303"/>
      <c r="R31" s="303"/>
    </row>
    <row r="32" spans="1:18" x14ac:dyDescent="0.25">
      <c r="A32" s="303"/>
      <c r="B32" s="343" t="s">
        <v>113</v>
      </c>
      <c r="C32" s="353">
        <v>0.46100000000000002</v>
      </c>
      <c r="D32" s="354">
        <v>32.290999999999997</v>
      </c>
      <c r="E32" s="355">
        <f>C32+D32</f>
        <v>32.751999999999995</v>
      </c>
      <c r="F32" s="356">
        <f t="shared" si="4"/>
        <v>61345.586776859505</v>
      </c>
      <c r="G32" s="357">
        <v>74228.160000000003</v>
      </c>
      <c r="H32" s="349">
        <f t="shared" si="2"/>
        <v>2266.3702979970694</v>
      </c>
      <c r="I32" s="314"/>
      <c r="J32" s="368"/>
      <c r="K32" s="369"/>
      <c r="L32" s="369"/>
      <c r="M32" s="370"/>
      <c r="N32" s="303"/>
      <c r="O32" s="343" t="s">
        <v>113</v>
      </c>
      <c r="P32" s="303"/>
      <c r="Q32" s="303"/>
      <c r="R32" s="303"/>
    </row>
    <row r="33" spans="1:18" x14ac:dyDescent="0.25">
      <c r="A33" s="303"/>
      <c r="B33" s="343" t="s">
        <v>114</v>
      </c>
      <c r="C33" s="353">
        <v>0.60399999999999998</v>
      </c>
      <c r="D33" s="354">
        <v>28.786999999999999</v>
      </c>
      <c r="E33" s="355">
        <f t="shared" ref="E33:E42" si="5">C33+D33</f>
        <v>29.390999999999998</v>
      </c>
      <c r="F33" s="356">
        <f t="shared" si="4"/>
        <v>55709.933884297527</v>
      </c>
      <c r="G33" s="357">
        <v>67409.02</v>
      </c>
      <c r="H33" s="349">
        <f t="shared" si="2"/>
        <v>2293.5259092919605</v>
      </c>
      <c r="I33" s="314"/>
      <c r="J33" s="368"/>
      <c r="K33" s="369"/>
      <c r="L33" s="369"/>
      <c r="M33" s="370"/>
      <c r="N33" s="303"/>
      <c r="O33" s="343" t="s">
        <v>114</v>
      </c>
      <c r="P33" s="303"/>
      <c r="Q33" s="303"/>
      <c r="R33" s="303"/>
    </row>
    <row r="34" spans="1:18" x14ac:dyDescent="0.25">
      <c r="A34" s="303"/>
      <c r="B34" s="343" t="s">
        <v>115</v>
      </c>
      <c r="C34" s="353">
        <v>0.39400000000000002</v>
      </c>
      <c r="D34" s="354">
        <v>17.033999999999999</v>
      </c>
      <c r="E34" s="371">
        <f>C34+D34</f>
        <v>17.427999999999997</v>
      </c>
      <c r="F34" s="356">
        <f t="shared" si="4"/>
        <v>33074.727272727272</v>
      </c>
      <c r="G34" s="357">
        <v>40020.42</v>
      </c>
      <c r="H34" s="349">
        <f t="shared" si="2"/>
        <v>2296.3288960293785</v>
      </c>
      <c r="I34" s="314"/>
      <c r="J34" s="368"/>
      <c r="K34" s="369"/>
      <c r="L34" s="369"/>
      <c r="M34" s="370"/>
      <c r="N34" s="303"/>
      <c r="O34" s="343" t="s">
        <v>115</v>
      </c>
      <c r="P34" s="303"/>
      <c r="Q34" s="303"/>
      <c r="R34" s="303"/>
    </row>
    <row r="35" spans="1:18" x14ac:dyDescent="0.25">
      <c r="A35" s="303"/>
      <c r="B35" s="343" t="s">
        <v>116</v>
      </c>
      <c r="C35" s="353">
        <v>0.39400000000000002</v>
      </c>
      <c r="D35" s="354">
        <v>17.033999999999999</v>
      </c>
      <c r="E35" s="355">
        <f t="shared" si="5"/>
        <v>17.427999999999997</v>
      </c>
      <c r="F35" s="356">
        <f t="shared" si="4"/>
        <v>33074.727272727272</v>
      </c>
      <c r="G35" s="357">
        <v>40020.42</v>
      </c>
      <c r="H35" s="349">
        <f t="shared" si="2"/>
        <v>2296.3288960293785</v>
      </c>
      <c r="I35" s="314"/>
      <c r="J35" s="368"/>
      <c r="K35" s="369"/>
      <c r="L35" s="369"/>
      <c r="M35" s="370"/>
      <c r="N35" s="303"/>
      <c r="O35" s="343" t="s">
        <v>116</v>
      </c>
      <c r="P35" s="303"/>
      <c r="Q35" s="303"/>
      <c r="R35" s="303"/>
    </row>
    <row r="36" spans="1:18" x14ac:dyDescent="0.25">
      <c r="A36" s="303"/>
      <c r="B36" s="343" t="s">
        <v>117</v>
      </c>
      <c r="C36" s="353">
        <v>0.29399999999999998</v>
      </c>
      <c r="D36" s="354">
        <v>4.3529999999999998</v>
      </c>
      <c r="E36" s="355">
        <f t="shared" si="5"/>
        <v>4.6469999999999994</v>
      </c>
      <c r="F36" s="356">
        <f t="shared" si="4"/>
        <v>10208.578512396694</v>
      </c>
      <c r="G36" s="357">
        <v>12352.38</v>
      </c>
      <c r="H36" s="349">
        <f t="shared" si="2"/>
        <v>2658.1407359586833</v>
      </c>
      <c r="I36" s="314"/>
      <c r="J36" s="368"/>
      <c r="K36" s="369"/>
      <c r="L36" s="369"/>
      <c r="M36" s="370"/>
      <c r="N36" s="303"/>
      <c r="O36" s="343" t="s">
        <v>117</v>
      </c>
      <c r="P36" s="303"/>
      <c r="Q36" s="303"/>
      <c r="R36" s="303"/>
    </row>
    <row r="37" spans="1:18" x14ac:dyDescent="0.25">
      <c r="A37" s="303"/>
      <c r="B37" s="343" t="s">
        <v>118</v>
      </c>
      <c r="C37" s="353">
        <v>0.40799999999999997</v>
      </c>
      <c r="D37" s="354">
        <v>6.6790000000000003</v>
      </c>
      <c r="E37" s="355">
        <f t="shared" si="5"/>
        <v>7.0870000000000006</v>
      </c>
      <c r="F37" s="356">
        <f t="shared" si="4"/>
        <v>14620.628099173553</v>
      </c>
      <c r="G37" s="357">
        <v>17690.96</v>
      </c>
      <c r="H37" s="349">
        <f t="shared" si="2"/>
        <v>2496.2551149992942</v>
      </c>
      <c r="I37" s="314"/>
      <c r="J37" s="368"/>
      <c r="K37" s="369"/>
      <c r="L37" s="369"/>
      <c r="M37" s="370"/>
      <c r="N37" s="303"/>
      <c r="O37" s="343" t="s">
        <v>118</v>
      </c>
      <c r="P37" s="303"/>
      <c r="Q37" s="303"/>
      <c r="R37" s="303"/>
    </row>
    <row r="38" spans="1:18" x14ac:dyDescent="0.25">
      <c r="A38" s="303"/>
      <c r="B38" s="343" t="s">
        <v>119</v>
      </c>
      <c r="C38" s="353">
        <v>0.40799999999999997</v>
      </c>
      <c r="D38" s="354">
        <v>6.6790000000000003</v>
      </c>
      <c r="E38" s="355">
        <f t="shared" si="5"/>
        <v>7.0870000000000006</v>
      </c>
      <c r="F38" s="356">
        <f t="shared" si="4"/>
        <v>14620.628099173553</v>
      </c>
      <c r="G38" s="357">
        <v>17690.96</v>
      </c>
      <c r="H38" s="349">
        <f t="shared" si="2"/>
        <v>2496.2551149992942</v>
      </c>
      <c r="I38" s="314"/>
      <c r="J38" s="368"/>
      <c r="K38" s="369"/>
      <c r="L38" s="369"/>
      <c r="M38" s="370"/>
      <c r="N38" s="303"/>
      <c r="O38" s="343" t="s">
        <v>119</v>
      </c>
      <c r="P38" s="303"/>
      <c r="Q38" s="303"/>
      <c r="R38" s="303"/>
    </row>
    <row r="39" spans="1:18" x14ac:dyDescent="0.25">
      <c r="A39" s="303"/>
      <c r="B39" s="343" t="s">
        <v>120</v>
      </c>
      <c r="C39" s="353">
        <v>0.34200000000000003</v>
      </c>
      <c r="D39" s="354">
        <v>8.5909999999999993</v>
      </c>
      <c r="E39" s="355">
        <f t="shared" si="5"/>
        <v>8.9329999999999998</v>
      </c>
      <c r="F39" s="356">
        <f t="shared" si="4"/>
        <v>18276.07438016529</v>
      </c>
      <c r="G39" s="357">
        <v>22114.05</v>
      </c>
      <c r="H39" s="349">
        <f t="shared" si="2"/>
        <v>2475.5457293182581</v>
      </c>
      <c r="I39" s="314"/>
      <c r="J39" s="368"/>
      <c r="K39" s="369"/>
      <c r="L39" s="369"/>
      <c r="M39" s="370"/>
      <c r="N39" s="303"/>
      <c r="O39" s="343" t="s">
        <v>120</v>
      </c>
      <c r="P39" s="303"/>
      <c r="Q39" s="303"/>
      <c r="R39" s="303"/>
    </row>
    <row r="40" spans="1:18" x14ac:dyDescent="0.25">
      <c r="A40" s="303"/>
      <c r="B40" s="343" t="s">
        <v>121</v>
      </c>
      <c r="C40" s="353">
        <v>0.46600000000000003</v>
      </c>
      <c r="D40" s="354">
        <v>23.11</v>
      </c>
      <c r="E40" s="355">
        <f t="shared" si="5"/>
        <v>23.576000000000001</v>
      </c>
      <c r="F40" s="356">
        <f t="shared" si="4"/>
        <v>44870.25619834711</v>
      </c>
      <c r="G40" s="357">
        <v>54293.01</v>
      </c>
      <c r="H40" s="349">
        <f t="shared" si="2"/>
        <v>2302.8931964709873</v>
      </c>
      <c r="I40" s="314"/>
      <c r="J40" s="368"/>
      <c r="K40" s="369"/>
      <c r="L40" s="369"/>
      <c r="M40" s="370"/>
      <c r="N40" s="303"/>
      <c r="O40" s="343" t="s">
        <v>121</v>
      </c>
      <c r="P40" s="303"/>
      <c r="Q40" s="303"/>
      <c r="R40" s="303"/>
    </row>
    <row r="41" spans="1:18" x14ac:dyDescent="0.25">
      <c r="A41" s="303"/>
      <c r="B41" s="343" t="s">
        <v>122</v>
      </c>
      <c r="C41" s="353">
        <v>0.53500000000000003</v>
      </c>
      <c r="D41" s="354">
        <v>32</v>
      </c>
      <c r="E41" s="355">
        <f t="shared" si="5"/>
        <v>32.534999999999997</v>
      </c>
      <c r="F41" s="356">
        <f t="shared" si="4"/>
        <v>63942.024793388438</v>
      </c>
      <c r="G41" s="357">
        <v>77369.850000000006</v>
      </c>
      <c r="H41" s="349">
        <f t="shared" si="2"/>
        <v>2378.0497925311206</v>
      </c>
      <c r="I41" s="314"/>
      <c r="J41" s="368"/>
      <c r="K41" s="369"/>
      <c r="L41" s="369"/>
      <c r="M41" s="370"/>
      <c r="N41" s="303"/>
      <c r="O41" s="343" t="s">
        <v>122</v>
      </c>
      <c r="P41" s="303"/>
      <c r="Q41" s="303"/>
      <c r="R41" s="303"/>
    </row>
    <row r="42" spans="1:18" x14ac:dyDescent="0.25">
      <c r="A42" s="303"/>
      <c r="B42" s="343" t="s">
        <v>123</v>
      </c>
      <c r="C42" s="372">
        <v>0.54200000000000004</v>
      </c>
      <c r="D42" s="373">
        <v>39.951999999999998</v>
      </c>
      <c r="E42" s="361">
        <f t="shared" si="5"/>
        <v>40.494</v>
      </c>
      <c r="F42" s="362">
        <f t="shared" si="4"/>
        <v>71178.289256198346</v>
      </c>
      <c r="G42" s="363">
        <v>86125.73</v>
      </c>
      <c r="H42" s="349">
        <f t="shared" si="2"/>
        <v>2126.8763273571394</v>
      </c>
      <c r="I42" s="314"/>
      <c r="J42" s="374"/>
      <c r="K42" s="375"/>
      <c r="L42" s="375"/>
      <c r="M42" s="376"/>
      <c r="N42" s="303"/>
      <c r="O42" s="343" t="s">
        <v>123</v>
      </c>
      <c r="P42" s="303"/>
      <c r="Q42" s="303"/>
      <c r="R42" s="303"/>
    </row>
    <row r="44" spans="1:18" x14ac:dyDescent="0.25">
      <c r="B44" s="313">
        <v>2019</v>
      </c>
      <c r="E44" s="127">
        <f>SUM(E7:E18)</f>
        <v>285.24400000000003</v>
      </c>
      <c r="F44" s="127">
        <f>SUM(F7:F18)</f>
        <v>610067.14000000013</v>
      </c>
      <c r="G44" s="127">
        <f>SUM(G7:G18)</f>
        <v>738181.23939999985</v>
      </c>
      <c r="H44" s="127">
        <f>G44/E44</f>
        <v>2587.8940114428342</v>
      </c>
      <c r="J44" s="127">
        <f>SUM(J7:J18)</f>
        <v>2428</v>
      </c>
      <c r="K44" s="127">
        <f>SUM(K7:K18)</f>
        <v>167434</v>
      </c>
      <c r="L44" s="127">
        <f>SUM(L7:L18)</f>
        <v>192549.78200000001</v>
      </c>
      <c r="M44" s="324">
        <f>L44/J44</f>
        <v>79.303864085667215</v>
      </c>
    </row>
    <row r="45" spans="1:18" x14ac:dyDescent="0.25">
      <c r="B45" s="313">
        <v>2020</v>
      </c>
      <c r="E45" s="127">
        <f>SUM(E19:E30)</f>
        <v>223.78100000000001</v>
      </c>
      <c r="F45" s="127">
        <f>SUM(F19:F30)</f>
        <v>451857.27272727276</v>
      </c>
      <c r="G45" s="127">
        <f>SUM(G19:G30)</f>
        <v>546747.30000000005</v>
      </c>
      <c r="H45" s="127">
        <f>G45/E45</f>
        <v>2443.2248492946228</v>
      </c>
      <c r="J45" s="127">
        <f>SUM(J19:J30)</f>
        <v>1569</v>
      </c>
      <c r="K45" s="127">
        <f>SUM(K19:K30)</f>
        <v>113810.06</v>
      </c>
      <c r="L45" s="127">
        <f>SUM(L19:L30)</f>
        <v>127834.277</v>
      </c>
      <c r="M45" s="324">
        <f>L45/J45</f>
        <v>81.475001274697263</v>
      </c>
    </row>
    <row r="46" spans="1:18" x14ac:dyDescent="0.25">
      <c r="B46" s="313">
        <v>2021</v>
      </c>
      <c r="E46" s="127">
        <f>SUM(E31:E42)</f>
        <v>256.12199999999996</v>
      </c>
      <c r="F46" s="127">
        <f>SUM(F31:F42)</f>
        <v>484834.64462809917</v>
      </c>
      <c r="G46" s="127">
        <f>SUM(G31:G42)</f>
        <v>586649.92000000004</v>
      </c>
      <c r="H46" s="127">
        <f>G46/E46</f>
        <v>2290.5096789811109</v>
      </c>
      <c r="J46" s="127"/>
      <c r="K46" s="127"/>
      <c r="L46" s="127"/>
      <c r="M46" s="324"/>
    </row>
    <row r="48" spans="1:18" x14ac:dyDescent="0.25">
      <c r="B48" s="332" t="s">
        <v>161</v>
      </c>
      <c r="C48" s="334"/>
      <c r="D48" s="334"/>
      <c r="E48" s="333">
        <f>E44</f>
        <v>285.24400000000003</v>
      </c>
      <c r="F48" s="332"/>
      <c r="G48" s="333">
        <f>H48*E48</f>
        <v>1110702.0428811896</v>
      </c>
      <c r="H48" s="333">
        <f>H46*1.7</f>
        <v>3893.8664542678885</v>
      </c>
      <c r="I48" s="334"/>
      <c r="J48" s="333">
        <f>J44</f>
        <v>2428</v>
      </c>
      <c r="K48" s="332"/>
      <c r="L48" s="333">
        <f>L44</f>
        <v>192549.78200000001</v>
      </c>
      <c r="M48" s="333">
        <f>M44*1.2</f>
        <v>95.164636902800652</v>
      </c>
    </row>
    <row r="49" spans="5:13" x14ac:dyDescent="0.25">
      <c r="E49" s="328">
        <v>2019</v>
      </c>
      <c r="H49" t="s">
        <v>168</v>
      </c>
      <c r="J49" s="380">
        <v>2019</v>
      </c>
      <c r="K49" s="379"/>
      <c r="L49" s="379"/>
      <c r="M49" s="379" t="s">
        <v>182</v>
      </c>
    </row>
  </sheetData>
  <mergeCells count="12">
    <mergeCell ref="J20:J30"/>
    <mergeCell ref="K20:K30"/>
    <mergeCell ref="L20:L30"/>
    <mergeCell ref="M20:M30"/>
    <mergeCell ref="J8:J10"/>
    <mergeCell ref="K8:K10"/>
    <mergeCell ref="L8:L10"/>
    <mergeCell ref="M8:M10"/>
    <mergeCell ref="J11:J18"/>
    <mergeCell ref="K11:K18"/>
    <mergeCell ref="L11:L18"/>
    <mergeCell ref="M11:M18"/>
  </mergeCells>
  <pageMargins left="0.7" right="0.7" top="0.78740157499999996" bottom="0.78740157499999996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7AFB6"/>
    <pageSetUpPr fitToPage="1"/>
  </sheetPr>
  <dimension ref="A2:W53"/>
  <sheetViews>
    <sheetView showGridLines="0" zoomScaleNormal="100" workbookViewId="0">
      <selection activeCell="B29" sqref="B29"/>
    </sheetView>
  </sheetViews>
  <sheetFormatPr defaultRowHeight="15" x14ac:dyDescent="0.25"/>
  <cols>
    <col min="1" max="1" width="2.140625" customWidth="1"/>
    <col min="2" max="2" width="29.5703125" customWidth="1"/>
    <col min="3" max="3" width="7.140625" customWidth="1"/>
    <col min="4" max="15" width="11.140625" customWidth="1"/>
    <col min="16" max="16" width="12.28515625" customWidth="1"/>
    <col min="17" max="17" width="11.42578125" customWidth="1"/>
    <col min="18" max="18" width="9.85546875" bestFit="1" customWidth="1"/>
    <col min="19" max="19" width="11.7109375" customWidth="1"/>
    <col min="259" max="259" width="31.140625" customWidth="1"/>
    <col min="261" max="261" width="11.28515625" customWidth="1"/>
    <col min="515" max="515" width="31.140625" customWidth="1"/>
    <col min="517" max="517" width="11.28515625" customWidth="1"/>
    <col min="771" max="771" width="31.140625" customWidth="1"/>
    <col min="773" max="773" width="11.28515625" customWidth="1"/>
    <col min="1027" max="1027" width="31.140625" customWidth="1"/>
    <col min="1029" max="1029" width="11.28515625" customWidth="1"/>
    <col min="1283" max="1283" width="31.140625" customWidth="1"/>
    <col min="1285" max="1285" width="11.28515625" customWidth="1"/>
    <col min="1539" max="1539" width="31.140625" customWidth="1"/>
    <col min="1541" max="1541" width="11.28515625" customWidth="1"/>
    <col min="1795" max="1795" width="31.140625" customWidth="1"/>
    <col min="1797" max="1797" width="11.28515625" customWidth="1"/>
    <col min="2051" max="2051" width="31.140625" customWidth="1"/>
    <col min="2053" max="2053" width="11.28515625" customWidth="1"/>
    <col min="2307" max="2307" width="31.140625" customWidth="1"/>
    <col min="2309" max="2309" width="11.28515625" customWidth="1"/>
    <col min="2563" max="2563" width="31.140625" customWidth="1"/>
    <col min="2565" max="2565" width="11.28515625" customWidth="1"/>
    <col min="2819" max="2819" width="31.140625" customWidth="1"/>
    <col min="2821" max="2821" width="11.28515625" customWidth="1"/>
    <col min="3075" max="3075" width="31.140625" customWidth="1"/>
    <col min="3077" max="3077" width="11.28515625" customWidth="1"/>
    <col min="3331" max="3331" width="31.140625" customWidth="1"/>
    <col min="3333" max="3333" width="11.28515625" customWidth="1"/>
    <col min="3587" max="3587" width="31.140625" customWidth="1"/>
    <col min="3589" max="3589" width="11.28515625" customWidth="1"/>
    <col min="3843" max="3843" width="31.140625" customWidth="1"/>
    <col min="3845" max="3845" width="11.28515625" customWidth="1"/>
    <col min="4099" max="4099" width="31.140625" customWidth="1"/>
    <col min="4101" max="4101" width="11.28515625" customWidth="1"/>
    <col min="4355" max="4355" width="31.140625" customWidth="1"/>
    <col min="4357" max="4357" width="11.28515625" customWidth="1"/>
    <col min="4611" max="4611" width="31.140625" customWidth="1"/>
    <col min="4613" max="4613" width="11.28515625" customWidth="1"/>
    <col min="4867" max="4867" width="31.140625" customWidth="1"/>
    <col min="4869" max="4869" width="11.28515625" customWidth="1"/>
    <col min="5123" max="5123" width="31.140625" customWidth="1"/>
    <col min="5125" max="5125" width="11.28515625" customWidth="1"/>
    <col min="5379" max="5379" width="31.140625" customWidth="1"/>
    <col min="5381" max="5381" width="11.28515625" customWidth="1"/>
    <col min="5635" max="5635" width="31.140625" customWidth="1"/>
    <col min="5637" max="5637" width="11.28515625" customWidth="1"/>
    <col min="5891" max="5891" width="31.140625" customWidth="1"/>
    <col min="5893" max="5893" width="11.28515625" customWidth="1"/>
    <col min="6147" max="6147" width="31.140625" customWidth="1"/>
    <col min="6149" max="6149" width="11.28515625" customWidth="1"/>
    <col min="6403" max="6403" width="31.140625" customWidth="1"/>
    <col min="6405" max="6405" width="11.28515625" customWidth="1"/>
    <col min="6659" max="6659" width="31.140625" customWidth="1"/>
    <col min="6661" max="6661" width="11.28515625" customWidth="1"/>
    <col min="6915" max="6915" width="31.140625" customWidth="1"/>
    <col min="6917" max="6917" width="11.28515625" customWidth="1"/>
    <col min="7171" max="7171" width="31.140625" customWidth="1"/>
    <col min="7173" max="7173" width="11.28515625" customWidth="1"/>
    <col min="7427" max="7427" width="31.140625" customWidth="1"/>
    <col min="7429" max="7429" width="11.28515625" customWidth="1"/>
    <col min="7683" max="7683" width="31.140625" customWidth="1"/>
    <col min="7685" max="7685" width="11.28515625" customWidth="1"/>
    <col min="7939" max="7939" width="31.140625" customWidth="1"/>
    <col min="7941" max="7941" width="11.28515625" customWidth="1"/>
    <col min="8195" max="8195" width="31.140625" customWidth="1"/>
    <col min="8197" max="8197" width="11.28515625" customWidth="1"/>
    <col min="8451" max="8451" width="31.140625" customWidth="1"/>
    <col min="8453" max="8453" width="11.28515625" customWidth="1"/>
    <col min="8707" max="8707" width="31.140625" customWidth="1"/>
    <col min="8709" max="8709" width="11.28515625" customWidth="1"/>
    <col min="8963" max="8963" width="31.140625" customWidth="1"/>
    <col min="8965" max="8965" width="11.28515625" customWidth="1"/>
    <col min="9219" max="9219" width="31.140625" customWidth="1"/>
    <col min="9221" max="9221" width="11.28515625" customWidth="1"/>
    <col min="9475" max="9475" width="31.140625" customWidth="1"/>
    <col min="9477" max="9477" width="11.28515625" customWidth="1"/>
    <col min="9731" max="9731" width="31.140625" customWidth="1"/>
    <col min="9733" max="9733" width="11.28515625" customWidth="1"/>
    <col min="9987" max="9987" width="31.140625" customWidth="1"/>
    <col min="9989" max="9989" width="11.28515625" customWidth="1"/>
    <col min="10243" max="10243" width="31.140625" customWidth="1"/>
    <col min="10245" max="10245" width="11.28515625" customWidth="1"/>
    <col min="10499" max="10499" width="31.140625" customWidth="1"/>
    <col min="10501" max="10501" width="11.28515625" customWidth="1"/>
    <col min="10755" max="10755" width="31.140625" customWidth="1"/>
    <col min="10757" max="10757" width="11.28515625" customWidth="1"/>
    <col min="11011" max="11011" width="31.140625" customWidth="1"/>
    <col min="11013" max="11013" width="11.28515625" customWidth="1"/>
    <col min="11267" max="11267" width="31.140625" customWidth="1"/>
    <col min="11269" max="11269" width="11.28515625" customWidth="1"/>
    <col min="11523" max="11523" width="31.140625" customWidth="1"/>
    <col min="11525" max="11525" width="11.28515625" customWidth="1"/>
    <col min="11779" max="11779" width="31.140625" customWidth="1"/>
    <col min="11781" max="11781" width="11.28515625" customWidth="1"/>
    <col min="12035" max="12035" width="31.140625" customWidth="1"/>
    <col min="12037" max="12037" width="11.28515625" customWidth="1"/>
    <col min="12291" max="12291" width="31.140625" customWidth="1"/>
    <col min="12293" max="12293" width="11.28515625" customWidth="1"/>
    <col min="12547" max="12547" width="31.140625" customWidth="1"/>
    <col min="12549" max="12549" width="11.28515625" customWidth="1"/>
    <col min="12803" max="12803" width="31.140625" customWidth="1"/>
    <col min="12805" max="12805" width="11.28515625" customWidth="1"/>
    <col min="13059" max="13059" width="31.140625" customWidth="1"/>
    <col min="13061" max="13061" width="11.28515625" customWidth="1"/>
    <col min="13315" max="13315" width="31.140625" customWidth="1"/>
    <col min="13317" max="13317" width="11.28515625" customWidth="1"/>
    <col min="13571" max="13571" width="31.140625" customWidth="1"/>
    <col min="13573" max="13573" width="11.28515625" customWidth="1"/>
    <col min="13827" max="13827" width="31.140625" customWidth="1"/>
    <col min="13829" max="13829" width="11.28515625" customWidth="1"/>
    <col min="14083" max="14083" width="31.140625" customWidth="1"/>
    <col min="14085" max="14085" width="11.28515625" customWidth="1"/>
    <col min="14339" max="14339" width="31.140625" customWidth="1"/>
    <col min="14341" max="14341" width="11.28515625" customWidth="1"/>
    <col min="14595" max="14595" width="31.140625" customWidth="1"/>
    <col min="14597" max="14597" width="11.28515625" customWidth="1"/>
    <col min="14851" max="14851" width="31.140625" customWidth="1"/>
    <col min="14853" max="14853" width="11.28515625" customWidth="1"/>
    <col min="15107" max="15107" width="31.140625" customWidth="1"/>
    <col min="15109" max="15109" width="11.28515625" customWidth="1"/>
    <col min="15363" max="15363" width="31.140625" customWidth="1"/>
    <col min="15365" max="15365" width="11.28515625" customWidth="1"/>
    <col min="15619" max="15619" width="31.140625" customWidth="1"/>
    <col min="15621" max="15621" width="11.28515625" customWidth="1"/>
    <col min="15875" max="15875" width="31.140625" customWidth="1"/>
    <col min="15877" max="15877" width="11.28515625" customWidth="1"/>
    <col min="16131" max="16131" width="31.140625" customWidth="1"/>
    <col min="16133" max="16133" width="11.28515625" customWidth="1"/>
  </cols>
  <sheetData>
    <row r="2" spans="2:17" x14ac:dyDescent="0.25">
      <c r="B2" s="31" t="s">
        <v>48</v>
      </c>
      <c r="C2" s="279">
        <v>10</v>
      </c>
      <c r="D2" s="549" t="s">
        <v>89</v>
      </c>
      <c r="E2" s="32"/>
      <c r="F2" s="548" t="s">
        <v>134</v>
      </c>
      <c r="G2" s="548"/>
      <c r="H2" s="548"/>
      <c r="I2" s="548"/>
      <c r="J2" s="548"/>
      <c r="K2" s="548"/>
      <c r="L2" s="548"/>
      <c r="M2" s="548"/>
      <c r="N2" s="548"/>
      <c r="O2" s="548"/>
      <c r="P2" s="541" t="s">
        <v>49</v>
      </c>
    </row>
    <row r="3" spans="2:17" ht="15" customHeight="1" thickBot="1" x14ac:dyDescent="0.3">
      <c r="B3" s="33"/>
      <c r="C3" s="34" t="s">
        <v>50</v>
      </c>
      <c r="D3" s="549"/>
      <c r="E3" s="35"/>
      <c r="F3" s="280">
        <v>1</v>
      </c>
      <c r="G3" s="281">
        <v>2</v>
      </c>
      <c r="H3" s="280">
        <v>3</v>
      </c>
      <c r="I3" s="281">
        <v>4</v>
      </c>
      <c r="J3" s="280">
        <v>5</v>
      </c>
      <c r="K3" s="281">
        <v>6</v>
      </c>
      <c r="L3" s="280">
        <v>7</v>
      </c>
      <c r="M3" s="281">
        <v>8</v>
      </c>
      <c r="N3" s="281">
        <v>9</v>
      </c>
      <c r="O3" s="281">
        <v>10</v>
      </c>
      <c r="P3" s="541"/>
    </row>
    <row r="4" spans="2:17" ht="16.5" thickBot="1" x14ac:dyDescent="0.3">
      <c r="B4" s="542" t="s">
        <v>226</v>
      </c>
      <c r="C4" s="543"/>
      <c r="D4" s="543"/>
      <c r="E4" s="543"/>
      <c r="F4" s="543"/>
      <c r="G4" s="543"/>
      <c r="H4" s="543"/>
      <c r="I4" s="543"/>
      <c r="J4" s="543"/>
      <c r="K4" s="543"/>
      <c r="L4" s="543"/>
      <c r="M4" s="543"/>
      <c r="N4" s="543"/>
      <c r="O4" s="544"/>
    </row>
    <row r="5" spans="2:17" x14ac:dyDescent="0.25">
      <c r="B5" s="479" t="s">
        <v>139</v>
      </c>
      <c r="C5" s="40">
        <v>1</v>
      </c>
      <c r="D5" s="153">
        <f>'REFERENČNÍ ÚDAJE'!E21</f>
        <v>2484.4117933359535</v>
      </c>
      <c r="E5" s="154">
        <f>D5</f>
        <v>2484.4117933359535</v>
      </c>
      <c r="F5" s="154">
        <f t="shared" ref="F5:O6" si="0">$D5</f>
        <v>2484.4117933359535</v>
      </c>
      <c r="G5" s="154">
        <f t="shared" si="0"/>
        <v>2484.4117933359535</v>
      </c>
      <c r="H5" s="154">
        <f t="shared" si="0"/>
        <v>2484.4117933359535</v>
      </c>
      <c r="I5" s="154">
        <f t="shared" si="0"/>
        <v>2484.4117933359535</v>
      </c>
      <c r="J5" s="154">
        <f t="shared" si="0"/>
        <v>2484.4117933359535</v>
      </c>
      <c r="K5" s="154">
        <f t="shared" si="0"/>
        <v>2484.4117933359535</v>
      </c>
      <c r="L5" s="154">
        <f t="shared" si="0"/>
        <v>2484.4117933359535</v>
      </c>
      <c r="M5" s="154">
        <f t="shared" si="0"/>
        <v>2484.4117933359535</v>
      </c>
      <c r="N5" s="154">
        <f t="shared" si="0"/>
        <v>2484.4117933359535</v>
      </c>
      <c r="O5" s="155">
        <f t="shared" si="0"/>
        <v>2484.4117933359535</v>
      </c>
      <c r="P5" s="26">
        <f t="shared" ref="P5:P14" si="1">SUM(F5:O5)</f>
        <v>24844.117933359532</v>
      </c>
    </row>
    <row r="6" spans="2:17" x14ac:dyDescent="0.25">
      <c r="B6" s="479" t="s">
        <v>140</v>
      </c>
      <c r="C6" s="40">
        <v>2</v>
      </c>
      <c r="D6" s="153">
        <f>'REFERENČNÍ ÚDAJE'!J21</f>
        <v>803.09932000000003</v>
      </c>
      <c r="E6" s="154">
        <f>D6</f>
        <v>803.09932000000003</v>
      </c>
      <c r="F6" s="154">
        <f t="shared" si="0"/>
        <v>803.09932000000003</v>
      </c>
      <c r="G6" s="154">
        <f t="shared" si="0"/>
        <v>803.09932000000003</v>
      </c>
      <c r="H6" s="154">
        <f t="shared" si="0"/>
        <v>803.09932000000003</v>
      </c>
      <c r="I6" s="154">
        <f t="shared" si="0"/>
        <v>803.09932000000003</v>
      </c>
      <c r="J6" s="154">
        <f t="shared" si="0"/>
        <v>803.09932000000003</v>
      </c>
      <c r="K6" s="154">
        <f t="shared" si="0"/>
        <v>803.09932000000003</v>
      </c>
      <c r="L6" s="154">
        <f t="shared" si="0"/>
        <v>803.09932000000003</v>
      </c>
      <c r="M6" s="154">
        <f t="shared" si="0"/>
        <v>803.09932000000003</v>
      </c>
      <c r="N6" s="154">
        <f t="shared" si="0"/>
        <v>803.09932000000003</v>
      </c>
      <c r="O6" s="155">
        <f t="shared" si="0"/>
        <v>803.09932000000003</v>
      </c>
      <c r="P6" s="26">
        <f t="shared" ref="P6" si="2">SUM(F6:O6)</f>
        <v>8030.9932000000017</v>
      </c>
    </row>
    <row r="7" spans="2:17" x14ac:dyDescent="0.25">
      <c r="B7" s="479" t="s">
        <v>108</v>
      </c>
      <c r="C7" s="40">
        <v>3</v>
      </c>
      <c r="D7" s="36">
        <f>'REFERENČNÍ ÚDAJE'!N21</f>
        <v>1053.006198</v>
      </c>
      <c r="E7" s="37">
        <f t="shared" ref="E7:E13" si="3">D7</f>
        <v>1053.006198</v>
      </c>
      <c r="F7" s="37">
        <f t="shared" ref="F7:O13" si="4">$D7</f>
        <v>1053.006198</v>
      </c>
      <c r="G7" s="37">
        <f t="shared" si="4"/>
        <v>1053.006198</v>
      </c>
      <c r="H7" s="37">
        <f t="shared" si="4"/>
        <v>1053.006198</v>
      </c>
      <c r="I7" s="37">
        <f t="shared" si="4"/>
        <v>1053.006198</v>
      </c>
      <c r="J7" s="37">
        <f t="shared" si="4"/>
        <v>1053.006198</v>
      </c>
      <c r="K7" s="37">
        <f t="shared" si="4"/>
        <v>1053.006198</v>
      </c>
      <c r="L7" s="37">
        <f t="shared" si="4"/>
        <v>1053.006198</v>
      </c>
      <c r="M7" s="37">
        <f t="shared" si="4"/>
        <v>1053.006198</v>
      </c>
      <c r="N7" s="37">
        <f t="shared" si="4"/>
        <v>1053.006198</v>
      </c>
      <c r="O7" s="38">
        <f t="shared" si="4"/>
        <v>1053.006198</v>
      </c>
      <c r="P7" s="26">
        <f t="shared" si="1"/>
        <v>10530.061979999999</v>
      </c>
    </row>
    <row r="8" spans="2:17" ht="16.5" thickBot="1" x14ac:dyDescent="0.3">
      <c r="B8" s="480" t="s">
        <v>73</v>
      </c>
      <c r="C8" s="42">
        <v>4</v>
      </c>
      <c r="D8" s="43">
        <f>'REFERENČNÍ ÚDAJE'!R21</f>
        <v>16908.400000000001</v>
      </c>
      <c r="E8" s="44">
        <f t="shared" si="3"/>
        <v>16908.400000000001</v>
      </c>
      <c r="F8" s="44">
        <f t="shared" si="4"/>
        <v>16908.400000000001</v>
      </c>
      <c r="G8" s="44">
        <f t="shared" si="4"/>
        <v>16908.400000000001</v>
      </c>
      <c r="H8" s="44">
        <f t="shared" si="4"/>
        <v>16908.400000000001</v>
      </c>
      <c r="I8" s="44">
        <f t="shared" si="4"/>
        <v>16908.400000000001</v>
      </c>
      <c r="J8" s="44">
        <f t="shared" si="4"/>
        <v>16908.400000000001</v>
      </c>
      <c r="K8" s="44">
        <f t="shared" si="4"/>
        <v>16908.400000000001</v>
      </c>
      <c r="L8" s="44">
        <f t="shared" si="4"/>
        <v>16908.400000000001</v>
      </c>
      <c r="M8" s="44">
        <f t="shared" si="4"/>
        <v>16908.400000000001</v>
      </c>
      <c r="N8" s="44">
        <f t="shared" si="4"/>
        <v>16908.400000000001</v>
      </c>
      <c r="O8" s="45">
        <f t="shared" si="4"/>
        <v>16908.400000000001</v>
      </c>
      <c r="P8" s="26">
        <f t="shared" si="1"/>
        <v>169083.99999999997</v>
      </c>
    </row>
    <row r="9" spans="2:17" x14ac:dyDescent="0.25">
      <c r="B9" s="39" t="s">
        <v>109</v>
      </c>
      <c r="C9" s="40">
        <v>5</v>
      </c>
      <c r="D9" s="153">
        <f>'REFERENČNÍ ÚDAJE'!G21</f>
        <v>4675358.31433935</v>
      </c>
      <c r="E9" s="37">
        <f t="shared" ref="E9" si="5">D9</f>
        <v>4675358.31433935</v>
      </c>
      <c r="F9" s="37">
        <f t="shared" si="4"/>
        <v>4675358.31433935</v>
      </c>
      <c r="G9" s="37">
        <f t="shared" si="4"/>
        <v>4675358.31433935</v>
      </c>
      <c r="H9" s="37">
        <f t="shared" si="4"/>
        <v>4675358.31433935</v>
      </c>
      <c r="I9" s="37">
        <f t="shared" si="4"/>
        <v>4675358.31433935</v>
      </c>
      <c r="J9" s="37">
        <f t="shared" si="4"/>
        <v>4675358.31433935</v>
      </c>
      <c r="K9" s="37">
        <f t="shared" si="4"/>
        <v>4675358.31433935</v>
      </c>
      <c r="L9" s="37">
        <f t="shared" si="4"/>
        <v>4675358.31433935</v>
      </c>
      <c r="M9" s="37">
        <f t="shared" si="4"/>
        <v>4675358.31433935</v>
      </c>
      <c r="N9" s="37">
        <f t="shared" si="4"/>
        <v>4675358.31433935</v>
      </c>
      <c r="O9" s="38">
        <f t="shared" si="4"/>
        <v>4675358.31433935</v>
      </c>
      <c r="P9" s="26">
        <f t="shared" si="1"/>
        <v>46753583.143393494</v>
      </c>
    </row>
    <row r="10" spans="2:17" x14ac:dyDescent="0.25">
      <c r="B10" s="39" t="s">
        <v>141</v>
      </c>
      <c r="C10" s="40">
        <v>6</v>
      </c>
      <c r="D10" s="153">
        <f>'REFERENČNÍ ÚDAJE'!L21</f>
        <v>2028044.9020000002</v>
      </c>
      <c r="E10" s="37">
        <f t="shared" ref="E10" si="6">D10</f>
        <v>2028044.9020000002</v>
      </c>
      <c r="F10" s="37">
        <f t="shared" si="4"/>
        <v>2028044.9020000002</v>
      </c>
      <c r="G10" s="37">
        <f t="shared" si="4"/>
        <v>2028044.9020000002</v>
      </c>
      <c r="H10" s="37">
        <f t="shared" si="4"/>
        <v>2028044.9020000002</v>
      </c>
      <c r="I10" s="37">
        <f t="shared" si="4"/>
        <v>2028044.9020000002</v>
      </c>
      <c r="J10" s="37">
        <f t="shared" si="4"/>
        <v>2028044.9020000002</v>
      </c>
      <c r="K10" s="37">
        <f t="shared" si="4"/>
        <v>2028044.9020000002</v>
      </c>
      <c r="L10" s="37">
        <f t="shared" si="4"/>
        <v>2028044.9020000002</v>
      </c>
      <c r="M10" s="37">
        <f t="shared" si="4"/>
        <v>2028044.9020000002</v>
      </c>
      <c r="N10" s="37">
        <f t="shared" si="4"/>
        <v>2028044.9020000002</v>
      </c>
      <c r="O10" s="38">
        <f t="shared" si="4"/>
        <v>2028044.9020000002</v>
      </c>
      <c r="P10" s="26">
        <f t="shared" ref="P10" si="7">SUM(F10:O10)</f>
        <v>20280449.020000003</v>
      </c>
    </row>
    <row r="11" spans="2:17" x14ac:dyDescent="0.25">
      <c r="B11" s="39" t="s">
        <v>110</v>
      </c>
      <c r="C11" s="40">
        <v>7</v>
      </c>
      <c r="D11" s="36">
        <f>'REFERENČNÍ ÚDAJE'!P21</f>
        <v>5516073.0476663159</v>
      </c>
      <c r="E11" s="37">
        <f t="shared" si="3"/>
        <v>5516073.0476663159</v>
      </c>
      <c r="F11" s="37">
        <f t="shared" si="4"/>
        <v>5516073.0476663159</v>
      </c>
      <c r="G11" s="37">
        <f t="shared" si="4"/>
        <v>5516073.0476663159</v>
      </c>
      <c r="H11" s="37">
        <f t="shared" si="4"/>
        <v>5516073.0476663159</v>
      </c>
      <c r="I11" s="37">
        <f t="shared" si="4"/>
        <v>5516073.0476663159</v>
      </c>
      <c r="J11" s="37">
        <f t="shared" si="4"/>
        <v>5516073.0476663159</v>
      </c>
      <c r="K11" s="37">
        <f t="shared" si="4"/>
        <v>5516073.0476663159</v>
      </c>
      <c r="L11" s="37">
        <f t="shared" si="4"/>
        <v>5516073.0476663159</v>
      </c>
      <c r="M11" s="37">
        <f t="shared" si="4"/>
        <v>5516073.0476663159</v>
      </c>
      <c r="N11" s="37">
        <f t="shared" si="4"/>
        <v>5516073.0476663159</v>
      </c>
      <c r="O11" s="38">
        <f t="shared" si="4"/>
        <v>5516073.0476663159</v>
      </c>
      <c r="P11" s="26">
        <f t="shared" si="1"/>
        <v>55160730.476663165</v>
      </c>
    </row>
    <row r="12" spans="2:17" x14ac:dyDescent="0.25">
      <c r="B12" s="39" t="s">
        <v>99</v>
      </c>
      <c r="C12" s="40">
        <v>8</v>
      </c>
      <c r="D12" s="36">
        <f>'REFERENČNÍ ÚDAJE'!T21</f>
        <v>1882909.273585787</v>
      </c>
      <c r="E12" s="37">
        <f t="shared" si="3"/>
        <v>1882909.273585787</v>
      </c>
      <c r="F12" s="37">
        <f t="shared" si="4"/>
        <v>1882909.273585787</v>
      </c>
      <c r="G12" s="37">
        <f t="shared" si="4"/>
        <v>1882909.273585787</v>
      </c>
      <c r="H12" s="37">
        <f t="shared" si="4"/>
        <v>1882909.273585787</v>
      </c>
      <c r="I12" s="37">
        <f t="shared" si="4"/>
        <v>1882909.273585787</v>
      </c>
      <c r="J12" s="37">
        <f t="shared" si="4"/>
        <v>1882909.273585787</v>
      </c>
      <c r="K12" s="37">
        <f t="shared" si="4"/>
        <v>1882909.273585787</v>
      </c>
      <c r="L12" s="37">
        <f t="shared" si="4"/>
        <v>1882909.273585787</v>
      </c>
      <c r="M12" s="37">
        <f t="shared" si="4"/>
        <v>1882909.273585787</v>
      </c>
      <c r="N12" s="37">
        <f t="shared" si="4"/>
        <v>1882909.273585787</v>
      </c>
      <c r="O12" s="38">
        <f t="shared" si="4"/>
        <v>1882909.273585787</v>
      </c>
      <c r="P12" s="26">
        <f t="shared" si="1"/>
        <v>18829092.735857874</v>
      </c>
    </row>
    <row r="13" spans="2:17" ht="15.75" thickBot="1" x14ac:dyDescent="0.3">
      <c r="B13" s="46" t="s">
        <v>100</v>
      </c>
      <c r="C13" s="42">
        <v>9</v>
      </c>
      <c r="D13" s="43">
        <f>'REFERENČNÍ ÚDAJE'!W21</f>
        <v>0</v>
      </c>
      <c r="E13" s="44">
        <f t="shared" si="3"/>
        <v>0</v>
      </c>
      <c r="F13" s="44">
        <f t="shared" si="4"/>
        <v>0</v>
      </c>
      <c r="G13" s="44">
        <f t="shared" si="4"/>
        <v>0</v>
      </c>
      <c r="H13" s="44">
        <f t="shared" si="4"/>
        <v>0</v>
      </c>
      <c r="I13" s="44">
        <f t="shared" si="4"/>
        <v>0</v>
      </c>
      <c r="J13" s="44">
        <f t="shared" si="4"/>
        <v>0</v>
      </c>
      <c r="K13" s="44">
        <f t="shared" si="4"/>
        <v>0</v>
      </c>
      <c r="L13" s="44">
        <f t="shared" si="4"/>
        <v>0</v>
      </c>
      <c r="M13" s="44">
        <f t="shared" si="4"/>
        <v>0</v>
      </c>
      <c r="N13" s="44">
        <f t="shared" si="4"/>
        <v>0</v>
      </c>
      <c r="O13" s="45">
        <f t="shared" si="4"/>
        <v>0</v>
      </c>
      <c r="P13" s="26">
        <f t="shared" si="1"/>
        <v>0</v>
      </c>
    </row>
    <row r="14" spans="2:17" ht="15.75" thickBot="1" x14ac:dyDescent="0.3">
      <c r="B14" s="47" t="s">
        <v>223</v>
      </c>
      <c r="C14" s="48" t="s">
        <v>51</v>
      </c>
      <c r="D14" s="49">
        <f t="shared" ref="D14:O14" si="8">SUM(D9:D13)</f>
        <v>14102385.537591452</v>
      </c>
      <c r="E14" s="50">
        <f t="shared" si="8"/>
        <v>14102385.537591452</v>
      </c>
      <c r="F14" s="49">
        <f t="shared" si="8"/>
        <v>14102385.537591452</v>
      </c>
      <c r="G14" s="49">
        <f t="shared" si="8"/>
        <v>14102385.537591452</v>
      </c>
      <c r="H14" s="49">
        <f t="shared" si="8"/>
        <v>14102385.537591452</v>
      </c>
      <c r="I14" s="49">
        <f t="shared" si="8"/>
        <v>14102385.537591452</v>
      </c>
      <c r="J14" s="49">
        <f t="shared" si="8"/>
        <v>14102385.537591452</v>
      </c>
      <c r="K14" s="49">
        <f t="shared" si="8"/>
        <v>14102385.537591452</v>
      </c>
      <c r="L14" s="49">
        <f t="shared" si="8"/>
        <v>14102385.537591452</v>
      </c>
      <c r="M14" s="49">
        <f t="shared" si="8"/>
        <v>14102385.537591452</v>
      </c>
      <c r="N14" s="49">
        <f t="shared" si="8"/>
        <v>14102385.537591452</v>
      </c>
      <c r="O14" s="51">
        <f t="shared" si="8"/>
        <v>14102385.537591452</v>
      </c>
      <c r="P14" s="26">
        <f t="shared" si="1"/>
        <v>141023855.37591454</v>
      </c>
    </row>
    <row r="15" spans="2:17" ht="15.75" thickBot="1" x14ac:dyDescent="0.3"/>
    <row r="16" spans="2:17" ht="15.75" thickBot="1" x14ac:dyDescent="0.3">
      <c r="B16" s="542" t="s">
        <v>225</v>
      </c>
      <c r="C16" s="543"/>
      <c r="D16" s="543"/>
      <c r="E16" s="543"/>
      <c r="F16" s="543"/>
      <c r="G16" s="543"/>
      <c r="H16" s="543"/>
      <c r="I16" s="543"/>
      <c r="J16" s="543"/>
      <c r="K16" s="543"/>
      <c r="L16" s="543"/>
      <c r="M16" s="543"/>
      <c r="N16" s="543"/>
      <c r="O16" s="544"/>
      <c r="P16" s="52" t="s">
        <v>52</v>
      </c>
      <c r="Q16" s="52" t="s">
        <v>53</v>
      </c>
    </row>
    <row r="17" spans="1:19" x14ac:dyDescent="0.25">
      <c r="B17" s="152" t="str">
        <f t="shared" ref="B17:B25" si="9">B5</f>
        <v>Zemní plyn [MWh]</v>
      </c>
      <c r="C17" s="58">
        <f>C13+1</f>
        <v>10</v>
      </c>
      <c r="D17" s="59" t="s">
        <v>36</v>
      </c>
      <c r="E17" s="53">
        <f>E5</f>
        <v>2484.4117933359535</v>
      </c>
      <c r="F17" s="54"/>
      <c r="G17" s="54"/>
      <c r="H17" s="54"/>
      <c r="I17" s="54"/>
      <c r="J17" s="54"/>
      <c r="K17" s="54"/>
      <c r="L17" s="54"/>
      <c r="M17" s="55"/>
      <c r="N17" s="55"/>
      <c r="O17" s="56"/>
      <c r="P17" s="26">
        <f t="shared" ref="P17:P26" si="10">SUM(F17:O17)</f>
        <v>0</v>
      </c>
      <c r="Q17" s="26">
        <f>P5-P17</f>
        <v>24844.117933359532</v>
      </c>
      <c r="R17" s="22" t="s">
        <v>93</v>
      </c>
      <c r="S17" s="57">
        <f>Q17/P5</f>
        <v>1</v>
      </c>
    </row>
    <row r="18" spans="1:19" x14ac:dyDescent="0.25">
      <c r="B18" s="152" t="str">
        <f t="shared" si="9"/>
        <v>Propan [MWh]</v>
      </c>
      <c r="C18" s="58">
        <f t="shared" ref="C18:C25" si="11">C17+1</f>
        <v>11</v>
      </c>
      <c r="D18" s="59" t="s">
        <v>36</v>
      </c>
      <c r="E18" s="53">
        <f>E7</f>
        <v>1053.006198</v>
      </c>
      <c r="F18" s="54"/>
      <c r="G18" s="54"/>
      <c r="H18" s="54"/>
      <c r="I18" s="54"/>
      <c r="J18" s="54"/>
      <c r="K18" s="54"/>
      <c r="L18" s="54"/>
      <c r="M18" s="55"/>
      <c r="N18" s="55"/>
      <c r="O18" s="56"/>
      <c r="P18" s="26">
        <f t="shared" ref="P18" si="12">SUM(F18:O18)</f>
        <v>0</v>
      </c>
      <c r="Q18" s="26">
        <f>P7-P18</f>
        <v>10530.061979999999</v>
      </c>
      <c r="R18" s="22" t="s">
        <v>93</v>
      </c>
      <c r="S18" s="57">
        <f>Q18/P7</f>
        <v>1</v>
      </c>
    </row>
    <row r="19" spans="1:19" x14ac:dyDescent="0.25">
      <c r="B19" s="39" t="str">
        <f t="shared" si="9"/>
        <v>Elektřina [MWh]</v>
      </c>
      <c r="C19" s="58">
        <f t="shared" si="11"/>
        <v>12</v>
      </c>
      <c r="D19" s="59" t="s">
        <v>36</v>
      </c>
      <c r="E19" s="53">
        <f t="shared" ref="E19:E25" si="13">E7</f>
        <v>1053.006198</v>
      </c>
      <c r="F19" s="54"/>
      <c r="G19" s="54"/>
      <c r="H19" s="54"/>
      <c r="I19" s="54"/>
      <c r="J19" s="54"/>
      <c r="K19" s="54"/>
      <c r="L19" s="54"/>
      <c r="M19" s="55"/>
      <c r="N19" s="55"/>
      <c r="O19" s="56"/>
      <c r="P19" s="26">
        <f t="shared" si="10"/>
        <v>0</v>
      </c>
      <c r="Q19" s="26">
        <f t="shared" ref="Q19:Q26" si="14">P7-P19</f>
        <v>10530.061979999999</v>
      </c>
      <c r="R19" s="22" t="s">
        <v>93</v>
      </c>
      <c r="S19" s="57">
        <f t="shared" ref="S19:S24" si="15">Q19/P7</f>
        <v>1</v>
      </c>
    </row>
    <row r="20" spans="1:19" ht="15.75" thickBot="1" x14ac:dyDescent="0.3">
      <c r="B20" s="41" t="str">
        <f t="shared" si="9"/>
        <v>Voda [m3]</v>
      </c>
      <c r="C20" s="60">
        <f t="shared" si="11"/>
        <v>13</v>
      </c>
      <c r="D20" s="61" t="s">
        <v>36</v>
      </c>
      <c r="E20" s="62">
        <f t="shared" si="13"/>
        <v>16908.400000000001</v>
      </c>
      <c r="F20" s="63"/>
      <c r="G20" s="63"/>
      <c r="H20" s="63"/>
      <c r="I20" s="63"/>
      <c r="J20" s="63"/>
      <c r="K20" s="63"/>
      <c r="L20" s="63"/>
      <c r="M20" s="64"/>
      <c r="N20" s="64"/>
      <c r="O20" s="65"/>
      <c r="P20" s="26">
        <f t="shared" si="10"/>
        <v>0</v>
      </c>
      <c r="Q20" s="26">
        <f t="shared" si="14"/>
        <v>169083.99999999997</v>
      </c>
      <c r="R20" s="22" t="s">
        <v>1</v>
      </c>
      <c r="S20" s="57">
        <f t="shared" si="15"/>
        <v>1</v>
      </c>
    </row>
    <row r="21" spans="1:19" x14ac:dyDescent="0.25">
      <c r="B21" s="39" t="str">
        <f t="shared" si="9"/>
        <v>Zemní plyn [Kč vč. DPH]</v>
      </c>
      <c r="C21" s="58">
        <f t="shared" si="11"/>
        <v>14</v>
      </c>
      <c r="D21" s="59" t="s">
        <v>36</v>
      </c>
      <c r="E21" s="53">
        <f t="shared" si="13"/>
        <v>4675358.31433935</v>
      </c>
      <c r="F21" s="54"/>
      <c r="G21" s="54"/>
      <c r="H21" s="54"/>
      <c r="I21" s="54"/>
      <c r="J21" s="54"/>
      <c r="K21" s="54"/>
      <c r="L21" s="54"/>
      <c r="M21" s="54"/>
      <c r="N21" s="54"/>
      <c r="O21" s="56"/>
      <c r="P21" s="26">
        <f t="shared" si="10"/>
        <v>0</v>
      </c>
      <c r="Q21" s="26">
        <f t="shared" si="14"/>
        <v>46753583.143393494</v>
      </c>
      <c r="R21" s="22" t="s">
        <v>4</v>
      </c>
      <c r="S21" s="57">
        <f t="shared" si="15"/>
        <v>1</v>
      </c>
    </row>
    <row r="22" spans="1:19" x14ac:dyDescent="0.25">
      <c r="B22" s="39" t="str">
        <f t="shared" si="9"/>
        <v>Propan [Kč vč. DPH]</v>
      </c>
      <c r="C22" s="58">
        <f t="shared" si="11"/>
        <v>15</v>
      </c>
      <c r="D22" s="59" t="s">
        <v>36</v>
      </c>
      <c r="E22" s="53">
        <f t="shared" si="13"/>
        <v>2028044.9020000002</v>
      </c>
      <c r="F22" s="54"/>
      <c r="G22" s="54"/>
      <c r="H22" s="54"/>
      <c r="I22" s="54"/>
      <c r="J22" s="54"/>
      <c r="K22" s="54"/>
      <c r="L22" s="54"/>
      <c r="M22" s="54"/>
      <c r="N22" s="54"/>
      <c r="O22" s="56"/>
      <c r="P22" s="26">
        <f t="shared" ref="P22" si="16">SUM(F22:O22)</f>
        <v>0</v>
      </c>
      <c r="Q22" s="26">
        <f t="shared" si="14"/>
        <v>20280449.020000003</v>
      </c>
      <c r="R22" s="22" t="s">
        <v>4</v>
      </c>
      <c r="S22" s="57">
        <f t="shared" si="15"/>
        <v>1</v>
      </c>
    </row>
    <row r="23" spans="1:19" ht="14.25" customHeight="1" x14ac:dyDescent="0.25">
      <c r="B23" s="39" t="str">
        <f t="shared" si="9"/>
        <v>Elektřina [Kč vč. DPH]</v>
      </c>
      <c r="C23" s="58">
        <f t="shared" si="11"/>
        <v>16</v>
      </c>
      <c r="D23" s="59" t="s">
        <v>36</v>
      </c>
      <c r="E23" s="53">
        <f t="shared" si="13"/>
        <v>5516073.0476663159</v>
      </c>
      <c r="F23" s="54"/>
      <c r="G23" s="54"/>
      <c r="H23" s="54"/>
      <c r="I23" s="54"/>
      <c r="J23" s="54"/>
      <c r="K23" s="54"/>
      <c r="L23" s="54"/>
      <c r="M23" s="54"/>
      <c r="N23" s="54"/>
      <c r="O23" s="56"/>
      <c r="P23" s="26">
        <f t="shared" si="10"/>
        <v>0</v>
      </c>
      <c r="Q23" s="26">
        <f t="shared" si="14"/>
        <v>55160730.476663165</v>
      </c>
      <c r="R23" s="22" t="s">
        <v>4</v>
      </c>
      <c r="S23" s="57">
        <f t="shared" si="15"/>
        <v>1</v>
      </c>
    </row>
    <row r="24" spans="1:19" x14ac:dyDescent="0.25">
      <c r="B24" s="39" t="str">
        <f t="shared" si="9"/>
        <v>Voda [Kč vč. DPH]</v>
      </c>
      <c r="C24" s="58">
        <f t="shared" si="11"/>
        <v>17</v>
      </c>
      <c r="D24" s="59" t="s">
        <v>36</v>
      </c>
      <c r="E24" s="53">
        <f t="shared" si="13"/>
        <v>1882909.273585787</v>
      </c>
      <c r="F24" s="54"/>
      <c r="G24" s="54"/>
      <c r="H24" s="54"/>
      <c r="I24" s="54"/>
      <c r="J24" s="54"/>
      <c r="K24" s="54"/>
      <c r="L24" s="54"/>
      <c r="M24" s="54"/>
      <c r="N24" s="54"/>
      <c r="O24" s="56"/>
      <c r="P24" s="26">
        <f t="shared" si="10"/>
        <v>0</v>
      </c>
      <c r="Q24" s="26">
        <f t="shared" si="14"/>
        <v>18829092.735857874</v>
      </c>
      <c r="R24" s="22" t="s">
        <v>4</v>
      </c>
      <c r="S24" s="57">
        <f t="shared" si="15"/>
        <v>1</v>
      </c>
    </row>
    <row r="25" spans="1:19" ht="15.75" thickBot="1" x14ac:dyDescent="0.3">
      <c r="B25" s="46" t="str">
        <f t="shared" si="9"/>
        <v>Ostatní provozní náklady [Kč vč. DPH]</v>
      </c>
      <c r="C25" s="60">
        <f t="shared" si="11"/>
        <v>18</v>
      </c>
      <c r="D25" s="69" t="s">
        <v>36</v>
      </c>
      <c r="E25" s="62">
        <f t="shared" si="13"/>
        <v>0</v>
      </c>
      <c r="F25" s="63"/>
      <c r="G25" s="63"/>
      <c r="H25" s="63"/>
      <c r="I25" s="63"/>
      <c r="J25" s="63"/>
      <c r="K25" s="63"/>
      <c r="L25" s="63"/>
      <c r="M25" s="63"/>
      <c r="N25" s="63"/>
      <c r="O25" s="65"/>
      <c r="P25" s="26">
        <f t="shared" si="10"/>
        <v>0</v>
      </c>
      <c r="Q25" s="26">
        <f t="shared" si="14"/>
        <v>0</v>
      </c>
      <c r="R25" s="22" t="s">
        <v>4</v>
      </c>
      <c r="S25" s="57"/>
    </row>
    <row r="26" spans="1:19" ht="15.75" thickBot="1" x14ac:dyDescent="0.3">
      <c r="B26" s="47" t="s">
        <v>224</v>
      </c>
      <c r="C26" s="147" t="s">
        <v>54</v>
      </c>
      <c r="D26" s="148"/>
      <c r="E26" s="149">
        <f t="shared" ref="E26:O26" si="17">SUM(E21:E25)</f>
        <v>14102385.537591452</v>
      </c>
      <c r="F26" s="150">
        <f t="shared" si="17"/>
        <v>0</v>
      </c>
      <c r="G26" s="150">
        <f t="shared" si="17"/>
        <v>0</v>
      </c>
      <c r="H26" s="150">
        <f t="shared" si="17"/>
        <v>0</v>
      </c>
      <c r="I26" s="150">
        <f t="shared" si="17"/>
        <v>0</v>
      </c>
      <c r="J26" s="150">
        <f t="shared" si="17"/>
        <v>0</v>
      </c>
      <c r="K26" s="150">
        <f t="shared" si="17"/>
        <v>0</v>
      </c>
      <c r="L26" s="150">
        <f t="shared" si="17"/>
        <v>0</v>
      </c>
      <c r="M26" s="150">
        <f t="shared" si="17"/>
        <v>0</v>
      </c>
      <c r="N26" s="150">
        <f t="shared" si="17"/>
        <v>0</v>
      </c>
      <c r="O26" s="151">
        <f t="shared" si="17"/>
        <v>0</v>
      </c>
      <c r="P26" s="26">
        <f t="shared" si="10"/>
        <v>0</v>
      </c>
      <c r="Q26" s="26">
        <f t="shared" si="14"/>
        <v>141023855.37591454</v>
      </c>
      <c r="R26" s="22" t="s">
        <v>4</v>
      </c>
      <c r="S26" s="57">
        <f>Q26/P14</f>
        <v>1</v>
      </c>
    </row>
    <row r="27" spans="1:19" ht="15.75" thickBot="1" x14ac:dyDescent="0.3">
      <c r="B27" s="71"/>
      <c r="C27" s="72"/>
      <c r="D27" s="70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26"/>
    </row>
    <row r="28" spans="1:19" ht="15.75" thickBot="1" x14ac:dyDescent="0.3">
      <c r="A28" s="74"/>
      <c r="B28" s="545" t="s">
        <v>227</v>
      </c>
      <c r="C28" s="546"/>
      <c r="D28" s="546"/>
      <c r="E28" s="546"/>
      <c r="F28" s="546"/>
      <c r="G28" s="546"/>
      <c r="H28" s="546"/>
      <c r="I28" s="546"/>
      <c r="J28" s="546"/>
      <c r="K28" s="546"/>
      <c r="L28" s="546"/>
      <c r="M28" s="546"/>
      <c r="N28" s="546"/>
      <c r="O28" s="547"/>
      <c r="P28" s="75"/>
      <c r="Q28" s="74"/>
    </row>
    <row r="29" spans="1:19" x14ac:dyDescent="0.25">
      <c r="B29" s="152" t="str">
        <f t="shared" ref="B29:B37" si="18">B17</f>
        <v>Zemní plyn [MWh]</v>
      </c>
      <c r="C29" s="58">
        <f>C25+1</f>
        <v>19</v>
      </c>
      <c r="D29" s="59" t="s">
        <v>36</v>
      </c>
      <c r="E29" s="53">
        <f t="shared" ref="E29:E37" si="19">E17</f>
        <v>2484.4117933359535</v>
      </c>
      <c r="F29" s="54"/>
      <c r="G29" s="54"/>
      <c r="H29" s="54"/>
      <c r="I29" s="54"/>
      <c r="J29" s="54"/>
      <c r="K29" s="54"/>
      <c r="L29" s="54"/>
      <c r="M29" s="55"/>
      <c r="N29" s="55"/>
      <c r="O29" s="56"/>
      <c r="P29" s="26">
        <f t="shared" ref="P29:P38" si="20">SUM(F29:O29)</f>
        <v>0</v>
      </c>
      <c r="Q29" s="26"/>
      <c r="R29" s="22"/>
      <c r="S29" s="57"/>
    </row>
    <row r="30" spans="1:19" x14ac:dyDescent="0.25">
      <c r="B30" s="152" t="str">
        <f t="shared" si="18"/>
        <v>Propan [MWh]</v>
      </c>
      <c r="C30" s="58">
        <f>C29+1</f>
        <v>20</v>
      </c>
      <c r="D30" s="59" t="s">
        <v>36</v>
      </c>
      <c r="E30" s="53">
        <f t="shared" si="19"/>
        <v>1053.006198</v>
      </c>
      <c r="F30" s="54"/>
      <c r="G30" s="54"/>
      <c r="H30" s="54"/>
      <c r="I30" s="54"/>
      <c r="J30" s="54"/>
      <c r="K30" s="54"/>
      <c r="L30" s="54"/>
      <c r="M30" s="55"/>
      <c r="N30" s="55"/>
      <c r="O30" s="56"/>
      <c r="P30" s="26">
        <f t="shared" ref="P30" si="21">SUM(F30:O30)</f>
        <v>0</v>
      </c>
      <c r="Q30" s="26"/>
      <c r="R30" s="22"/>
      <c r="S30" s="57"/>
    </row>
    <row r="31" spans="1:19" x14ac:dyDescent="0.25">
      <c r="B31" s="39" t="str">
        <f t="shared" si="18"/>
        <v>Elektřina [MWh]</v>
      </c>
      <c r="C31" s="58">
        <f>C30+1</f>
        <v>21</v>
      </c>
      <c r="D31" s="59" t="s">
        <v>36</v>
      </c>
      <c r="E31" s="53">
        <f t="shared" si="19"/>
        <v>1053.006198</v>
      </c>
      <c r="F31" s="54"/>
      <c r="G31" s="54"/>
      <c r="H31" s="54"/>
      <c r="I31" s="54"/>
      <c r="J31" s="54"/>
      <c r="K31" s="54"/>
      <c r="L31" s="54"/>
      <c r="M31" s="55"/>
      <c r="N31" s="55"/>
      <c r="O31" s="56"/>
      <c r="P31" s="26">
        <f t="shared" si="20"/>
        <v>0</v>
      </c>
      <c r="Q31" s="26"/>
      <c r="R31" s="22"/>
      <c r="S31" s="57"/>
    </row>
    <row r="32" spans="1:19" ht="15.75" thickBot="1" x14ac:dyDescent="0.3">
      <c r="B32" s="41" t="str">
        <f t="shared" si="18"/>
        <v>Voda [m3]</v>
      </c>
      <c r="C32" s="60">
        <f t="shared" ref="C32:C37" si="22">C31+1</f>
        <v>22</v>
      </c>
      <c r="D32" s="61" t="s">
        <v>36</v>
      </c>
      <c r="E32" s="62">
        <f t="shared" si="19"/>
        <v>16908.400000000001</v>
      </c>
      <c r="F32" s="63"/>
      <c r="G32" s="63"/>
      <c r="H32" s="63"/>
      <c r="I32" s="63"/>
      <c r="J32" s="63"/>
      <c r="K32" s="63"/>
      <c r="L32" s="63"/>
      <c r="M32" s="64"/>
      <c r="N32" s="64"/>
      <c r="O32" s="65"/>
      <c r="P32" s="26">
        <f t="shared" si="20"/>
        <v>0</v>
      </c>
      <c r="Q32" s="26"/>
      <c r="R32" s="22"/>
      <c r="S32" s="57"/>
    </row>
    <row r="33" spans="1:23" x14ac:dyDescent="0.25">
      <c r="B33" s="39" t="str">
        <f t="shared" si="18"/>
        <v>Zemní plyn [Kč vč. DPH]</v>
      </c>
      <c r="C33" s="58">
        <f>C32+1</f>
        <v>23</v>
      </c>
      <c r="D33" s="59" t="s">
        <v>36</v>
      </c>
      <c r="E33" s="53">
        <f t="shared" si="19"/>
        <v>4675358.31433935</v>
      </c>
      <c r="F33" s="54"/>
      <c r="G33" s="54"/>
      <c r="H33" s="54"/>
      <c r="I33" s="54"/>
      <c r="J33" s="54"/>
      <c r="K33" s="54"/>
      <c r="L33" s="54"/>
      <c r="M33" s="54"/>
      <c r="N33" s="54"/>
      <c r="O33" s="56"/>
      <c r="P33" s="26">
        <f t="shared" si="20"/>
        <v>0</v>
      </c>
      <c r="Q33" s="26"/>
      <c r="R33" s="22"/>
      <c r="S33" s="57"/>
    </row>
    <row r="34" spans="1:23" x14ac:dyDescent="0.25">
      <c r="B34" s="39" t="str">
        <f t="shared" si="18"/>
        <v>Propan [Kč vč. DPH]</v>
      </c>
      <c r="C34" s="58">
        <f t="shared" si="22"/>
        <v>24</v>
      </c>
      <c r="D34" s="59" t="s">
        <v>36</v>
      </c>
      <c r="E34" s="53">
        <f t="shared" si="19"/>
        <v>2028044.9020000002</v>
      </c>
      <c r="F34" s="54"/>
      <c r="G34" s="54"/>
      <c r="H34" s="54"/>
      <c r="I34" s="54"/>
      <c r="J34" s="54"/>
      <c r="K34" s="54"/>
      <c r="L34" s="54"/>
      <c r="M34" s="54"/>
      <c r="N34" s="54"/>
      <c r="O34" s="56"/>
      <c r="P34" s="26">
        <f t="shared" ref="P34" si="23">SUM(F34:O34)</f>
        <v>0</v>
      </c>
      <c r="Q34" s="26"/>
      <c r="R34" s="22"/>
      <c r="S34" s="57"/>
    </row>
    <row r="35" spans="1:23" x14ac:dyDescent="0.25">
      <c r="B35" s="39" t="str">
        <f t="shared" si="18"/>
        <v>Elektřina [Kč vč. DPH]</v>
      </c>
      <c r="C35" s="58">
        <f t="shared" si="22"/>
        <v>25</v>
      </c>
      <c r="D35" s="59" t="s">
        <v>36</v>
      </c>
      <c r="E35" s="53">
        <f t="shared" si="19"/>
        <v>5516073.0476663159</v>
      </c>
      <c r="F35" s="54"/>
      <c r="G35" s="54"/>
      <c r="H35" s="54"/>
      <c r="I35" s="54"/>
      <c r="J35" s="54"/>
      <c r="K35" s="54"/>
      <c r="L35" s="54"/>
      <c r="M35" s="54"/>
      <c r="N35" s="54"/>
      <c r="O35" s="56"/>
      <c r="P35" s="26">
        <f t="shared" si="20"/>
        <v>0</v>
      </c>
      <c r="Q35" s="26"/>
      <c r="R35" s="22"/>
      <c r="S35" s="57"/>
    </row>
    <row r="36" spans="1:23" x14ac:dyDescent="0.25">
      <c r="B36" s="39" t="str">
        <f t="shared" si="18"/>
        <v>Voda [Kč vč. DPH]</v>
      </c>
      <c r="C36" s="58">
        <f t="shared" si="22"/>
        <v>26</v>
      </c>
      <c r="D36" s="59" t="s">
        <v>36</v>
      </c>
      <c r="E36" s="53">
        <f t="shared" si="19"/>
        <v>1882909.273585787</v>
      </c>
      <c r="F36" s="54"/>
      <c r="G36" s="54"/>
      <c r="H36" s="54"/>
      <c r="I36" s="54"/>
      <c r="J36" s="54"/>
      <c r="K36" s="54"/>
      <c r="L36" s="54"/>
      <c r="M36" s="54"/>
      <c r="N36" s="54"/>
      <c r="O36" s="56"/>
      <c r="P36" s="26">
        <f t="shared" si="20"/>
        <v>0</v>
      </c>
      <c r="Q36" s="26"/>
      <c r="R36" s="22"/>
      <c r="S36" s="57"/>
    </row>
    <row r="37" spans="1:23" ht="15.75" thickBot="1" x14ac:dyDescent="0.3">
      <c r="B37" s="46" t="str">
        <f t="shared" si="18"/>
        <v>Ostatní provozní náklady [Kč vč. DPH]</v>
      </c>
      <c r="C37" s="60">
        <f t="shared" si="22"/>
        <v>27</v>
      </c>
      <c r="D37" s="69" t="s">
        <v>36</v>
      </c>
      <c r="E37" s="62">
        <f t="shared" si="19"/>
        <v>0</v>
      </c>
      <c r="F37" s="63"/>
      <c r="G37" s="63"/>
      <c r="H37" s="63"/>
      <c r="I37" s="63"/>
      <c r="J37" s="63"/>
      <c r="K37" s="63"/>
      <c r="L37" s="63"/>
      <c r="M37" s="63"/>
      <c r="N37" s="63"/>
      <c r="O37" s="65"/>
      <c r="P37" s="26">
        <f t="shared" si="20"/>
        <v>0</v>
      </c>
      <c r="Q37" s="26"/>
      <c r="R37" s="22"/>
      <c r="S37" s="57"/>
    </row>
    <row r="38" spans="1:23" ht="15.75" thickBot="1" x14ac:dyDescent="0.3">
      <c r="A38" s="74"/>
      <c r="B38" s="157" t="s">
        <v>55</v>
      </c>
      <c r="C38" s="158" t="s">
        <v>56</v>
      </c>
      <c r="D38" s="159"/>
      <c r="E38" s="160">
        <f t="shared" ref="E38:O38" si="24">E14-E26</f>
        <v>0</v>
      </c>
      <c r="F38" s="160">
        <f t="shared" si="24"/>
        <v>14102385.537591452</v>
      </c>
      <c r="G38" s="160">
        <f t="shared" si="24"/>
        <v>14102385.537591452</v>
      </c>
      <c r="H38" s="160">
        <f t="shared" si="24"/>
        <v>14102385.537591452</v>
      </c>
      <c r="I38" s="160">
        <f t="shared" si="24"/>
        <v>14102385.537591452</v>
      </c>
      <c r="J38" s="160">
        <f t="shared" si="24"/>
        <v>14102385.537591452</v>
      </c>
      <c r="K38" s="160">
        <f t="shared" si="24"/>
        <v>14102385.537591452</v>
      </c>
      <c r="L38" s="160">
        <f t="shared" si="24"/>
        <v>14102385.537591452</v>
      </c>
      <c r="M38" s="160">
        <f t="shared" si="24"/>
        <v>14102385.537591452</v>
      </c>
      <c r="N38" s="160">
        <f t="shared" si="24"/>
        <v>14102385.537591452</v>
      </c>
      <c r="O38" s="161">
        <f t="shared" si="24"/>
        <v>14102385.537591452</v>
      </c>
      <c r="P38" s="156">
        <f t="shared" si="20"/>
        <v>141023855.37591454</v>
      </c>
      <c r="Q38" s="77" t="s">
        <v>129</v>
      </c>
    </row>
    <row r="39" spans="1:23" x14ac:dyDescent="0.25">
      <c r="A39" s="74"/>
      <c r="C39" s="146"/>
      <c r="D39" s="163" t="s">
        <v>46</v>
      </c>
      <c r="E39" s="76"/>
      <c r="F39" s="162" t="str">
        <f t="shared" ref="F39:P39" si="25">IF(F38=SUM(F33:F37),"OK","!")</f>
        <v>!</v>
      </c>
      <c r="G39" s="162" t="str">
        <f t="shared" si="25"/>
        <v>!</v>
      </c>
      <c r="H39" s="162" t="str">
        <f t="shared" si="25"/>
        <v>!</v>
      </c>
      <c r="I39" s="162" t="str">
        <f t="shared" si="25"/>
        <v>!</v>
      </c>
      <c r="J39" s="162" t="str">
        <f t="shared" si="25"/>
        <v>!</v>
      </c>
      <c r="K39" s="162" t="str">
        <f t="shared" si="25"/>
        <v>!</v>
      </c>
      <c r="L39" s="162" t="str">
        <f t="shared" si="25"/>
        <v>!</v>
      </c>
      <c r="M39" s="162" t="str">
        <f t="shared" si="25"/>
        <v>!</v>
      </c>
      <c r="N39" s="162" t="str">
        <f t="shared" si="25"/>
        <v>!</v>
      </c>
      <c r="O39" s="162" t="str">
        <f t="shared" si="25"/>
        <v>!</v>
      </c>
      <c r="P39" s="162" t="str">
        <f t="shared" si="25"/>
        <v>!</v>
      </c>
      <c r="Q39" s="77"/>
    </row>
    <row r="40" spans="1:23" ht="15.75" thickBot="1" x14ac:dyDescent="0.3">
      <c r="B40" s="78"/>
      <c r="C40" s="72"/>
      <c r="D40" s="79"/>
      <c r="E40" s="80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26"/>
    </row>
    <row r="41" spans="1:23" ht="15.75" thickBot="1" x14ac:dyDescent="0.3">
      <c r="B41" s="542" t="s">
        <v>104</v>
      </c>
      <c r="C41" s="543"/>
      <c r="D41" s="543"/>
      <c r="E41" s="543"/>
      <c r="F41" s="543"/>
      <c r="G41" s="543"/>
      <c r="H41" s="543"/>
      <c r="I41" s="543"/>
      <c r="J41" s="543"/>
      <c r="K41" s="543"/>
      <c r="L41" s="543"/>
      <c r="M41" s="543"/>
      <c r="N41" s="543"/>
      <c r="O41" s="544"/>
      <c r="P41" s="22"/>
    </row>
    <row r="42" spans="1:23" x14ac:dyDescent="0.25">
      <c r="B42" s="169" t="s">
        <v>81</v>
      </c>
      <c r="C42" s="66">
        <f>C37+1</f>
        <v>28</v>
      </c>
      <c r="D42" s="170" t="s">
        <v>36</v>
      </c>
      <c r="E42" s="67"/>
      <c r="F42" s="67"/>
      <c r="G42" s="67"/>
      <c r="H42" s="67"/>
      <c r="I42" s="67"/>
      <c r="J42" s="67"/>
      <c r="K42" s="67"/>
      <c r="L42" s="67"/>
      <c r="M42" s="67"/>
      <c r="N42" s="67"/>
      <c r="O42" s="68"/>
      <c r="P42" s="269">
        <f>SUM(E42:O42)</f>
        <v>0</v>
      </c>
      <c r="Q42" s="80" t="s">
        <v>83</v>
      </c>
      <c r="R42" s="81"/>
      <c r="V42" s="124" t="str">
        <f>IF(P42='Investice a úspory'!D16,"OK","!")</f>
        <v>OK</v>
      </c>
      <c r="W42" s="85" t="s">
        <v>58</v>
      </c>
    </row>
    <row r="43" spans="1:23" x14ac:dyDescent="0.25">
      <c r="B43" s="39" t="s">
        <v>59</v>
      </c>
      <c r="C43" s="58">
        <f>C42+1</f>
        <v>29</v>
      </c>
      <c r="D43" s="83" t="s">
        <v>36</v>
      </c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6"/>
      <c r="P43" s="269">
        <f>SUM(E43:O43)</f>
        <v>0</v>
      </c>
      <c r="Q43" s="86" t="s">
        <v>101</v>
      </c>
    </row>
    <row r="44" spans="1:23" ht="15.75" thickBot="1" x14ac:dyDescent="0.3">
      <c r="B44" s="41" t="s">
        <v>60</v>
      </c>
      <c r="C44" s="60">
        <f>C43+1</f>
        <v>30</v>
      </c>
      <c r="D44" s="69" t="s">
        <v>36</v>
      </c>
      <c r="E44" s="171"/>
      <c r="F44" s="171"/>
      <c r="G44" s="171"/>
      <c r="H44" s="171"/>
      <c r="I44" s="171"/>
      <c r="J44" s="171"/>
      <c r="K44" s="171"/>
      <c r="L44" s="171"/>
      <c r="M44" s="171"/>
      <c r="N44" s="171"/>
      <c r="O44" s="172"/>
      <c r="P44" s="269">
        <f>SUM(E44:O44)</f>
        <v>0</v>
      </c>
      <c r="Q44" s="86" t="s">
        <v>127</v>
      </c>
    </row>
    <row r="45" spans="1:23" ht="15.75" thickBot="1" x14ac:dyDescent="0.3">
      <c r="B45" s="47" t="s">
        <v>142</v>
      </c>
      <c r="C45" s="147" t="s">
        <v>57</v>
      </c>
      <c r="D45" s="173"/>
      <c r="E45" s="174">
        <f t="shared" ref="E45:P45" si="26">SUM(E43:E44)</f>
        <v>0</v>
      </c>
      <c r="F45" s="174">
        <f t="shared" si="26"/>
        <v>0</v>
      </c>
      <c r="G45" s="174">
        <f t="shared" si="26"/>
        <v>0</v>
      </c>
      <c r="H45" s="174">
        <f t="shared" si="26"/>
        <v>0</v>
      </c>
      <c r="I45" s="174">
        <f t="shared" si="26"/>
        <v>0</v>
      </c>
      <c r="J45" s="174">
        <f t="shared" si="26"/>
        <v>0</v>
      </c>
      <c r="K45" s="174">
        <f t="shared" si="26"/>
        <v>0</v>
      </c>
      <c r="L45" s="174">
        <f t="shared" si="26"/>
        <v>0</v>
      </c>
      <c r="M45" s="174">
        <f t="shared" si="26"/>
        <v>0</v>
      </c>
      <c r="N45" s="174">
        <f t="shared" si="26"/>
        <v>0</v>
      </c>
      <c r="O45" s="175">
        <f t="shared" si="26"/>
        <v>0</v>
      </c>
      <c r="P45" s="268">
        <f t="shared" si="26"/>
        <v>0</v>
      </c>
      <c r="Q45" s="86" t="s">
        <v>102</v>
      </c>
    </row>
    <row r="46" spans="1:23" ht="15" customHeight="1" x14ac:dyDescent="0.25">
      <c r="B46" s="71"/>
      <c r="C46" s="72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3"/>
      <c r="O46" s="73"/>
      <c r="Q46" s="86"/>
    </row>
    <row r="47" spans="1:23" ht="15" customHeight="1" thickBot="1" x14ac:dyDescent="0.3">
      <c r="B47" s="71"/>
      <c r="C47" s="72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Q47" s="86"/>
    </row>
    <row r="48" spans="1:23" ht="15.75" thickBot="1" x14ac:dyDescent="0.3">
      <c r="B48" s="176" t="s">
        <v>103</v>
      </c>
      <c r="C48" s="177"/>
      <c r="D48" s="177"/>
      <c r="E48" s="177"/>
      <c r="F48" s="178"/>
      <c r="G48" s="178"/>
      <c r="H48" s="179"/>
      <c r="I48" s="179"/>
      <c r="J48" s="179"/>
      <c r="K48" s="179"/>
      <c r="L48" s="179"/>
      <c r="M48" s="179"/>
      <c r="N48" s="179"/>
      <c r="O48" s="180"/>
    </row>
    <row r="49" spans="2:17" ht="15.75" thickBot="1" x14ac:dyDescent="0.3">
      <c r="B49" s="47" t="s">
        <v>90</v>
      </c>
      <c r="C49" s="182" t="s">
        <v>61</v>
      </c>
      <c r="D49" s="196" t="s">
        <v>11</v>
      </c>
      <c r="E49" s="183">
        <f t="shared" ref="E49:P49" si="27">E45-E38</f>
        <v>0</v>
      </c>
      <c r="F49" s="183">
        <f t="shared" si="27"/>
        <v>-14102385.537591452</v>
      </c>
      <c r="G49" s="183">
        <f t="shared" si="27"/>
        <v>-14102385.537591452</v>
      </c>
      <c r="H49" s="183">
        <f t="shared" si="27"/>
        <v>-14102385.537591452</v>
      </c>
      <c r="I49" s="183">
        <f t="shared" si="27"/>
        <v>-14102385.537591452</v>
      </c>
      <c r="J49" s="183">
        <f t="shared" si="27"/>
        <v>-14102385.537591452</v>
      </c>
      <c r="K49" s="183">
        <f t="shared" si="27"/>
        <v>-14102385.537591452</v>
      </c>
      <c r="L49" s="183">
        <f t="shared" si="27"/>
        <v>-14102385.537591452</v>
      </c>
      <c r="M49" s="183">
        <f t="shared" si="27"/>
        <v>-14102385.537591452</v>
      </c>
      <c r="N49" s="183">
        <f t="shared" si="27"/>
        <v>-14102385.537591452</v>
      </c>
      <c r="O49" s="184">
        <f t="shared" si="27"/>
        <v>-14102385.537591452</v>
      </c>
      <c r="P49" s="181">
        <f t="shared" si="27"/>
        <v>-141023855.37591454</v>
      </c>
      <c r="Q49" s="164" t="s">
        <v>82</v>
      </c>
    </row>
    <row r="50" spans="2:17" x14ac:dyDescent="0.25">
      <c r="B50" s="165"/>
      <c r="C50" s="166"/>
      <c r="D50" s="167"/>
      <c r="G50" s="167"/>
      <c r="H50" s="87"/>
      <c r="I50" s="87"/>
      <c r="J50" s="87"/>
      <c r="K50" s="87"/>
      <c r="L50" s="87"/>
      <c r="M50" s="87"/>
      <c r="N50" s="87"/>
      <c r="O50" s="87"/>
      <c r="P50" s="88"/>
      <c r="Q50" s="185" t="s">
        <v>62</v>
      </c>
    </row>
    <row r="51" spans="2:17" x14ac:dyDescent="0.25">
      <c r="B51" s="168"/>
      <c r="C51" s="166"/>
      <c r="D51" s="167"/>
      <c r="G51" s="167"/>
      <c r="H51" s="87"/>
      <c r="I51" s="87"/>
      <c r="J51" s="87"/>
      <c r="K51" s="87"/>
      <c r="L51" s="87"/>
      <c r="M51" s="87"/>
      <c r="N51" s="87"/>
      <c r="O51" s="87"/>
      <c r="P51" s="167"/>
      <c r="Q51" s="185" t="s">
        <v>63</v>
      </c>
    </row>
    <row r="52" spans="2:17" x14ac:dyDescent="0.25">
      <c r="B52" s="82"/>
      <c r="C52" s="72"/>
      <c r="D52" s="83"/>
      <c r="E52" s="84"/>
      <c r="F52" s="84"/>
      <c r="G52" s="84"/>
      <c r="H52" s="84"/>
      <c r="I52" s="84"/>
      <c r="J52" s="84"/>
      <c r="K52" s="84"/>
      <c r="L52" s="84"/>
      <c r="M52" s="84"/>
      <c r="N52" s="84"/>
      <c r="O52" s="84"/>
    </row>
    <row r="53" spans="2:17" x14ac:dyDescent="0.25">
      <c r="F53" s="127"/>
    </row>
  </sheetData>
  <mergeCells count="7">
    <mergeCell ref="P2:P3"/>
    <mergeCell ref="B4:O4"/>
    <mergeCell ref="B16:O16"/>
    <mergeCell ref="B28:O28"/>
    <mergeCell ref="B41:O41"/>
    <mergeCell ref="F2:O2"/>
    <mergeCell ref="D2:D3"/>
  </mergeCells>
  <pageMargins left="0.7" right="0.7" top="0.78740157499999996" bottom="0.78740157499999996" header="0.3" footer="0.3"/>
  <pageSetup paperSize="9" scale="41" orientation="landscape" r:id="rId1"/>
  <headerFooter>
    <oddHeader>&amp;L&amp;"Calibri"&amp;10&amp;K000000 INTERNÍ      &amp;1#_x000D_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7AFB6"/>
    <pageSetUpPr fitToPage="1"/>
  </sheetPr>
  <dimension ref="B2:K26"/>
  <sheetViews>
    <sheetView workbookViewId="0">
      <selection activeCell="N18" sqref="N18"/>
    </sheetView>
  </sheetViews>
  <sheetFormatPr defaultColWidth="9.140625" defaultRowHeight="15" x14ac:dyDescent="0.25"/>
  <cols>
    <col min="1" max="1" width="5.7109375" style="89" customWidth="1"/>
    <col min="2" max="5" width="9.140625" style="89"/>
    <col min="6" max="6" width="25.5703125" style="89" customWidth="1"/>
    <col min="7" max="7" width="6.140625" style="89" customWidth="1"/>
    <col min="8" max="8" width="7.140625" style="89" customWidth="1"/>
    <col min="9" max="9" width="19.85546875" style="89" customWidth="1"/>
    <col min="10" max="10" width="3.7109375" style="89" customWidth="1"/>
    <col min="11" max="11" width="5.85546875" style="89" customWidth="1"/>
    <col min="12" max="16384" width="9.140625" style="89"/>
  </cols>
  <sheetData>
    <row r="2" spans="2:11" ht="24.75" customHeight="1" x14ac:dyDescent="0.25">
      <c r="B2" s="550" t="s">
        <v>74</v>
      </c>
      <c r="C2" s="551"/>
      <c r="D2" s="551"/>
      <c r="E2" s="551"/>
      <c r="F2" s="551"/>
      <c r="G2" s="551"/>
      <c r="H2" s="551"/>
      <c r="I2" s="551"/>
      <c r="J2" s="552"/>
    </row>
    <row r="3" spans="2:11" ht="12.75" customHeight="1" x14ac:dyDescent="0.25"/>
    <row r="4" spans="2:11" x14ac:dyDescent="0.25">
      <c r="G4" s="121"/>
      <c r="H4" s="121"/>
      <c r="I4" s="123"/>
    </row>
    <row r="6" spans="2:11" x14ac:dyDescent="0.25">
      <c r="B6" s="101" t="s">
        <v>72</v>
      </c>
    </row>
    <row r="7" spans="2:11" ht="6.75" customHeight="1" x14ac:dyDescent="0.25">
      <c r="B7" s="122"/>
      <c r="C7" s="121"/>
    </row>
    <row r="8" spans="2:11" x14ac:dyDescent="0.25">
      <c r="B8" s="114" t="s">
        <v>71</v>
      </c>
      <c r="C8" s="113"/>
      <c r="D8" s="113"/>
      <c r="E8" s="113"/>
      <c r="F8" s="113"/>
      <c r="G8" s="113"/>
      <c r="H8" s="113"/>
      <c r="I8" s="112">
        <f>'Modelová nabídka'!P42/1.21</f>
        <v>0</v>
      </c>
      <c r="J8" s="111" t="s">
        <v>64</v>
      </c>
    </row>
    <row r="9" spans="2:11" x14ac:dyDescent="0.25">
      <c r="B9" s="110" t="s">
        <v>9</v>
      </c>
      <c r="C9" s="108"/>
      <c r="D9" s="109"/>
      <c r="E9" s="109"/>
      <c r="F9" s="109"/>
      <c r="G9" s="109"/>
      <c r="H9" s="108">
        <v>0.21</v>
      </c>
      <c r="I9" s="107">
        <f>I8*H9</f>
        <v>0</v>
      </c>
      <c r="J9" s="106" t="s">
        <v>64</v>
      </c>
    </row>
    <row r="10" spans="2:11" x14ac:dyDescent="0.25">
      <c r="B10" s="105" t="s">
        <v>70</v>
      </c>
      <c r="C10" s="104"/>
      <c r="D10" s="104"/>
      <c r="E10" s="104"/>
      <c r="F10" s="104"/>
      <c r="G10" s="104"/>
      <c r="H10" s="104"/>
      <c r="I10" s="103">
        <f>I8+I9</f>
        <v>0</v>
      </c>
      <c r="J10" s="102" t="s">
        <v>64</v>
      </c>
    </row>
    <row r="11" spans="2:11" ht="7.5" customHeight="1" x14ac:dyDescent="0.25"/>
    <row r="14" spans="2:11" x14ac:dyDescent="0.25">
      <c r="B14" s="1" t="s">
        <v>143</v>
      </c>
    </row>
    <row r="15" spans="2:11" ht="7.5" customHeight="1" x14ac:dyDescent="0.25">
      <c r="B15" s="122"/>
      <c r="C15" s="121"/>
    </row>
    <row r="16" spans="2:11" x14ac:dyDescent="0.25">
      <c r="B16" s="120" t="s">
        <v>69</v>
      </c>
      <c r="C16" s="99"/>
      <c r="D16" s="99"/>
      <c r="E16" s="99"/>
      <c r="F16" s="99"/>
      <c r="G16" s="99"/>
      <c r="H16" s="99"/>
      <c r="I16" s="119">
        <f>'Modelová nabídka'!P43/1.21</f>
        <v>0</v>
      </c>
      <c r="J16" s="118" t="s">
        <v>64</v>
      </c>
      <c r="K16" s="125"/>
    </row>
    <row r="17" spans="2:11" x14ac:dyDescent="0.25">
      <c r="B17" s="117" t="s">
        <v>126</v>
      </c>
      <c r="C17" s="92"/>
      <c r="D17" s="92"/>
      <c r="E17" s="92"/>
      <c r="F17" s="92"/>
      <c r="G17" s="92"/>
      <c r="H17" s="92"/>
      <c r="I17" s="116">
        <f>'Modelová nabídka'!P44/1.21</f>
        <v>0</v>
      </c>
      <c r="J17" s="115" t="s">
        <v>0</v>
      </c>
      <c r="K17" s="125"/>
    </row>
    <row r="18" spans="2:11" x14ac:dyDescent="0.25">
      <c r="B18" s="110" t="s">
        <v>68</v>
      </c>
      <c r="C18" s="109"/>
      <c r="D18" s="109"/>
      <c r="E18" s="109"/>
      <c r="F18" s="109"/>
      <c r="G18" s="109"/>
      <c r="H18" s="109"/>
      <c r="I18" s="107">
        <f>SUM(I16:I17)</f>
        <v>0</v>
      </c>
      <c r="J18" s="106" t="s">
        <v>64</v>
      </c>
    </row>
    <row r="19" spans="2:11" x14ac:dyDescent="0.25">
      <c r="B19" s="110" t="s">
        <v>9</v>
      </c>
      <c r="C19" s="109"/>
      <c r="D19" s="109"/>
      <c r="E19" s="109"/>
      <c r="F19" s="109"/>
      <c r="G19" s="109"/>
      <c r="H19" s="108">
        <v>0.21</v>
      </c>
      <c r="I19" s="107">
        <f>I18*H19</f>
        <v>0</v>
      </c>
      <c r="J19" s="106" t="s">
        <v>0</v>
      </c>
    </row>
    <row r="20" spans="2:11" x14ac:dyDescent="0.25">
      <c r="B20" s="105" t="s">
        <v>67</v>
      </c>
      <c r="C20" s="104"/>
      <c r="D20" s="104"/>
      <c r="E20" s="104"/>
      <c r="F20" s="104"/>
      <c r="G20" s="104"/>
      <c r="H20" s="104"/>
      <c r="I20" s="103">
        <f>I18+I19</f>
        <v>0</v>
      </c>
      <c r="J20" s="102" t="s">
        <v>0</v>
      </c>
    </row>
    <row r="23" spans="2:11" x14ac:dyDescent="0.25">
      <c r="B23" s="101" t="s">
        <v>144</v>
      </c>
    </row>
    <row r="24" spans="2:11" x14ac:dyDescent="0.25">
      <c r="B24" s="100" t="s">
        <v>66</v>
      </c>
      <c r="C24" s="99"/>
      <c r="D24" s="99"/>
      <c r="E24" s="99"/>
      <c r="F24" s="99"/>
      <c r="G24" s="99"/>
      <c r="H24" s="99"/>
      <c r="I24" s="98">
        <f>I8+I18</f>
        <v>0</v>
      </c>
      <c r="J24" s="97" t="s">
        <v>64</v>
      </c>
    </row>
    <row r="25" spans="2:11" x14ac:dyDescent="0.25">
      <c r="B25" s="96" t="s">
        <v>9</v>
      </c>
      <c r="H25" s="125">
        <f>H19</f>
        <v>0.21</v>
      </c>
      <c r="I25" s="95">
        <f>I9+I19</f>
        <v>0</v>
      </c>
      <c r="J25" s="94" t="s">
        <v>0</v>
      </c>
    </row>
    <row r="26" spans="2:11" x14ac:dyDescent="0.25">
      <c r="B26" s="93" t="s">
        <v>65</v>
      </c>
      <c r="C26" s="92"/>
      <c r="D26" s="92"/>
      <c r="E26" s="92"/>
      <c r="F26" s="92"/>
      <c r="G26" s="92"/>
      <c r="H26" s="92"/>
      <c r="I26" s="91">
        <f>I24+I25</f>
        <v>0</v>
      </c>
      <c r="J26" s="90" t="s">
        <v>64</v>
      </c>
    </row>
  </sheetData>
  <mergeCells count="1">
    <mergeCell ref="B2:J2"/>
  </mergeCells>
  <pageMargins left="0.7" right="0.7" top="0.78740157499999996" bottom="0.78740157499999996" header="0.3" footer="0.3"/>
  <pageSetup paperSize="9" scale="79" orientation="portrait" verticalDpi="300" r:id="rId1"/>
  <headerFooter>
    <oddHeader>&amp;L&amp;"Calibri"&amp;10&amp;K000000 INTERNÍ      &amp;1#_x000D_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  <pageSetUpPr fitToPage="1"/>
  </sheetPr>
  <dimension ref="B2:AA98"/>
  <sheetViews>
    <sheetView tabSelected="1" zoomScale="85" zoomScaleNormal="85" workbookViewId="0">
      <selection activeCell="AA36" sqref="AA36"/>
    </sheetView>
  </sheetViews>
  <sheetFormatPr defaultColWidth="9.140625" defaultRowHeight="12.75" outlineLevelCol="1" x14ac:dyDescent="0.25"/>
  <cols>
    <col min="1" max="1" width="1" style="3" customWidth="1"/>
    <col min="2" max="2" width="4.28515625" style="3" customWidth="1"/>
    <col min="3" max="3" width="27.85546875" style="3" customWidth="1"/>
    <col min="4" max="4" width="10.7109375" style="3" customWidth="1"/>
    <col min="5" max="5" width="9.5703125" style="3" customWidth="1"/>
    <col min="6" max="6" width="10.42578125" style="3" customWidth="1"/>
    <col min="7" max="7" width="10.5703125" style="3" customWidth="1"/>
    <col min="8" max="8" width="2" style="3" customWidth="1"/>
    <col min="9" max="10" width="10.5703125" style="3" customWidth="1"/>
    <col min="11" max="11" width="10.42578125" style="3" customWidth="1"/>
    <col min="12" max="12" width="10.140625" style="3" customWidth="1"/>
    <col min="13" max="13" width="2" style="3" customWidth="1"/>
    <col min="14" max="14" width="9.7109375" style="3" customWidth="1"/>
    <col min="15" max="15" width="10.42578125" style="3" customWidth="1"/>
    <col min="16" max="16" width="10.140625" style="3" customWidth="1"/>
    <col min="17" max="17" width="2.140625" style="3" customWidth="1"/>
    <col min="18" max="18" width="8.7109375" style="3" customWidth="1"/>
    <col min="19" max="19" width="10.140625" style="3" customWidth="1"/>
    <col min="20" max="20" width="10.28515625" style="3" customWidth="1"/>
    <col min="21" max="21" width="0.85546875" style="3" customWidth="1"/>
    <col min="22" max="22" width="10.42578125" style="3" customWidth="1" outlineLevel="1"/>
    <col min="23" max="23" width="13.28515625" style="3" customWidth="1" outlineLevel="1"/>
    <col min="24" max="24" width="2.42578125" style="3" customWidth="1" outlineLevel="1"/>
    <col min="25" max="25" width="11.28515625" style="3" customWidth="1"/>
    <col min="26" max="26" width="12.140625" style="3" customWidth="1"/>
    <col min="27" max="16384" width="9.140625" style="3"/>
  </cols>
  <sheetData>
    <row r="2" spans="2:26" ht="21" x14ac:dyDescent="0.25">
      <c r="C2" s="194" t="s">
        <v>98</v>
      </c>
      <c r="G2" s="267"/>
    </row>
    <row r="3" spans="2:26" x14ac:dyDescent="0.25">
      <c r="C3" s="3" t="s">
        <v>136</v>
      </c>
      <c r="D3" s="266"/>
      <c r="E3" s="266"/>
      <c r="F3" s="266"/>
      <c r="G3" s="266"/>
      <c r="H3" s="266"/>
      <c r="I3" s="266"/>
      <c r="J3" s="266"/>
      <c r="K3" s="191" t="s">
        <v>174</v>
      </c>
      <c r="M3" s="266"/>
      <c r="N3" s="266"/>
    </row>
    <row r="4" spans="2:26" x14ac:dyDescent="0.25">
      <c r="C4" s="3" t="s">
        <v>128</v>
      </c>
      <c r="D4" s="266"/>
      <c r="E4" s="266"/>
      <c r="F4" s="266"/>
      <c r="G4" s="266"/>
      <c r="H4" s="266"/>
      <c r="I4" s="266"/>
      <c r="J4" s="266"/>
      <c r="M4" s="266"/>
      <c r="N4" s="266"/>
    </row>
    <row r="5" spans="2:26" x14ac:dyDescent="0.25">
      <c r="C5" s="473" t="s">
        <v>219</v>
      </c>
      <c r="D5" s="266"/>
      <c r="E5" s="266"/>
      <c r="F5" s="266"/>
      <c r="G5" s="266"/>
      <c r="H5" s="266"/>
      <c r="I5" s="266"/>
      <c r="J5" s="266"/>
      <c r="M5" s="266"/>
      <c r="N5" s="266"/>
    </row>
    <row r="6" spans="2:26" x14ac:dyDescent="0.25">
      <c r="C6" s="470" t="s">
        <v>135</v>
      </c>
      <c r="D6" s="266"/>
      <c r="E6" s="266"/>
      <c r="F6" s="266"/>
      <c r="G6" s="266"/>
      <c r="H6" s="266"/>
      <c r="I6" s="266"/>
      <c r="J6" s="266"/>
      <c r="M6" s="266"/>
      <c r="N6" s="266"/>
    </row>
    <row r="7" spans="2:26" x14ac:dyDescent="0.25">
      <c r="C7" s="266"/>
      <c r="D7" s="266"/>
      <c r="E7" s="266"/>
      <c r="F7" s="266"/>
      <c r="G7" s="266"/>
      <c r="H7" s="266"/>
      <c r="I7" s="266"/>
      <c r="J7" s="266"/>
      <c r="M7" s="266"/>
      <c r="N7" s="266"/>
    </row>
    <row r="9" spans="2:26" ht="15.75" customHeight="1" x14ac:dyDescent="0.25">
      <c r="C9" s="2" t="s">
        <v>92</v>
      </c>
      <c r="E9" s="554" t="s">
        <v>111</v>
      </c>
      <c r="F9" s="554"/>
      <c r="G9" s="554"/>
      <c r="I9" s="562" t="s">
        <v>145</v>
      </c>
      <c r="J9" s="562"/>
      <c r="K9" s="562"/>
      <c r="L9" s="562"/>
      <c r="N9" s="560" t="s">
        <v>2</v>
      </c>
      <c r="O9" s="560"/>
      <c r="P9" s="560"/>
      <c r="R9" s="558" t="s">
        <v>5</v>
      </c>
      <c r="S9" s="558"/>
      <c r="T9" s="558"/>
      <c r="V9" s="556" t="s">
        <v>8</v>
      </c>
      <c r="W9" s="556"/>
      <c r="Y9" s="553" t="s">
        <v>97</v>
      </c>
      <c r="Z9" s="553"/>
    </row>
    <row r="10" spans="2:26" ht="15.75" customHeight="1" x14ac:dyDescent="0.25">
      <c r="C10" s="141"/>
      <c r="E10" s="213" t="s">
        <v>84</v>
      </c>
      <c r="F10" s="555" t="s">
        <v>137</v>
      </c>
      <c r="G10" s="555"/>
      <c r="I10" s="563" t="s">
        <v>84</v>
      </c>
      <c r="J10" s="563"/>
      <c r="K10" s="563" t="s">
        <v>137</v>
      </c>
      <c r="L10" s="563"/>
      <c r="N10" s="4" t="s">
        <v>84</v>
      </c>
      <c r="O10" s="561" t="s">
        <v>137</v>
      </c>
      <c r="P10" s="561"/>
      <c r="R10" s="5" t="s">
        <v>84</v>
      </c>
      <c r="S10" s="559" t="s">
        <v>137</v>
      </c>
      <c r="T10" s="559"/>
      <c r="V10" s="557" t="s">
        <v>7</v>
      </c>
      <c r="W10" s="557"/>
      <c r="Y10" s="553"/>
      <c r="Z10" s="553"/>
    </row>
    <row r="11" spans="2:26" ht="15" customHeight="1" x14ac:dyDescent="0.25">
      <c r="E11" s="214" t="s">
        <v>93</v>
      </c>
      <c r="F11" s="215" t="s">
        <v>3</v>
      </c>
      <c r="G11" s="215" t="s">
        <v>4</v>
      </c>
      <c r="I11" s="465" t="s">
        <v>214</v>
      </c>
      <c r="J11" s="465" t="s">
        <v>93</v>
      </c>
      <c r="K11" s="299" t="s">
        <v>3</v>
      </c>
      <c r="L11" s="299" t="s">
        <v>4</v>
      </c>
      <c r="N11" s="6" t="s">
        <v>93</v>
      </c>
      <c r="O11" s="7" t="s">
        <v>3</v>
      </c>
      <c r="P11" s="7" t="s">
        <v>4</v>
      </c>
      <c r="R11" s="8" t="s">
        <v>6</v>
      </c>
      <c r="S11" s="9" t="s">
        <v>3</v>
      </c>
      <c r="T11" s="9" t="s">
        <v>4</v>
      </c>
      <c r="V11" s="10" t="s">
        <v>3</v>
      </c>
      <c r="W11" s="10" t="s">
        <v>4</v>
      </c>
      <c r="Y11" s="186" t="s">
        <v>3</v>
      </c>
      <c r="Z11" s="142" t="s">
        <v>4</v>
      </c>
    </row>
    <row r="12" spans="2:26" x14ac:dyDescent="0.25">
      <c r="B12" s="15"/>
      <c r="C12" s="15"/>
      <c r="D12" s="188"/>
      <c r="E12" s="15"/>
      <c r="F12" s="15"/>
      <c r="G12" s="271">
        <v>0.21</v>
      </c>
      <c r="H12" s="15"/>
      <c r="I12" s="15"/>
      <c r="J12" s="15"/>
      <c r="K12" s="15"/>
      <c r="L12" s="271">
        <v>0.21</v>
      </c>
      <c r="M12" s="15"/>
      <c r="N12" s="15"/>
      <c r="O12" s="15"/>
      <c r="P12" s="271">
        <v>0.21</v>
      </c>
      <c r="Q12" s="15"/>
      <c r="R12" s="15"/>
      <c r="S12" s="15"/>
      <c r="T12" s="271">
        <v>0.1</v>
      </c>
      <c r="U12" s="15"/>
      <c r="V12" s="15"/>
      <c r="W12" s="14">
        <v>0.21</v>
      </c>
      <c r="Y12" s="15"/>
      <c r="Z12" s="15"/>
    </row>
    <row r="13" spans="2:26" ht="6.75" customHeight="1" x14ac:dyDescent="0.25">
      <c r="C13" s="225"/>
      <c r="G13" s="226"/>
      <c r="K13" s="226"/>
      <c r="L13" s="226"/>
      <c r="O13" s="226"/>
      <c r="P13" s="226"/>
      <c r="S13" s="226"/>
      <c r="T13" s="226"/>
      <c r="W13" s="11"/>
      <c r="Y13" s="226"/>
      <c r="Z13" s="226"/>
    </row>
    <row r="14" spans="2:26" s="12" customFormat="1" ht="15" x14ac:dyDescent="0.25">
      <c r="B14" s="228">
        <v>1</v>
      </c>
      <c r="C14" s="225" t="str">
        <f>'Investice a úspory'!C9</f>
        <v>OA, SPgŠ a JŠ Beroun</v>
      </c>
      <c r="D14" s="229"/>
      <c r="E14" s="335">
        <f>'01 OA, SPgŠ a JŠ Beroun'!C48+'01 OA, SPgŠ a JŠ Beroun'!H48</f>
        <v>1689.3511900000003</v>
      </c>
      <c r="F14" s="336">
        <f>G14/(1+$G$12)</f>
        <v>2179171.4111226969</v>
      </c>
      <c r="G14" s="226">
        <f>'01 OA, SPgŠ a JŠ Beroun'!E48+'01 OA, SPgŠ a JŠ Beroun'!J48</f>
        <v>2636797.4074584632</v>
      </c>
      <c r="H14" s="337"/>
      <c r="I14" s="335">
        <v>0</v>
      </c>
      <c r="J14" s="335">
        <v>0</v>
      </c>
      <c r="K14" s="339">
        <f t="shared" ref="K14:K18" si="0">L14/(1+$L$12)</f>
        <v>0</v>
      </c>
      <c r="L14" s="226">
        <v>0</v>
      </c>
      <c r="M14" s="337"/>
      <c r="N14" s="335">
        <f>'01 OA, SPgŠ a JŠ Beroun'!M48+'01 OA, SPgŠ a JŠ Beroun'!R48+'01 OA, SPgŠ a JŠ Beroun'!W48</f>
        <v>207.35599999999999</v>
      </c>
      <c r="O14" s="339">
        <f t="shared" ref="O14:O19" si="1">P14/(1+$P$12)</f>
        <v>957894.40148221469</v>
      </c>
      <c r="P14" s="226">
        <f>'01 OA, SPgŠ a JŠ Beroun'!O48+'01 OA, SPgŠ a JŠ Beroun'!T48+'01 OA, SPgŠ a JŠ Beroun'!Y48</f>
        <v>1159052.2257934797</v>
      </c>
      <c r="Q14" s="337"/>
      <c r="R14" s="337">
        <f>'01 OA, SPgŠ a JŠ Beroun'!AB48+'01 OA, SPgŠ a JŠ Beroun'!AG48</f>
        <v>6710</v>
      </c>
      <c r="S14" s="339">
        <f t="shared" ref="S14:S19" si="2">T14/(1+$T$12)</f>
        <v>722220.9148268837</v>
      </c>
      <c r="T14" s="226">
        <f>'01 OA, SPgŠ a JŠ Beroun'!AD48+'01 OA, SPgŠ a JŠ Beroun'!AI48</f>
        <v>794443.00630957214</v>
      </c>
      <c r="U14" s="337"/>
      <c r="V14" s="337">
        <v>0</v>
      </c>
      <c r="W14" s="338">
        <v>0</v>
      </c>
      <c r="Y14" s="227">
        <f>F14+K14+O14+S14+V14</f>
        <v>3859286.7274317956</v>
      </c>
      <c r="Z14" s="226">
        <f>G14+L14+P14+T14+W14</f>
        <v>4590292.6395615153</v>
      </c>
    </row>
    <row r="15" spans="2:26" s="12" customFormat="1" ht="15" x14ac:dyDescent="0.25">
      <c r="B15" s="228">
        <v>2</v>
      </c>
      <c r="C15" s="225" t="str">
        <f>'Investice a úspory'!C10</f>
        <v>SOŠ a SOU Jílové u Prahy - jídelna</v>
      </c>
      <c r="D15" s="229"/>
      <c r="E15" s="335">
        <v>0</v>
      </c>
      <c r="F15" s="336">
        <f t="shared" ref="F15:F19" si="3">G15/(1+$G$12)</f>
        <v>0</v>
      </c>
      <c r="G15" s="226">
        <v>0</v>
      </c>
      <c r="H15" s="337"/>
      <c r="I15" s="335">
        <v>0</v>
      </c>
      <c r="J15" s="335">
        <v>0</v>
      </c>
      <c r="K15" s="339">
        <f t="shared" si="0"/>
        <v>0</v>
      </c>
      <c r="L15" s="226">
        <f>I15*L32</f>
        <v>0</v>
      </c>
      <c r="M15" s="337"/>
      <c r="N15" s="471">
        <f>'02.1 SOŠ a SOU Jílové-jídelna'!H50</f>
        <v>75.390197999999984</v>
      </c>
      <c r="O15" s="339">
        <f t="shared" si="1"/>
        <v>257517.96980826449</v>
      </c>
      <c r="P15" s="472">
        <f>'02.1 SOŠ a SOU Jílové-jídelna'!J50</f>
        <v>311596.74346800003</v>
      </c>
      <c r="Q15" s="337"/>
      <c r="R15" s="477">
        <f>30%*('02 SOŠ a SOU Jílové'!R48+'02 SOŠ a SOU Jílové'!W48)</f>
        <v>341.4</v>
      </c>
      <c r="S15" s="339">
        <f t="shared" si="2"/>
        <v>31036.363636363632</v>
      </c>
      <c r="T15" s="472">
        <f>R15*100</f>
        <v>34140</v>
      </c>
      <c r="U15" s="337"/>
      <c r="V15" s="337">
        <v>0</v>
      </c>
      <c r="W15" s="338">
        <v>0</v>
      </c>
      <c r="Y15" s="227">
        <f t="shared" ref="Y15:Y19" si="4">F15+K15+O15+S15+V15</f>
        <v>288554.33344462811</v>
      </c>
      <c r="Z15" s="226">
        <f t="shared" ref="Z15:Z19" si="5">G15+L15+P15+T15+W15</f>
        <v>345736.74346800003</v>
      </c>
    </row>
    <row r="16" spans="2:26" s="12" customFormat="1" ht="15" x14ac:dyDescent="0.25">
      <c r="B16" s="228">
        <v>3</v>
      </c>
      <c r="C16" s="225" t="str">
        <f>'Investice a úspory'!C11</f>
        <v>Regionální muzeum Jílové</v>
      </c>
      <c r="D16" s="229"/>
      <c r="E16" s="335">
        <v>0</v>
      </c>
      <c r="F16" s="336">
        <f t="shared" si="3"/>
        <v>0</v>
      </c>
      <c r="G16" s="226">
        <v>0</v>
      </c>
      <c r="H16" s="337"/>
      <c r="I16" s="335">
        <v>0</v>
      </c>
      <c r="J16" s="335">
        <v>0</v>
      </c>
      <c r="K16" s="339">
        <f t="shared" si="0"/>
        <v>0</v>
      </c>
      <c r="L16" s="226">
        <f>I16*L33</f>
        <v>0</v>
      </c>
      <c r="M16" s="337"/>
      <c r="N16" s="335">
        <f>'03 Muzeum Jílové'!E48</f>
        <v>196.12100000000001</v>
      </c>
      <c r="O16" s="339">
        <f t="shared" si="1"/>
        <v>765621.56070417515</v>
      </c>
      <c r="P16" s="226">
        <f>'03 Muzeum Jílové'!G48</f>
        <v>926402.08845205186</v>
      </c>
      <c r="Q16" s="337"/>
      <c r="R16" s="337">
        <f>'03 Muzeum Jílové'!J48</f>
        <v>334</v>
      </c>
      <c r="S16" s="339">
        <f t="shared" si="2"/>
        <v>30256.604545454542</v>
      </c>
      <c r="T16" s="226">
        <f>'03 Muzeum Jílové'!L48</f>
        <v>33282.264999999999</v>
      </c>
      <c r="U16" s="337"/>
      <c r="V16" s="337">
        <v>0</v>
      </c>
      <c r="W16" s="338">
        <v>0</v>
      </c>
      <c r="Y16" s="227">
        <f t="shared" si="4"/>
        <v>795878.16524962964</v>
      </c>
      <c r="Z16" s="226">
        <f t="shared" si="5"/>
        <v>959684.35345205187</v>
      </c>
    </row>
    <row r="17" spans="2:27" s="12" customFormat="1" ht="15" x14ac:dyDescent="0.25">
      <c r="B17" s="228">
        <v>4</v>
      </c>
      <c r="C17" s="225" t="str">
        <f>'Investice a úspory'!C12</f>
        <v>Domov Kytín</v>
      </c>
      <c r="D17" s="229"/>
      <c r="E17" s="335">
        <v>0</v>
      </c>
      <c r="F17" s="336">
        <f t="shared" si="3"/>
        <v>0</v>
      </c>
      <c r="G17" s="226">
        <v>0</v>
      </c>
      <c r="H17" s="337"/>
      <c r="I17" s="487">
        <f>'04 Domov Kytín'!C87</f>
        <v>62309.43</v>
      </c>
      <c r="J17" s="337">
        <f>'04 Domov Kytín'!C48</f>
        <v>803.09932000000003</v>
      </c>
      <c r="K17" s="339">
        <f t="shared" si="0"/>
        <v>1676070.1669421489</v>
      </c>
      <c r="L17" s="469">
        <f>'04 Domov Kytín'!E87</f>
        <v>2028044.9020000002</v>
      </c>
      <c r="M17" s="468"/>
      <c r="N17" s="335">
        <f>'04 Domov Kytín'!J48</f>
        <v>99.227000000000004</v>
      </c>
      <c r="O17" s="339">
        <f t="shared" si="1"/>
        <v>527812.0661157025</v>
      </c>
      <c r="P17" s="226">
        <f>'04 Domov Kytín'!L48</f>
        <v>638652.6</v>
      </c>
      <c r="Q17" s="337"/>
      <c r="R17" s="337">
        <f>'04 Domov Kytín'!T48</f>
        <v>762</v>
      </c>
      <c r="S17" s="339">
        <f t="shared" si="2"/>
        <v>59676</v>
      </c>
      <c r="T17" s="226">
        <f>'04 Domov Kytín'!V48</f>
        <v>65643.600000000006</v>
      </c>
      <c r="U17" s="337"/>
      <c r="V17" s="337">
        <v>0</v>
      </c>
      <c r="W17" s="338">
        <v>0</v>
      </c>
      <c r="Y17" s="227">
        <f t="shared" si="4"/>
        <v>2263558.2330578514</v>
      </c>
      <c r="Z17" s="226">
        <f t="shared" si="5"/>
        <v>2732341.1020000004</v>
      </c>
    </row>
    <row r="18" spans="2:27" s="12" customFormat="1" ht="15" x14ac:dyDescent="0.25">
      <c r="B18" s="228">
        <v>5</v>
      </c>
      <c r="C18" s="225" t="str">
        <f>'Investice a úspory'!C13</f>
        <v>ZŠ a DD Sedlec-Prčice, Přestavlky</v>
      </c>
      <c r="D18" s="229"/>
      <c r="E18" s="335">
        <f>'05 ZŠ a DD Sedlec-Prčice'!J48</f>
        <v>331.1127905359532</v>
      </c>
      <c r="F18" s="336">
        <f t="shared" si="3"/>
        <v>363798.75744484179</v>
      </c>
      <c r="G18" s="226">
        <f>'05 ZŠ a DD Sedlec-Prčice'!L48</f>
        <v>440196.49650825857</v>
      </c>
      <c r="H18" s="337"/>
      <c r="I18" s="335">
        <v>0</v>
      </c>
      <c r="J18" s="335">
        <v>0</v>
      </c>
      <c r="K18" s="339">
        <f t="shared" si="0"/>
        <v>0</v>
      </c>
      <c r="L18" s="226">
        <f>I18*L36</f>
        <v>0</v>
      </c>
      <c r="M18" s="337"/>
      <c r="N18" s="335">
        <f>'05 ZŠ a DD Sedlec-Prčice'!Q48</f>
        <v>59.905999999999985</v>
      </c>
      <c r="O18" s="339">
        <f t="shared" si="1"/>
        <v>347811.77539089078</v>
      </c>
      <c r="P18" s="226">
        <f>'05 ZŠ a DD Sedlec-Prčice'!S48</f>
        <v>420852.24822297785</v>
      </c>
      <c r="Q18" s="337"/>
      <c r="R18" s="337">
        <f>'05 ZŠ a DD Sedlec-Prčice'!V48</f>
        <v>1735</v>
      </c>
      <c r="S18" s="339">
        <f t="shared" si="2"/>
        <v>163228.80000000002</v>
      </c>
      <c r="T18" s="226">
        <f>'05 ZŠ a DD Sedlec-Prčice'!X48</f>
        <v>179551.68000000002</v>
      </c>
      <c r="U18" s="337"/>
      <c r="V18" s="337">
        <v>0</v>
      </c>
      <c r="W18" s="338">
        <v>0</v>
      </c>
      <c r="Y18" s="227">
        <f t="shared" si="4"/>
        <v>874839.33283573261</v>
      </c>
      <c r="Z18" s="226">
        <f t="shared" si="5"/>
        <v>1040600.4247312365</v>
      </c>
    </row>
    <row r="19" spans="2:27" s="12" customFormat="1" ht="15" x14ac:dyDescent="0.25">
      <c r="B19" s="228">
        <v>6</v>
      </c>
      <c r="C19" s="225" t="str">
        <f>'Investice a úspory'!C14</f>
        <v>DS Nové strašecí - Domov Pohoda</v>
      </c>
      <c r="D19" s="225"/>
      <c r="E19" s="452">
        <f>'06 DPS Nové Strašecí'!M48</f>
        <v>463.94781280000007</v>
      </c>
      <c r="F19" s="336">
        <f t="shared" si="3"/>
        <v>1320962.322622007</v>
      </c>
      <c r="G19" s="226">
        <f>'06 DPS Nové Strašecí'!O48</f>
        <v>1598364.4103726284</v>
      </c>
      <c r="H19" s="226"/>
      <c r="I19" s="335">
        <v>0</v>
      </c>
      <c r="J19" s="335">
        <v>0</v>
      </c>
      <c r="K19" s="339">
        <f>L19/(1+$L$12)</f>
        <v>0</v>
      </c>
      <c r="L19" s="226">
        <v>0</v>
      </c>
      <c r="M19" s="226"/>
      <c r="N19" s="335">
        <f>'06 DPS Nové Strašecí'!R48</f>
        <v>129.762</v>
      </c>
      <c r="O19" s="339">
        <f t="shared" si="1"/>
        <v>784144.70979224495</v>
      </c>
      <c r="P19" s="226">
        <f>'06 DPS Nové Strašecí'!V48</f>
        <v>948815.09884861636</v>
      </c>
      <c r="Q19" s="226"/>
      <c r="R19" s="226">
        <f>'06 DPS Nové Strašecí'!Y48</f>
        <v>4598</v>
      </c>
      <c r="S19" s="339">
        <f t="shared" si="2"/>
        <v>530271.76388746791</v>
      </c>
      <c r="T19" s="226">
        <f>'06 DPS Nové Strašecí'!AC48</f>
        <v>583298.94027621474</v>
      </c>
      <c r="U19" s="226"/>
      <c r="V19" s="226">
        <v>0</v>
      </c>
      <c r="W19" s="227">
        <v>0</v>
      </c>
      <c r="Y19" s="227">
        <f t="shared" si="4"/>
        <v>2635378.7963017197</v>
      </c>
      <c r="Z19" s="226">
        <f t="shared" si="5"/>
        <v>3130478.4494974595</v>
      </c>
    </row>
    <row r="20" spans="2:27" s="12" customFormat="1" ht="15" x14ac:dyDescent="0.25">
      <c r="B20" s="228">
        <v>7</v>
      </c>
      <c r="C20" s="225" t="str">
        <f>'Investice a úspory'!C15</f>
        <v>SOU Sedlčany - DDM</v>
      </c>
      <c r="D20" s="229"/>
      <c r="E20" s="335">
        <v>0</v>
      </c>
      <c r="F20" s="336">
        <f>G20/(1+$G$12)</f>
        <v>0</v>
      </c>
      <c r="G20" s="226">
        <v>0</v>
      </c>
      <c r="H20" s="337"/>
      <c r="I20" s="335">
        <v>0</v>
      </c>
      <c r="J20" s="335">
        <v>0</v>
      </c>
      <c r="K20" s="339">
        <f>L20/(1+$L$12)</f>
        <v>0</v>
      </c>
      <c r="L20" s="226">
        <f>I20*L35</f>
        <v>0</v>
      </c>
      <c r="M20" s="337"/>
      <c r="N20" s="335">
        <f>'07 SOU Sedlčany-DDM'!E48</f>
        <v>285.24400000000003</v>
      </c>
      <c r="O20" s="339">
        <f>P20/(1+$P$12)</f>
        <v>917935.57262908237</v>
      </c>
      <c r="P20" s="226">
        <f>'07 SOU Sedlčany-DDM'!G48</f>
        <v>1110702.0428811896</v>
      </c>
      <c r="Q20" s="337"/>
      <c r="R20" s="337">
        <f>'07 SOU Sedlčany-DDM'!J48</f>
        <v>2428</v>
      </c>
      <c r="S20" s="339">
        <f>T20/(1+$T$12)</f>
        <v>175045.25636363635</v>
      </c>
      <c r="T20" s="226">
        <f>'07 SOU Sedlčany-DDM'!L48</f>
        <v>192549.78200000001</v>
      </c>
      <c r="U20" s="337"/>
      <c r="V20" s="337">
        <v>0</v>
      </c>
      <c r="W20" s="338">
        <v>0</v>
      </c>
      <c r="Y20" s="227">
        <f>F20+K20+O20+S20+V20</f>
        <v>1092980.8289927188</v>
      </c>
      <c r="Z20" s="226">
        <f>G20+L20+P20+T20+W20</f>
        <v>1303251.8248811895</v>
      </c>
    </row>
    <row r="21" spans="2:27" s="17" customFormat="1" ht="15" customHeight="1" x14ac:dyDescent="0.25">
      <c r="C21" s="255" t="s">
        <v>10</v>
      </c>
      <c r="D21" s="230"/>
      <c r="E21" s="231">
        <f>SUM(E14:E20)</f>
        <v>2484.4117933359535</v>
      </c>
      <c r="F21" s="252">
        <f>SUM(F14:F20)</f>
        <v>3863932.491189546</v>
      </c>
      <c r="G21" s="232">
        <f>SUM(G14:G20)</f>
        <v>4675358.31433935</v>
      </c>
      <c r="H21" s="230"/>
      <c r="I21" s="301">
        <f>SUM(I14:I20)</f>
        <v>62309.43</v>
      </c>
      <c r="J21" s="301">
        <f>SUM(J14:J20)</f>
        <v>803.09932000000003</v>
      </c>
      <c r="K21" s="300">
        <f>SUM(K14:K20)</f>
        <v>1676070.1669421489</v>
      </c>
      <c r="L21" s="301">
        <f>SUM(L14:L20)</f>
        <v>2028044.9020000002</v>
      </c>
      <c r="M21" s="230"/>
      <c r="N21" s="233">
        <f>SUM(N14:N20)</f>
        <v>1053.006198</v>
      </c>
      <c r="O21" s="250">
        <f>SUM(O14:O20)</f>
        <v>4558738.0559225744</v>
      </c>
      <c r="P21" s="234">
        <f>SUM(P14:P20)</f>
        <v>5516073.0476663159</v>
      </c>
      <c r="Q21" s="230"/>
      <c r="R21" s="235">
        <f>SUM(R14:R20)</f>
        <v>16908.400000000001</v>
      </c>
      <c r="S21" s="251">
        <f>SUM(S14:S20)</f>
        <v>1711735.7032598061</v>
      </c>
      <c r="T21" s="235">
        <f>SUM(T14:T20)</f>
        <v>1882909.273585787</v>
      </c>
      <c r="U21" s="230"/>
      <c r="V21" s="236"/>
      <c r="W21" s="236"/>
      <c r="X21" s="230"/>
      <c r="Y21" s="237">
        <f>SUM(Y14:Y20)</f>
        <v>11810476.417314077</v>
      </c>
      <c r="Z21" s="237">
        <f>SUM(Z14:Z20)</f>
        <v>14102385.537591454</v>
      </c>
      <c r="AA21" s="230"/>
    </row>
    <row r="22" spans="2:27" x14ac:dyDescent="0.25">
      <c r="B22" s="130"/>
      <c r="D22" s="130"/>
      <c r="E22" s="130"/>
      <c r="F22" s="130"/>
      <c r="G22" s="130"/>
      <c r="H22" s="130"/>
      <c r="I22" s="130"/>
      <c r="J22" s="130"/>
      <c r="K22" s="130"/>
      <c r="L22" s="130"/>
      <c r="M22" s="130"/>
      <c r="N22" s="130"/>
      <c r="O22" s="130"/>
      <c r="P22" s="130"/>
      <c r="Q22" s="130"/>
      <c r="R22" s="130"/>
      <c r="S22" s="131"/>
      <c r="T22" s="130"/>
      <c r="U22" s="130"/>
      <c r="V22" s="130"/>
      <c r="W22" s="130"/>
    </row>
    <row r="23" spans="2:27" ht="15.75" x14ac:dyDescent="0.25">
      <c r="B23" s="189"/>
      <c r="C23" s="190" t="s">
        <v>95</v>
      </c>
      <c r="D23" s="191"/>
      <c r="E23" s="193" t="s">
        <v>229</v>
      </c>
      <c r="F23" s="193"/>
      <c r="G23" s="273" t="str">
        <f>E9</f>
        <v>ZEMNÍ PLYN</v>
      </c>
      <c r="H23" s="193"/>
      <c r="I23" s="193"/>
      <c r="J23" s="193"/>
      <c r="K23" s="481" t="str">
        <f>I9</f>
        <v>PROPAN</v>
      </c>
      <c r="L23" s="302" t="str">
        <f>I9</f>
        <v>PROPAN</v>
      </c>
      <c r="M23" s="193"/>
      <c r="N23" s="193"/>
      <c r="O23" s="193"/>
      <c r="P23" s="274" t="str">
        <f>N9</f>
        <v>ELEKTŘINA</v>
      </c>
      <c r="Q23" s="193"/>
      <c r="R23" s="193"/>
      <c r="S23" s="193"/>
      <c r="T23" s="275" t="str">
        <f>R9</f>
        <v>VODA</v>
      </c>
      <c r="U23" s="191"/>
      <c r="V23" s="192"/>
      <c r="W23" s="191"/>
    </row>
    <row r="24" spans="2:27" ht="15" x14ac:dyDescent="0.25">
      <c r="B24" s="258"/>
      <c r="C24" s="254" t="s">
        <v>96</v>
      </c>
      <c r="D24" s="256"/>
      <c r="E24" s="257"/>
      <c r="F24" s="257"/>
      <c r="G24" s="276" t="s">
        <v>94</v>
      </c>
      <c r="H24" s="257"/>
      <c r="I24" s="257"/>
      <c r="J24" s="257"/>
      <c r="K24" s="482" t="s">
        <v>215</v>
      </c>
      <c r="L24" s="466" t="s">
        <v>94</v>
      </c>
      <c r="M24" s="257"/>
      <c r="N24" s="257"/>
      <c r="O24" s="257"/>
      <c r="P24" s="278" t="s">
        <v>94</v>
      </c>
      <c r="Q24" s="257"/>
      <c r="R24" s="257"/>
      <c r="S24" s="257"/>
      <c r="T24" s="277" t="s">
        <v>124</v>
      </c>
      <c r="U24" s="191"/>
      <c r="V24" s="192"/>
      <c r="Y24" s="594" t="s">
        <v>230</v>
      </c>
    </row>
    <row r="25" spans="2:27" ht="15" x14ac:dyDescent="0.25">
      <c r="B25" s="220">
        <f t="shared" ref="B25:C31" si="6">B14</f>
        <v>1</v>
      </c>
      <c r="C25" s="221" t="str">
        <f t="shared" si="6"/>
        <v>OA, SPgŠ a JŠ Beroun</v>
      </c>
      <c r="D25" s="222"/>
      <c r="E25" s="272"/>
      <c r="F25" s="272"/>
      <c r="G25" s="474">
        <f>G14/E14</f>
        <v>1560.8343742063855</v>
      </c>
      <c r="H25" s="475"/>
      <c r="I25" s="475"/>
      <c r="J25" s="475"/>
      <c r="K25" s="483" t="s">
        <v>11</v>
      </c>
      <c r="L25" s="474" t="s">
        <v>11</v>
      </c>
      <c r="M25" s="475"/>
      <c r="N25" s="475"/>
      <c r="O25" s="475"/>
      <c r="P25" s="474">
        <f t="shared" ref="P25:P31" si="7">P14/N14</f>
        <v>5589.6729575873369</v>
      </c>
      <c r="Q25" s="475"/>
      <c r="R25" s="475"/>
      <c r="S25" s="475"/>
      <c r="T25" s="474">
        <f t="shared" ref="T25:T31" si="8">T14/R14</f>
        <v>118.39687128309571</v>
      </c>
      <c r="U25" s="224"/>
      <c r="V25" s="224"/>
      <c r="W25" s="223"/>
      <c r="Y25" s="191"/>
    </row>
    <row r="26" spans="2:27" ht="15" x14ac:dyDescent="0.25">
      <c r="B26" s="220">
        <f t="shared" si="6"/>
        <v>2</v>
      </c>
      <c r="C26" s="221" t="str">
        <f t="shared" si="6"/>
        <v>SOŠ a SOU Jílové u Prahy - jídelna</v>
      </c>
      <c r="D26" s="222"/>
      <c r="E26" s="272"/>
      <c r="F26" s="272"/>
      <c r="G26" s="474" t="s">
        <v>11</v>
      </c>
      <c r="H26" s="475"/>
      <c r="I26" s="475"/>
      <c r="J26" s="475"/>
      <c r="K26" s="483" t="s">
        <v>11</v>
      </c>
      <c r="L26" s="474" t="s">
        <v>11</v>
      </c>
      <c r="M26" s="475"/>
      <c r="N26" s="475"/>
      <c r="O26" s="475"/>
      <c r="P26" s="474">
        <f t="shared" si="7"/>
        <v>4133.1201102297155</v>
      </c>
      <c r="Q26" s="475"/>
      <c r="R26" s="475"/>
      <c r="S26" s="475"/>
      <c r="T26" s="474">
        <f t="shared" si="8"/>
        <v>100</v>
      </c>
      <c r="U26" s="224"/>
      <c r="V26" s="224"/>
      <c r="W26" s="223"/>
      <c r="Y26" s="191"/>
    </row>
    <row r="27" spans="2:27" ht="15" x14ac:dyDescent="0.25">
      <c r="B27" s="220">
        <f t="shared" si="6"/>
        <v>3</v>
      </c>
      <c r="C27" s="221" t="str">
        <f t="shared" si="6"/>
        <v>Regionální muzeum Jílové</v>
      </c>
      <c r="D27" s="222"/>
      <c r="E27" s="272"/>
      <c r="F27" s="272"/>
      <c r="G27" s="474" t="s">
        <v>11</v>
      </c>
      <c r="H27" s="475"/>
      <c r="I27" s="475"/>
      <c r="J27" s="475"/>
      <c r="K27" s="483" t="s">
        <v>11</v>
      </c>
      <c r="L27" s="474" t="s">
        <v>11</v>
      </c>
      <c r="M27" s="475"/>
      <c r="N27" s="475"/>
      <c r="O27" s="475"/>
      <c r="P27" s="474">
        <f t="shared" si="7"/>
        <v>4723.6251520849464</v>
      </c>
      <c r="Q27" s="475"/>
      <c r="R27" s="475"/>
      <c r="S27" s="475"/>
      <c r="T27" s="474">
        <f t="shared" si="8"/>
        <v>99.647499999999994</v>
      </c>
      <c r="U27" s="224"/>
      <c r="V27" s="224"/>
      <c r="W27" s="223"/>
      <c r="Y27" s="191"/>
    </row>
    <row r="28" spans="2:27" ht="15" x14ac:dyDescent="0.25">
      <c r="B28" s="220">
        <f t="shared" si="6"/>
        <v>4</v>
      </c>
      <c r="C28" s="221" t="str">
        <f t="shared" si="6"/>
        <v>Domov Kytín</v>
      </c>
      <c r="D28" s="222"/>
      <c r="E28" s="272"/>
      <c r="F28" s="272"/>
      <c r="G28" s="474" t="s">
        <v>11</v>
      </c>
      <c r="H28" s="475"/>
      <c r="I28" s="475"/>
      <c r="J28" s="475"/>
      <c r="K28" s="483">
        <f>L17/I17</f>
        <v>32.547961071060996</v>
      </c>
      <c r="L28" s="474">
        <f>L17/J17</f>
        <v>2525.2728417202497</v>
      </c>
      <c r="M28" s="475"/>
      <c r="N28" s="593" t="s">
        <v>232</v>
      </c>
      <c r="O28" s="475"/>
      <c r="P28" s="474">
        <f t="shared" si="7"/>
        <v>6436.278432281536</v>
      </c>
      <c r="Q28" s="475"/>
      <c r="R28" s="475"/>
      <c r="S28" s="475"/>
      <c r="T28" s="474">
        <f t="shared" si="8"/>
        <v>86.146456692913389</v>
      </c>
      <c r="U28" s="224"/>
      <c r="V28" s="224"/>
      <c r="W28" s="223"/>
      <c r="Y28" s="595" t="s">
        <v>231</v>
      </c>
    </row>
    <row r="29" spans="2:27" ht="15" x14ac:dyDescent="0.25">
      <c r="B29" s="220">
        <f t="shared" si="6"/>
        <v>5</v>
      </c>
      <c r="C29" s="221" t="str">
        <f t="shared" si="6"/>
        <v>ZŠ a DD Sedlec-Prčice, Přestavlky</v>
      </c>
      <c r="D29" s="222"/>
      <c r="E29" s="272"/>
      <c r="F29" s="272"/>
      <c r="G29" s="474">
        <f>G18/E18</f>
        <v>1329.4457631664964</v>
      </c>
      <c r="H29" s="475"/>
      <c r="I29" s="475"/>
      <c r="J29" s="475"/>
      <c r="K29" s="483" t="s">
        <v>11</v>
      </c>
      <c r="L29" s="474" t="s">
        <v>11</v>
      </c>
      <c r="M29" s="475"/>
      <c r="N29" s="475"/>
      <c r="O29" s="475"/>
      <c r="P29" s="474">
        <f t="shared" si="7"/>
        <v>7025.2102998527353</v>
      </c>
      <c r="Q29" s="475"/>
      <c r="R29" s="475"/>
      <c r="S29" s="475"/>
      <c r="T29" s="474">
        <f t="shared" si="8"/>
        <v>103.48800000000001</v>
      </c>
      <c r="U29" s="224"/>
      <c r="V29" s="224"/>
      <c r="W29" s="223"/>
    </row>
    <row r="30" spans="2:27" ht="15" x14ac:dyDescent="0.25">
      <c r="B30" s="220">
        <f t="shared" si="6"/>
        <v>6</v>
      </c>
      <c r="C30" s="221" t="str">
        <f t="shared" si="6"/>
        <v>DS Nové strašecí - Domov Pohoda</v>
      </c>
      <c r="D30" s="222"/>
      <c r="E30" s="272"/>
      <c r="F30" s="272"/>
      <c r="G30" s="474">
        <f>G19/E19</f>
        <v>3445.1383674518061</v>
      </c>
      <c r="H30" s="475"/>
      <c r="I30" s="475"/>
      <c r="J30" s="475"/>
      <c r="K30" s="483" t="s">
        <v>11</v>
      </c>
      <c r="L30" s="474" t="s">
        <v>11</v>
      </c>
      <c r="M30" s="475"/>
      <c r="N30" s="475"/>
      <c r="O30" s="475"/>
      <c r="P30" s="474">
        <f t="shared" si="7"/>
        <v>7311.9642025293715</v>
      </c>
      <c r="Q30" s="475"/>
      <c r="R30" s="475"/>
      <c r="S30" s="475"/>
      <c r="T30" s="474">
        <f t="shared" si="8"/>
        <v>126.85927365728898</v>
      </c>
      <c r="U30" s="224"/>
      <c r="V30" s="224"/>
      <c r="W30" s="223"/>
    </row>
    <row r="31" spans="2:27" ht="15" x14ac:dyDescent="0.25">
      <c r="B31" s="220">
        <f t="shared" si="6"/>
        <v>7</v>
      </c>
      <c r="C31" s="221" t="str">
        <f t="shared" si="6"/>
        <v>SOU Sedlčany - DDM</v>
      </c>
      <c r="D31" s="222"/>
      <c r="E31" s="272"/>
      <c r="F31" s="272"/>
      <c r="G31" s="474" t="s">
        <v>11</v>
      </c>
      <c r="H31" s="475"/>
      <c r="I31" s="475"/>
      <c r="J31" s="475"/>
      <c r="K31" s="483" t="s">
        <v>11</v>
      </c>
      <c r="L31" s="474" t="s">
        <v>11</v>
      </c>
      <c r="M31" s="475"/>
      <c r="N31" s="475"/>
      <c r="O31" s="475"/>
      <c r="P31" s="474">
        <f t="shared" si="7"/>
        <v>3893.866454267888</v>
      </c>
      <c r="Q31" s="475"/>
      <c r="R31" s="475"/>
      <c r="S31" s="475"/>
      <c r="T31" s="474">
        <f t="shared" si="8"/>
        <v>79.303864085667215</v>
      </c>
      <c r="U31" s="224"/>
      <c r="V31" s="224"/>
      <c r="W31" s="223"/>
    </row>
    <row r="32" spans="2:27" ht="15" x14ac:dyDescent="0.25">
      <c r="B32" s="192"/>
      <c r="C32" s="189"/>
      <c r="D32" s="191"/>
      <c r="E32" s="218"/>
      <c r="F32" s="218"/>
      <c r="G32" s="217"/>
      <c r="H32" s="218"/>
      <c r="I32" s="218"/>
      <c r="J32" s="218"/>
      <c r="K32" s="218"/>
      <c r="L32" s="217"/>
      <c r="M32" s="218"/>
      <c r="N32" s="218"/>
      <c r="O32" s="218"/>
      <c r="P32" s="217"/>
      <c r="Q32" s="218"/>
      <c r="R32" s="218"/>
      <c r="S32" s="218"/>
      <c r="T32" s="217"/>
      <c r="U32" s="216"/>
      <c r="V32" s="219"/>
      <c r="W32" s="216"/>
    </row>
    <row r="33" spans="2:20" x14ac:dyDescent="0.25">
      <c r="G33" s="129"/>
      <c r="L33" s="129"/>
      <c r="P33" s="129"/>
      <c r="T33" s="129"/>
    </row>
    <row r="34" spans="2:20" x14ac:dyDescent="0.25">
      <c r="B34" s="16"/>
    </row>
    <row r="35" spans="2:20" ht="15.75" x14ac:dyDescent="0.25">
      <c r="B35" s="16"/>
      <c r="C35" s="2" t="s">
        <v>220</v>
      </c>
    </row>
    <row r="36" spans="2:20" ht="15" x14ac:dyDescent="0.25">
      <c r="B36" s="126"/>
      <c r="C36" s="195"/>
      <c r="D36" s="478" t="s">
        <v>222</v>
      </c>
      <c r="K36" s="13"/>
      <c r="O36" s="13"/>
    </row>
    <row r="37" spans="2:20" x14ac:dyDescent="0.25">
      <c r="C37" s="129" t="s">
        <v>75</v>
      </c>
      <c r="D37" s="476" t="s">
        <v>221</v>
      </c>
      <c r="E37" s="132"/>
      <c r="K37" s="13"/>
      <c r="O37" s="13"/>
    </row>
    <row r="38" spans="2:20" ht="15" x14ac:dyDescent="0.25">
      <c r="C38" s="129" t="s">
        <v>76</v>
      </c>
      <c r="D38" s="187">
        <v>19</v>
      </c>
      <c r="E38" s="187" t="s">
        <v>77</v>
      </c>
      <c r="G38" s="453"/>
      <c r="K38" s="13"/>
      <c r="O38" s="13"/>
    </row>
    <row r="39" spans="2:20" x14ac:dyDescent="0.25">
      <c r="K39" s="13"/>
      <c r="O39" s="13"/>
    </row>
    <row r="40" spans="2:20" x14ac:dyDescent="0.25">
      <c r="C40" s="242" t="s">
        <v>125</v>
      </c>
      <c r="D40" s="133" t="s">
        <v>78</v>
      </c>
      <c r="E40" s="133" t="s">
        <v>79</v>
      </c>
      <c r="F40" s="134" t="s">
        <v>57</v>
      </c>
      <c r="G40" s="134" t="s">
        <v>80</v>
      </c>
      <c r="K40" s="13"/>
      <c r="O40" s="13"/>
    </row>
    <row r="41" spans="2:20" x14ac:dyDescent="0.25">
      <c r="C41" s="264" t="s">
        <v>112</v>
      </c>
      <c r="D41" s="259">
        <v>0.8</v>
      </c>
      <c r="E41" s="260">
        <v>31</v>
      </c>
      <c r="F41" s="238">
        <f t="shared" ref="F41:F52" si="9">E41*($D$38-D41)</f>
        <v>564.19999999999993</v>
      </c>
      <c r="G41" s="135">
        <f t="shared" ref="G41:G52" si="10">IF(F41=0,0,F41/$F$53)</f>
        <v>0.21730087813896165</v>
      </c>
      <c r="K41" s="13"/>
      <c r="O41" s="13"/>
    </row>
    <row r="42" spans="2:20" x14ac:dyDescent="0.25">
      <c r="C42" s="264" t="s">
        <v>113</v>
      </c>
      <c r="D42" s="259">
        <v>4</v>
      </c>
      <c r="E42" s="260">
        <v>28</v>
      </c>
      <c r="F42" s="239">
        <f t="shared" si="9"/>
        <v>420</v>
      </c>
      <c r="G42" s="136">
        <f t="shared" si="10"/>
        <v>0.16176244030195658</v>
      </c>
      <c r="K42" s="13"/>
      <c r="O42" s="13"/>
    </row>
    <row r="43" spans="2:20" x14ac:dyDescent="0.25">
      <c r="C43" s="264" t="s">
        <v>114</v>
      </c>
      <c r="D43" s="259">
        <v>8</v>
      </c>
      <c r="E43" s="260">
        <v>31</v>
      </c>
      <c r="F43" s="239">
        <f t="shared" si="9"/>
        <v>341</v>
      </c>
      <c r="G43" s="136">
        <f t="shared" si="10"/>
        <v>0.13133569557849331</v>
      </c>
    </row>
    <row r="44" spans="2:20" x14ac:dyDescent="0.25">
      <c r="C44" s="264" t="s">
        <v>115</v>
      </c>
      <c r="D44" s="259">
        <v>11.8</v>
      </c>
      <c r="E44" s="260">
        <v>22</v>
      </c>
      <c r="F44" s="239">
        <f t="shared" si="9"/>
        <v>158.39999999999998</v>
      </c>
      <c r="G44" s="136">
        <f t="shared" si="10"/>
        <v>6.1007548913880758E-2</v>
      </c>
      <c r="K44" s="128"/>
      <c r="O44" s="128"/>
    </row>
    <row r="45" spans="2:20" x14ac:dyDescent="0.25">
      <c r="C45" s="264" t="s">
        <v>116</v>
      </c>
      <c r="D45" s="259">
        <v>13.1</v>
      </c>
      <c r="E45" s="260">
        <v>20</v>
      </c>
      <c r="F45" s="239">
        <f t="shared" si="9"/>
        <v>118</v>
      </c>
      <c r="G45" s="136">
        <f t="shared" si="10"/>
        <v>4.5447542751502083E-2</v>
      </c>
    </row>
    <row r="46" spans="2:20" x14ac:dyDescent="0.25">
      <c r="C46" s="264" t="s">
        <v>117</v>
      </c>
      <c r="D46" s="261">
        <v>23.9</v>
      </c>
      <c r="E46" s="260"/>
      <c r="F46" s="239">
        <f t="shared" si="9"/>
        <v>0</v>
      </c>
      <c r="G46" s="136">
        <f t="shared" si="10"/>
        <v>0</v>
      </c>
      <c r="K46" s="13"/>
      <c r="O46" s="13"/>
    </row>
    <row r="47" spans="2:20" x14ac:dyDescent="0.25">
      <c r="C47" s="264" t="s">
        <v>118</v>
      </c>
      <c r="D47" s="261">
        <v>21.6</v>
      </c>
      <c r="E47" s="260"/>
      <c r="F47" s="239">
        <f t="shared" si="9"/>
        <v>0</v>
      </c>
      <c r="G47" s="136">
        <f t="shared" si="10"/>
        <v>0</v>
      </c>
    </row>
    <row r="48" spans="2:20" x14ac:dyDescent="0.25">
      <c r="C48" s="264" t="s">
        <v>119</v>
      </c>
      <c r="D48" s="261">
        <v>21.2</v>
      </c>
      <c r="E48" s="260"/>
      <c r="F48" s="239">
        <f t="shared" si="9"/>
        <v>0</v>
      </c>
      <c r="G48" s="136">
        <f t="shared" si="10"/>
        <v>0</v>
      </c>
      <c r="K48" s="13"/>
      <c r="O48" s="13"/>
    </row>
    <row r="49" spans="3:15" x14ac:dyDescent="0.25">
      <c r="C49" s="264" t="s">
        <v>120</v>
      </c>
      <c r="D49" s="259">
        <v>15.6</v>
      </c>
      <c r="E49" s="260">
        <v>3</v>
      </c>
      <c r="F49" s="239">
        <f t="shared" si="9"/>
        <v>10.200000000000001</v>
      </c>
      <c r="G49" s="136">
        <f t="shared" si="10"/>
        <v>3.9285164073332313E-3</v>
      </c>
      <c r="K49" s="13"/>
      <c r="O49" s="13"/>
    </row>
    <row r="50" spans="3:15" x14ac:dyDescent="0.25">
      <c r="C50" s="264" t="s">
        <v>121</v>
      </c>
      <c r="D50" s="259">
        <v>11.4</v>
      </c>
      <c r="E50" s="260">
        <v>21</v>
      </c>
      <c r="F50" s="239">
        <f t="shared" si="9"/>
        <v>159.6</v>
      </c>
      <c r="G50" s="136">
        <f t="shared" si="10"/>
        <v>6.1469727314743497E-2</v>
      </c>
    </row>
    <row r="51" spans="3:15" x14ac:dyDescent="0.25">
      <c r="C51" s="264" t="s">
        <v>122</v>
      </c>
      <c r="D51" s="259">
        <v>7</v>
      </c>
      <c r="E51" s="260">
        <v>30</v>
      </c>
      <c r="F51" s="239">
        <f t="shared" si="9"/>
        <v>360</v>
      </c>
      <c r="G51" s="136">
        <f t="shared" si="10"/>
        <v>0.13865352025881991</v>
      </c>
    </row>
    <row r="52" spans="3:15" x14ac:dyDescent="0.25">
      <c r="C52" s="265" t="s">
        <v>123</v>
      </c>
      <c r="D52" s="262">
        <v>4</v>
      </c>
      <c r="E52" s="263">
        <v>31</v>
      </c>
      <c r="F52" s="240">
        <f t="shared" si="9"/>
        <v>465</v>
      </c>
      <c r="G52" s="137">
        <f t="shared" si="10"/>
        <v>0.17909413033430907</v>
      </c>
    </row>
    <row r="53" spans="3:15" ht="15" x14ac:dyDescent="0.25">
      <c r="D53" s="140">
        <f>SUMPRODUCT(D41:D52,E41:E52)/E53</f>
        <v>7.0350230414746546</v>
      </c>
      <c r="E53" s="138">
        <f t="shared" ref="E53" si="11">SUM(E41:E52)</f>
        <v>217</v>
      </c>
      <c r="F53" s="241">
        <f>SUM(F41:F52)</f>
        <v>2596.3999999999996</v>
      </c>
      <c r="G53" s="139">
        <f>SUM(G41:G52)</f>
        <v>1.0000000000000002</v>
      </c>
    </row>
    <row r="55" spans="3:15" x14ac:dyDescent="0.25">
      <c r="C55" s="242" t="s">
        <v>170</v>
      </c>
      <c r="D55" s="133" t="s">
        <v>78</v>
      </c>
      <c r="E55" s="133" t="s">
        <v>79</v>
      </c>
      <c r="F55" s="134" t="s">
        <v>57</v>
      </c>
      <c r="G55" s="134" t="s">
        <v>80</v>
      </c>
    </row>
    <row r="56" spans="3:15" x14ac:dyDescent="0.25">
      <c r="C56" s="264" t="s">
        <v>171</v>
      </c>
      <c r="D56" s="259">
        <v>2.8</v>
      </c>
      <c r="E56" s="260">
        <v>31</v>
      </c>
      <c r="F56" s="238">
        <f t="shared" ref="F56:F67" si="12">E56*($D$38-D56)</f>
        <v>502.2</v>
      </c>
      <c r="G56" s="135">
        <f t="shared" ref="G56:G67" si="13">IF(F56=0,0,F56/$F$53)</f>
        <v>0.1934216607610538</v>
      </c>
    </row>
    <row r="57" spans="3:15" x14ac:dyDescent="0.25">
      <c r="C57" s="264" t="s">
        <v>113</v>
      </c>
      <c r="D57" s="259">
        <v>6.2</v>
      </c>
      <c r="E57" s="260">
        <v>29</v>
      </c>
      <c r="F57" s="239">
        <f t="shared" si="12"/>
        <v>371.20000000000005</v>
      </c>
      <c r="G57" s="136">
        <f t="shared" si="13"/>
        <v>0.14296718533353878</v>
      </c>
    </row>
    <row r="58" spans="3:15" x14ac:dyDescent="0.25">
      <c r="C58" s="264" t="s">
        <v>114</v>
      </c>
      <c r="D58" s="259">
        <v>6.3</v>
      </c>
      <c r="E58" s="260">
        <v>31</v>
      </c>
      <c r="F58" s="239">
        <f t="shared" si="12"/>
        <v>393.7</v>
      </c>
      <c r="G58" s="136">
        <f t="shared" si="13"/>
        <v>0.15163303034971501</v>
      </c>
    </row>
    <row r="59" spans="3:15" x14ac:dyDescent="0.25">
      <c r="C59" s="264" t="s">
        <v>115</v>
      </c>
      <c r="D59" s="259">
        <v>12.2</v>
      </c>
      <c r="E59" s="260">
        <v>21</v>
      </c>
      <c r="F59" s="239">
        <f t="shared" si="12"/>
        <v>142.80000000000001</v>
      </c>
      <c r="G59" s="136">
        <f t="shared" si="13"/>
        <v>5.4999229702665242E-2</v>
      </c>
    </row>
    <row r="60" spans="3:15" x14ac:dyDescent="0.25">
      <c r="C60" s="264" t="s">
        <v>116</v>
      </c>
      <c r="D60" s="259">
        <v>13.6</v>
      </c>
      <c r="E60" s="260">
        <v>16</v>
      </c>
      <c r="F60" s="239">
        <f t="shared" si="12"/>
        <v>86.4</v>
      </c>
      <c r="G60" s="136">
        <f t="shared" si="13"/>
        <v>3.3276844862116781E-2</v>
      </c>
    </row>
    <row r="61" spans="3:15" x14ac:dyDescent="0.25">
      <c r="C61" s="264" t="s">
        <v>117</v>
      </c>
      <c r="D61" s="261">
        <v>18.600000000000001</v>
      </c>
      <c r="E61" s="260"/>
      <c r="F61" s="239">
        <f t="shared" si="12"/>
        <v>0</v>
      </c>
      <c r="G61" s="136">
        <f t="shared" si="13"/>
        <v>0</v>
      </c>
    </row>
    <row r="62" spans="3:15" x14ac:dyDescent="0.25">
      <c r="C62" s="264" t="s">
        <v>118</v>
      </c>
      <c r="D62" s="261">
        <v>20.8</v>
      </c>
      <c r="E62" s="260"/>
      <c r="F62" s="239">
        <f t="shared" si="12"/>
        <v>0</v>
      </c>
      <c r="G62" s="136">
        <f t="shared" si="13"/>
        <v>0</v>
      </c>
    </row>
    <row r="63" spans="3:15" x14ac:dyDescent="0.25">
      <c r="C63" s="264" t="s">
        <v>119</v>
      </c>
      <c r="D63" s="261">
        <v>21.5</v>
      </c>
      <c r="E63" s="260"/>
      <c r="F63" s="239">
        <f t="shared" si="12"/>
        <v>0</v>
      </c>
      <c r="G63" s="136">
        <f t="shared" si="13"/>
        <v>0</v>
      </c>
    </row>
    <row r="64" spans="3:15" x14ac:dyDescent="0.25">
      <c r="C64" s="264" t="s">
        <v>120</v>
      </c>
      <c r="D64" s="259">
        <v>16.7</v>
      </c>
      <c r="E64" s="260">
        <v>4</v>
      </c>
      <c r="F64" s="239">
        <f t="shared" si="12"/>
        <v>9.2000000000000028</v>
      </c>
      <c r="G64" s="136">
        <f t="shared" si="13"/>
        <v>3.5433677399476214E-3</v>
      </c>
    </row>
    <row r="65" spans="3:7" x14ac:dyDescent="0.25">
      <c r="C65" s="264" t="s">
        <v>121</v>
      </c>
      <c r="D65" s="259">
        <v>10.9</v>
      </c>
      <c r="E65" s="260">
        <v>28</v>
      </c>
      <c r="F65" s="239">
        <f t="shared" si="12"/>
        <v>226.79999999999998</v>
      </c>
      <c r="G65" s="136">
        <f t="shared" si="13"/>
        <v>8.7351717763056544E-2</v>
      </c>
    </row>
    <row r="66" spans="3:7" x14ac:dyDescent="0.25">
      <c r="C66" s="264" t="s">
        <v>122</v>
      </c>
      <c r="D66" s="259">
        <v>5.6</v>
      </c>
      <c r="E66" s="260">
        <v>29</v>
      </c>
      <c r="F66" s="239">
        <f t="shared" si="12"/>
        <v>388.6</v>
      </c>
      <c r="G66" s="136">
        <f t="shared" si="13"/>
        <v>0.1496687721460484</v>
      </c>
    </row>
    <row r="67" spans="3:7" x14ac:dyDescent="0.25">
      <c r="C67" s="265" t="s">
        <v>123</v>
      </c>
      <c r="D67" s="262">
        <v>3.6</v>
      </c>
      <c r="E67" s="263">
        <v>31</v>
      </c>
      <c r="F67" s="240">
        <f t="shared" si="12"/>
        <v>477.40000000000003</v>
      </c>
      <c r="G67" s="137">
        <f t="shared" si="13"/>
        <v>0.18386997380989065</v>
      </c>
    </row>
    <row r="68" spans="3:7" ht="15" x14ac:dyDescent="0.25">
      <c r="D68" s="140">
        <f>SUMPRODUCT(D56:D67,E56:E67)/E68</f>
        <v>7.1895454545454536</v>
      </c>
      <c r="E68" s="138">
        <f t="shared" ref="E68" si="14">SUM(E56:E67)</f>
        <v>220</v>
      </c>
      <c r="F68" s="241">
        <f>SUM(F56:F67)</f>
        <v>2598.3000000000002</v>
      </c>
      <c r="G68" s="139">
        <f>SUM(G56:G67)</f>
        <v>1.0007317824680326</v>
      </c>
    </row>
    <row r="70" spans="3:7" x14ac:dyDescent="0.25">
      <c r="C70" s="242" t="s">
        <v>172</v>
      </c>
      <c r="D70" s="133" t="s">
        <v>78</v>
      </c>
      <c r="E70" s="133" t="s">
        <v>79</v>
      </c>
      <c r="F70" s="134" t="s">
        <v>57</v>
      </c>
      <c r="G70" s="134" t="s">
        <v>80</v>
      </c>
    </row>
    <row r="71" spans="3:7" x14ac:dyDescent="0.25">
      <c r="C71" s="264" t="s">
        <v>112</v>
      </c>
      <c r="D71" s="259">
        <v>1.1000000000000001</v>
      </c>
      <c r="E71" s="260">
        <v>31</v>
      </c>
      <c r="F71" s="238">
        <f t="shared" ref="F71:F82" si="15">E71*($D$38-D71)</f>
        <v>554.9</v>
      </c>
      <c r="G71" s="135">
        <f t="shared" ref="G71:G82" si="16">IF(F71=0,0,F71/$F$53)</f>
        <v>0.21371899553227547</v>
      </c>
    </row>
    <row r="72" spans="3:7" x14ac:dyDescent="0.25">
      <c r="C72" s="264" t="s">
        <v>113</v>
      </c>
      <c r="D72" s="259">
        <v>0.9</v>
      </c>
      <c r="E72" s="260">
        <v>28</v>
      </c>
      <c r="F72" s="239">
        <f t="shared" si="15"/>
        <v>506.80000000000007</v>
      </c>
      <c r="G72" s="136">
        <f t="shared" si="16"/>
        <v>0.19519334463102764</v>
      </c>
    </row>
    <row r="73" spans="3:7" x14ac:dyDescent="0.25">
      <c r="C73" s="264" t="s">
        <v>114</v>
      </c>
      <c r="D73" s="259">
        <v>5.0999999999999996</v>
      </c>
      <c r="E73" s="260">
        <v>30</v>
      </c>
      <c r="F73" s="239">
        <f t="shared" si="15"/>
        <v>417</v>
      </c>
      <c r="G73" s="136">
        <f t="shared" si="16"/>
        <v>0.16060699429979974</v>
      </c>
    </row>
    <row r="74" spans="3:7" x14ac:dyDescent="0.25">
      <c r="C74" s="264" t="s">
        <v>115</v>
      </c>
      <c r="D74" s="259">
        <v>7.6</v>
      </c>
      <c r="E74" s="260">
        <v>27</v>
      </c>
      <c r="F74" s="239">
        <f t="shared" si="15"/>
        <v>307.8</v>
      </c>
      <c r="G74" s="136">
        <f t="shared" si="16"/>
        <v>0.11854875982129104</v>
      </c>
    </row>
    <row r="75" spans="3:7" x14ac:dyDescent="0.25">
      <c r="C75" s="264" t="s">
        <v>116</v>
      </c>
      <c r="D75" s="259">
        <v>12.6</v>
      </c>
      <c r="E75" s="260">
        <v>26</v>
      </c>
      <c r="F75" s="239">
        <f t="shared" si="15"/>
        <v>166.4</v>
      </c>
      <c r="G75" s="136">
        <f t="shared" si="16"/>
        <v>6.4088738252965655E-2</v>
      </c>
    </row>
    <row r="76" spans="3:7" x14ac:dyDescent="0.25">
      <c r="C76" s="264" t="s">
        <v>117</v>
      </c>
      <c r="D76" s="261">
        <v>21.6</v>
      </c>
      <c r="E76" s="260"/>
      <c r="F76" s="239">
        <f t="shared" si="15"/>
        <v>0</v>
      </c>
      <c r="G76" s="136">
        <f t="shared" si="16"/>
        <v>0</v>
      </c>
    </row>
    <row r="77" spans="3:7" x14ac:dyDescent="0.25">
      <c r="C77" s="264" t="s">
        <v>118</v>
      </c>
      <c r="D77" s="261">
        <v>20.5</v>
      </c>
      <c r="E77" s="260"/>
      <c r="F77" s="239">
        <f t="shared" si="15"/>
        <v>0</v>
      </c>
      <c r="G77" s="136">
        <f t="shared" si="16"/>
        <v>0</v>
      </c>
    </row>
    <row r="78" spans="3:7" x14ac:dyDescent="0.25">
      <c r="C78" s="264" t="s">
        <v>119</v>
      </c>
      <c r="D78" s="261">
        <v>17.8</v>
      </c>
      <c r="E78" s="260"/>
      <c r="F78" s="239">
        <f t="shared" si="15"/>
        <v>0</v>
      </c>
      <c r="G78" s="136">
        <f t="shared" si="16"/>
        <v>0</v>
      </c>
    </row>
    <row r="79" spans="3:7" x14ac:dyDescent="0.25">
      <c r="C79" s="264" t="s">
        <v>120</v>
      </c>
      <c r="D79" s="259">
        <v>16.7</v>
      </c>
      <c r="E79" s="260">
        <v>3</v>
      </c>
      <c r="F79" s="239">
        <f t="shared" si="15"/>
        <v>6.9000000000000021</v>
      </c>
      <c r="G79" s="136">
        <f t="shared" si="16"/>
        <v>2.6575258049607161E-3</v>
      </c>
    </row>
    <row r="80" spans="3:7" x14ac:dyDescent="0.25">
      <c r="C80" s="264" t="s">
        <v>121</v>
      </c>
      <c r="D80" s="259">
        <v>9.9</v>
      </c>
      <c r="E80" s="260">
        <v>28</v>
      </c>
      <c r="F80" s="239">
        <f t="shared" si="15"/>
        <v>254.79999999999998</v>
      </c>
      <c r="G80" s="136">
        <f t="shared" si="16"/>
        <v>9.8135880449853649E-2</v>
      </c>
    </row>
    <row r="81" spans="3:7" x14ac:dyDescent="0.25">
      <c r="C81" s="264" t="s">
        <v>122</v>
      </c>
      <c r="D81" s="259">
        <v>5.0999999999999996</v>
      </c>
      <c r="E81" s="260">
        <v>30</v>
      </c>
      <c r="F81" s="239">
        <f t="shared" si="15"/>
        <v>417</v>
      </c>
      <c r="G81" s="136">
        <f t="shared" si="16"/>
        <v>0.16060699429979974</v>
      </c>
    </row>
    <row r="82" spans="3:7" x14ac:dyDescent="0.25">
      <c r="C82" s="265" t="s">
        <v>123</v>
      </c>
      <c r="D82" s="262">
        <v>2.5</v>
      </c>
      <c r="E82" s="263">
        <v>31</v>
      </c>
      <c r="F82" s="240">
        <f t="shared" si="15"/>
        <v>511.5</v>
      </c>
      <c r="G82" s="137">
        <f t="shared" si="16"/>
        <v>0.19700354336773998</v>
      </c>
    </row>
    <row r="83" spans="3:7" ht="15" x14ac:dyDescent="0.25">
      <c r="D83" s="140">
        <f>SUMPRODUCT(D71:D82,E71:E82)/E83</f>
        <v>5.5679487179487177</v>
      </c>
      <c r="E83" s="138">
        <f t="shared" ref="E83" si="17">SUM(E71:E82)</f>
        <v>234</v>
      </c>
      <c r="F83" s="241">
        <f>SUM(F71:F82)</f>
        <v>3143.1000000000004</v>
      </c>
      <c r="G83" s="139">
        <f>SUM(G71:G82)</f>
        <v>1.2105607764597137</v>
      </c>
    </row>
    <row r="85" spans="3:7" x14ac:dyDescent="0.25">
      <c r="C85" s="242" t="s">
        <v>173</v>
      </c>
      <c r="D85" s="133" t="s">
        <v>78</v>
      </c>
      <c r="E85" s="133" t="s">
        <v>79</v>
      </c>
      <c r="F85" s="134" t="s">
        <v>57</v>
      </c>
      <c r="G85" s="134" t="s">
        <v>80</v>
      </c>
    </row>
    <row r="86" spans="3:7" x14ac:dyDescent="0.25">
      <c r="C86" s="264" t="s">
        <v>112</v>
      </c>
      <c r="D86" s="259">
        <v>-0.9</v>
      </c>
      <c r="E86" s="260">
        <v>31</v>
      </c>
      <c r="F86" s="238">
        <f t="shared" ref="F86:F97" si="18">E86*($D$38-D86)</f>
        <v>616.9</v>
      </c>
      <c r="G86" s="135">
        <f t="shared" ref="G86:G97" si="19">IF(F86=0,0,F86/$F$53)</f>
        <v>0.23759821291018335</v>
      </c>
    </row>
    <row r="87" spans="3:7" x14ac:dyDescent="0.25">
      <c r="C87" s="264" t="s">
        <v>113</v>
      </c>
      <c r="D87" s="259">
        <v>0.8</v>
      </c>
      <c r="E87" s="260">
        <v>29</v>
      </c>
      <c r="F87" s="239">
        <f t="shared" si="18"/>
        <v>527.79999999999995</v>
      </c>
      <c r="G87" s="136">
        <f t="shared" si="19"/>
        <v>0.20328146664612542</v>
      </c>
    </row>
    <row r="88" spans="3:7" x14ac:dyDescent="0.25">
      <c r="C88" s="264" t="s">
        <v>114</v>
      </c>
      <c r="D88" s="259">
        <v>4.5999999999999996</v>
      </c>
      <c r="E88" s="260">
        <v>31</v>
      </c>
      <c r="F88" s="239">
        <f t="shared" si="18"/>
        <v>446.40000000000003</v>
      </c>
      <c r="G88" s="136">
        <f t="shared" si="19"/>
        <v>0.17193036512093671</v>
      </c>
    </row>
    <row r="89" spans="3:7" x14ac:dyDescent="0.25">
      <c r="C89" s="264" t="s">
        <v>115</v>
      </c>
      <c r="D89" s="259">
        <v>9.1999999999999993</v>
      </c>
      <c r="E89" s="260">
        <v>30</v>
      </c>
      <c r="F89" s="239">
        <f t="shared" si="18"/>
        <v>294</v>
      </c>
      <c r="G89" s="136">
        <f t="shared" si="19"/>
        <v>0.1132337082113696</v>
      </c>
    </row>
    <row r="90" spans="3:7" x14ac:dyDescent="0.25">
      <c r="C90" s="264" t="s">
        <v>116</v>
      </c>
      <c r="D90" s="259">
        <v>14.2</v>
      </c>
      <c r="E90" s="260">
        <v>8</v>
      </c>
      <c r="F90" s="239">
        <f t="shared" si="18"/>
        <v>38.400000000000006</v>
      </c>
      <c r="G90" s="136">
        <f t="shared" si="19"/>
        <v>1.478970882760746E-2</v>
      </c>
    </row>
    <row r="91" spans="3:7" x14ac:dyDescent="0.25">
      <c r="C91" s="264" t="s">
        <v>117</v>
      </c>
      <c r="D91" s="261">
        <v>17.5</v>
      </c>
      <c r="E91" s="260"/>
      <c r="F91" s="239">
        <f t="shared" si="18"/>
        <v>0</v>
      </c>
      <c r="G91" s="136">
        <f t="shared" si="19"/>
        <v>0</v>
      </c>
    </row>
    <row r="92" spans="3:7" x14ac:dyDescent="0.25">
      <c r="C92" s="264" t="s">
        <v>118</v>
      </c>
      <c r="D92" s="261">
        <v>19.100000000000001</v>
      </c>
      <c r="E92" s="260"/>
      <c r="F92" s="239">
        <f t="shared" si="18"/>
        <v>0</v>
      </c>
      <c r="G92" s="136">
        <f t="shared" si="19"/>
        <v>0</v>
      </c>
    </row>
    <row r="93" spans="3:7" x14ac:dyDescent="0.25">
      <c r="C93" s="264" t="s">
        <v>119</v>
      </c>
      <c r="D93" s="261">
        <v>18.5</v>
      </c>
      <c r="E93" s="260"/>
      <c r="F93" s="239">
        <f t="shared" si="18"/>
        <v>0</v>
      </c>
      <c r="G93" s="136">
        <f t="shared" si="19"/>
        <v>0</v>
      </c>
    </row>
    <row r="94" spans="3:7" x14ac:dyDescent="0.25">
      <c r="C94" s="264" t="s">
        <v>120</v>
      </c>
      <c r="D94" s="259">
        <v>14.8</v>
      </c>
      <c r="E94" s="260">
        <v>3</v>
      </c>
      <c r="F94" s="239">
        <f t="shared" si="18"/>
        <v>12.599999999999998</v>
      </c>
      <c r="G94" s="136">
        <f t="shared" si="19"/>
        <v>4.8528732090586963E-3</v>
      </c>
    </row>
    <row r="95" spans="3:7" x14ac:dyDescent="0.25">
      <c r="C95" s="264" t="s">
        <v>121</v>
      </c>
      <c r="D95" s="259">
        <v>9.6999999999999993</v>
      </c>
      <c r="E95" s="260">
        <v>31</v>
      </c>
      <c r="F95" s="239">
        <f t="shared" si="18"/>
        <v>288.3</v>
      </c>
      <c r="G95" s="136">
        <f t="shared" si="19"/>
        <v>0.11103836080727163</v>
      </c>
    </row>
    <row r="96" spans="3:7" x14ac:dyDescent="0.25">
      <c r="C96" s="264" t="s">
        <v>122</v>
      </c>
      <c r="D96" s="259">
        <v>4.4000000000000004</v>
      </c>
      <c r="E96" s="260">
        <v>30</v>
      </c>
      <c r="F96" s="239">
        <f t="shared" si="18"/>
        <v>438</v>
      </c>
      <c r="G96" s="136">
        <f t="shared" si="19"/>
        <v>0.16869511631489759</v>
      </c>
    </row>
    <row r="97" spans="3:7" x14ac:dyDescent="0.25">
      <c r="C97" s="265" t="s">
        <v>123</v>
      </c>
      <c r="D97" s="262">
        <v>0.9</v>
      </c>
      <c r="E97" s="263">
        <v>31</v>
      </c>
      <c r="F97" s="240">
        <f t="shared" si="18"/>
        <v>561.1</v>
      </c>
      <c r="G97" s="137">
        <f t="shared" si="19"/>
        <v>0.21610691727006628</v>
      </c>
    </row>
    <row r="98" spans="3:7" ht="15" x14ac:dyDescent="0.25">
      <c r="D98" s="140">
        <f>SUMPRODUCT(D86:D97,E86:E97)/E98</f>
        <v>4.609375</v>
      </c>
      <c r="E98" s="138">
        <f t="shared" ref="E98" si="20">SUM(E86:E97)</f>
        <v>224</v>
      </c>
      <c r="F98" s="241">
        <f>SUM(F86:F97)</f>
        <v>3223.5</v>
      </c>
      <c r="G98" s="139">
        <f>SUM(G86:G97)</f>
        <v>1.2415267293175167</v>
      </c>
    </row>
  </sheetData>
  <mergeCells count="12">
    <mergeCell ref="Y9:Z10"/>
    <mergeCell ref="E9:G9"/>
    <mergeCell ref="F10:G10"/>
    <mergeCell ref="V9:W9"/>
    <mergeCell ref="V10:W10"/>
    <mergeCell ref="R9:T9"/>
    <mergeCell ref="S10:T10"/>
    <mergeCell ref="N9:P9"/>
    <mergeCell ref="O10:P10"/>
    <mergeCell ref="I9:L9"/>
    <mergeCell ref="K10:L10"/>
    <mergeCell ref="I10:J10"/>
  </mergeCells>
  <conditionalFormatting sqref="E14:F20 Y13:Z20 K14:K18 K20">
    <cfRule type="cellIs" dxfId="56" priority="98" operator="equal">
      <formula>0</formula>
    </cfRule>
  </conditionalFormatting>
  <conditionalFormatting sqref="G13 G19">
    <cfRule type="cellIs" dxfId="55" priority="88" operator="equal">
      <formula>0</formula>
    </cfRule>
  </conditionalFormatting>
  <conditionalFormatting sqref="M19:N19">
    <cfRule type="cellIs" dxfId="54" priority="102" operator="equal">
      <formula>0</formula>
    </cfRule>
  </conditionalFormatting>
  <conditionalFormatting sqref="O13:P13 O19:P19">
    <cfRule type="cellIs" dxfId="53" priority="81" operator="equal">
      <formula>0</formula>
    </cfRule>
  </conditionalFormatting>
  <conditionalFormatting sqref="U19:W19 Q19:R19">
    <cfRule type="cellIs" dxfId="52" priority="203" operator="equal">
      <formula>0</formula>
    </cfRule>
  </conditionalFormatting>
  <conditionalFormatting sqref="S13:T13 S19:T19">
    <cfRule type="cellIs" dxfId="51" priority="76" operator="equal">
      <formula>0</formula>
    </cfRule>
  </conditionalFormatting>
  <conditionalFormatting sqref="G14">
    <cfRule type="cellIs" dxfId="50" priority="69" operator="equal">
      <formula>0</formula>
    </cfRule>
  </conditionalFormatting>
  <conditionalFormatting sqref="M14:N14">
    <cfRule type="cellIs" dxfId="49" priority="74" operator="equal">
      <formula>0</formula>
    </cfRule>
  </conditionalFormatting>
  <conditionalFormatting sqref="O14:P14">
    <cfRule type="cellIs" dxfId="48" priority="68" operator="equal">
      <formula>0</formula>
    </cfRule>
  </conditionalFormatting>
  <conditionalFormatting sqref="Q14:R14 U14:W14">
    <cfRule type="cellIs" dxfId="47" priority="75" operator="equal">
      <formula>0</formula>
    </cfRule>
  </conditionalFormatting>
  <conditionalFormatting sqref="S14:T14">
    <cfRule type="cellIs" dxfId="46" priority="67" operator="equal">
      <formula>0</formula>
    </cfRule>
  </conditionalFormatting>
  <conditionalFormatting sqref="G15">
    <cfRule type="cellIs" dxfId="45" priority="60" operator="equal">
      <formula>0</formula>
    </cfRule>
  </conditionalFormatting>
  <conditionalFormatting sqref="M15:N15">
    <cfRule type="cellIs" dxfId="44" priority="65" operator="equal">
      <formula>0</formula>
    </cfRule>
  </conditionalFormatting>
  <conditionalFormatting sqref="O15:P15">
    <cfRule type="cellIs" dxfId="43" priority="59" operator="equal">
      <formula>0</formula>
    </cfRule>
  </conditionalFormatting>
  <conditionalFormatting sqref="Q15:R15 U15:W15">
    <cfRule type="cellIs" dxfId="42" priority="66" operator="equal">
      <formula>0</formula>
    </cfRule>
  </conditionalFormatting>
  <conditionalFormatting sqref="S15:T15">
    <cfRule type="cellIs" dxfId="41" priority="58" operator="equal">
      <formula>0</formula>
    </cfRule>
  </conditionalFormatting>
  <conditionalFormatting sqref="G16">
    <cfRule type="cellIs" dxfId="40" priority="51" operator="equal">
      <formula>0</formula>
    </cfRule>
  </conditionalFormatting>
  <conditionalFormatting sqref="M16:N16">
    <cfRule type="cellIs" dxfId="39" priority="56" operator="equal">
      <formula>0</formula>
    </cfRule>
  </conditionalFormatting>
  <conditionalFormatting sqref="O16:P16">
    <cfRule type="cellIs" dxfId="38" priority="50" operator="equal">
      <formula>0</formula>
    </cfRule>
  </conditionalFormatting>
  <conditionalFormatting sqref="Q16:R16 U16:W16">
    <cfRule type="cellIs" dxfId="37" priority="57" operator="equal">
      <formula>0</formula>
    </cfRule>
  </conditionalFormatting>
  <conditionalFormatting sqref="S16:T16">
    <cfRule type="cellIs" dxfId="36" priority="49" operator="equal">
      <formula>0</formula>
    </cfRule>
  </conditionalFormatting>
  <conditionalFormatting sqref="G17">
    <cfRule type="cellIs" dxfId="35" priority="42" operator="equal">
      <formula>0</formula>
    </cfRule>
  </conditionalFormatting>
  <conditionalFormatting sqref="M17:N17">
    <cfRule type="cellIs" dxfId="34" priority="47" operator="equal">
      <formula>0</formula>
    </cfRule>
  </conditionalFormatting>
  <conditionalFormatting sqref="O17:P17">
    <cfRule type="cellIs" dxfId="33" priority="41" operator="equal">
      <formula>0</formula>
    </cfRule>
  </conditionalFormatting>
  <conditionalFormatting sqref="Q17:R17 U17:W17">
    <cfRule type="cellIs" dxfId="32" priority="48" operator="equal">
      <formula>0</formula>
    </cfRule>
  </conditionalFormatting>
  <conditionalFormatting sqref="S17:T17">
    <cfRule type="cellIs" dxfId="31" priority="40" operator="equal">
      <formula>0</formula>
    </cfRule>
  </conditionalFormatting>
  <conditionalFormatting sqref="G20">
    <cfRule type="cellIs" dxfId="30" priority="33" operator="equal">
      <formula>0</formula>
    </cfRule>
  </conditionalFormatting>
  <conditionalFormatting sqref="M20:N20">
    <cfRule type="cellIs" dxfId="29" priority="38" operator="equal">
      <formula>0</formula>
    </cfRule>
  </conditionalFormatting>
  <conditionalFormatting sqref="O20:P20">
    <cfRule type="cellIs" dxfId="28" priority="32" operator="equal">
      <formula>0</formula>
    </cfRule>
  </conditionalFormatting>
  <conditionalFormatting sqref="Q20:R20 U20:W20">
    <cfRule type="cellIs" dxfId="27" priority="39" operator="equal">
      <formula>0</formula>
    </cfRule>
  </conditionalFormatting>
  <conditionalFormatting sqref="S20:T20">
    <cfRule type="cellIs" dxfId="26" priority="31" operator="equal">
      <formula>0</formula>
    </cfRule>
  </conditionalFormatting>
  <conditionalFormatting sqref="G18">
    <cfRule type="cellIs" dxfId="25" priority="24" operator="equal">
      <formula>0</formula>
    </cfRule>
  </conditionalFormatting>
  <conditionalFormatting sqref="M18:N18">
    <cfRule type="cellIs" dxfId="24" priority="29" operator="equal">
      <formula>0</formula>
    </cfRule>
  </conditionalFormatting>
  <conditionalFormatting sqref="O18:P18">
    <cfRule type="cellIs" dxfId="23" priority="23" operator="equal">
      <formula>0</formula>
    </cfRule>
  </conditionalFormatting>
  <conditionalFormatting sqref="Q18:R18 U18:W18">
    <cfRule type="cellIs" dxfId="22" priority="30" operator="equal">
      <formula>0</formula>
    </cfRule>
  </conditionalFormatting>
  <conditionalFormatting sqref="S18:T18">
    <cfRule type="cellIs" dxfId="21" priority="22" operator="equal">
      <formula>0</formula>
    </cfRule>
  </conditionalFormatting>
  <conditionalFormatting sqref="H19:I19">
    <cfRule type="cellIs" dxfId="20" priority="21" operator="equal">
      <formula>0</formula>
    </cfRule>
  </conditionalFormatting>
  <conditionalFormatting sqref="K13:L13 K19:L19">
    <cfRule type="cellIs" dxfId="19" priority="20" operator="equal">
      <formula>0</formula>
    </cfRule>
  </conditionalFormatting>
  <conditionalFormatting sqref="H14:I14">
    <cfRule type="cellIs" dxfId="18" priority="19" operator="equal">
      <formula>0</formula>
    </cfRule>
  </conditionalFormatting>
  <conditionalFormatting sqref="L14">
    <cfRule type="cellIs" dxfId="17" priority="18" operator="equal">
      <formula>0</formula>
    </cfRule>
  </conditionalFormatting>
  <conditionalFormatting sqref="H15:I15">
    <cfRule type="cellIs" dxfId="16" priority="17" operator="equal">
      <formula>0</formula>
    </cfRule>
  </conditionalFormatting>
  <conditionalFormatting sqref="L15">
    <cfRule type="cellIs" dxfId="15" priority="16" operator="equal">
      <formula>0</formula>
    </cfRule>
  </conditionalFormatting>
  <conditionalFormatting sqref="H16:I16">
    <cfRule type="cellIs" dxfId="14" priority="15" operator="equal">
      <formula>0</formula>
    </cfRule>
  </conditionalFormatting>
  <conditionalFormatting sqref="L16">
    <cfRule type="cellIs" dxfId="13" priority="14" operator="equal">
      <formula>0</formula>
    </cfRule>
  </conditionalFormatting>
  <conditionalFormatting sqref="H17:I17">
    <cfRule type="cellIs" dxfId="12" priority="13" operator="equal">
      <formula>0</formula>
    </cfRule>
  </conditionalFormatting>
  <conditionalFormatting sqref="L17">
    <cfRule type="cellIs" dxfId="11" priority="12" operator="equal">
      <formula>0</formula>
    </cfRule>
  </conditionalFormatting>
  <conditionalFormatting sqref="H20:I20">
    <cfRule type="cellIs" dxfId="10" priority="11" operator="equal">
      <formula>0</formula>
    </cfRule>
  </conditionalFormatting>
  <conditionalFormatting sqref="L20">
    <cfRule type="cellIs" dxfId="9" priority="10" operator="equal">
      <formula>0</formula>
    </cfRule>
  </conditionalFormatting>
  <conditionalFormatting sqref="H18:I18">
    <cfRule type="cellIs" dxfId="8" priority="9" operator="equal">
      <formula>0</formula>
    </cfRule>
  </conditionalFormatting>
  <conditionalFormatting sqref="L18">
    <cfRule type="cellIs" dxfId="7" priority="8" operator="equal">
      <formula>0</formula>
    </cfRule>
  </conditionalFormatting>
  <conditionalFormatting sqref="J19">
    <cfRule type="cellIs" dxfId="6" priority="7" operator="equal">
      <formula>0</formula>
    </cfRule>
  </conditionalFormatting>
  <conditionalFormatting sqref="J14">
    <cfRule type="cellIs" dxfId="5" priority="6" operator="equal">
      <formula>0</formula>
    </cfRule>
  </conditionalFormatting>
  <conditionalFormatting sqref="J15">
    <cfRule type="cellIs" dxfId="4" priority="5" operator="equal">
      <formula>0</formula>
    </cfRule>
  </conditionalFormatting>
  <conditionalFormatting sqref="J16">
    <cfRule type="cellIs" dxfId="3" priority="4" operator="equal">
      <formula>0</formula>
    </cfRule>
  </conditionalFormatting>
  <conditionalFormatting sqref="J17">
    <cfRule type="cellIs" dxfId="2" priority="3" operator="equal">
      <formula>0</formula>
    </cfRule>
  </conditionalFormatting>
  <conditionalFormatting sqref="J20">
    <cfRule type="cellIs" dxfId="1" priority="2" operator="equal">
      <formula>0</formula>
    </cfRule>
  </conditionalFormatting>
  <conditionalFormatting sqref="J18">
    <cfRule type="cellIs" dxfId="0" priority="1" operator="equal">
      <formula>0</formula>
    </cfRule>
  </conditionalFormatting>
  <hyperlinks>
    <hyperlink ref="D36" r:id="rId1" display="https://vytapeni.tzb-info.cz/tabulky-a-vypocty/103-vypocet-denostupnu?stanice=18&amp;action=1&amp;otopne_obdobi=&amp;start_day=01&amp;start_month=01&amp;start_year=2021&amp;end_day=31&amp;end_month=12&amp;end_year=2021&amp;ti=19.0&amp;tem=13.0&amp;chkbox_sumtbl=1&amp;chkbox_deg=1&amp;chkbox_dnu=1&amp;chkbox_prumerne_teploty=1&amp;deg_x=740&amp;deg_y=270&amp;otop_dny_x=740&amp;otop_dny_y=270&amp;prum_teploty_x=740&amp;prum_teploty_y=270"/>
  </hyperlinks>
  <pageMargins left="0.25" right="0.25" top="0.75" bottom="0.75" header="0.3" footer="0.3"/>
  <pageSetup paperSize="9" scale="38" orientation="landscape" r:id="rId2"/>
  <headerFooter>
    <oddHeader>&amp;L&amp;"Calibri"&amp;10&amp;K000000 INTERNÍ      &amp;1#_x000D_</oddHeader>
  </headerFooter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O49"/>
  <sheetViews>
    <sheetView topLeftCell="A34" zoomScale="70" zoomScaleNormal="70" workbookViewId="0">
      <selection activeCell="AJ48" sqref="AJ48"/>
    </sheetView>
  </sheetViews>
  <sheetFormatPr defaultRowHeight="15" x14ac:dyDescent="0.25"/>
  <cols>
    <col min="3" max="6" width="9.140625" customWidth="1"/>
    <col min="8" max="11" width="9.140625" customWidth="1"/>
    <col min="13" max="16" width="9.140625" customWidth="1"/>
    <col min="18" max="21" width="9.140625" customWidth="1"/>
    <col min="23" max="26" width="9.140625" customWidth="1"/>
    <col min="28" max="31" width="9.140625" customWidth="1"/>
    <col min="33" max="36" width="9.140625" customWidth="1"/>
  </cols>
  <sheetData>
    <row r="2" spans="1:41" x14ac:dyDescent="0.25">
      <c r="A2" s="303"/>
      <c r="B2" s="303"/>
      <c r="C2" s="304"/>
      <c r="D2" s="304"/>
      <c r="E2" s="304"/>
      <c r="F2" s="304"/>
      <c r="G2" s="303"/>
      <c r="H2" s="304"/>
      <c r="I2" s="304"/>
      <c r="J2" s="304"/>
      <c r="K2" s="304"/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W2" s="303"/>
      <c r="X2" s="303"/>
      <c r="Y2" s="303"/>
      <c r="Z2" s="303"/>
      <c r="AA2" s="303"/>
      <c r="AB2" s="303"/>
      <c r="AC2" s="303"/>
      <c r="AD2" s="303"/>
      <c r="AE2" s="303"/>
      <c r="AF2" s="303"/>
      <c r="AG2" s="303"/>
      <c r="AH2" s="303"/>
      <c r="AI2" s="303"/>
      <c r="AJ2" s="303"/>
      <c r="AK2" s="303"/>
      <c r="AL2" s="303"/>
      <c r="AM2" s="303"/>
      <c r="AN2" s="303"/>
      <c r="AO2" s="303"/>
    </row>
    <row r="3" spans="1:41" x14ac:dyDescent="0.25">
      <c r="A3" s="303"/>
      <c r="B3" s="303"/>
      <c r="C3" s="305" t="s">
        <v>41</v>
      </c>
      <c r="D3" s="305"/>
      <c r="E3" s="304"/>
      <c r="F3" s="304"/>
      <c r="G3" s="304"/>
      <c r="H3" s="305" t="s">
        <v>41</v>
      </c>
      <c r="I3" s="304"/>
      <c r="J3" s="304"/>
      <c r="K3" s="304"/>
      <c r="L3" s="303"/>
      <c r="M3" s="306" t="s">
        <v>42</v>
      </c>
      <c r="N3" s="303"/>
      <c r="O3" s="303"/>
      <c r="P3" s="303"/>
      <c r="Q3" s="303"/>
      <c r="R3" s="306" t="s">
        <v>42</v>
      </c>
      <c r="S3" s="303"/>
      <c r="T3" s="303"/>
      <c r="U3" s="303"/>
      <c r="V3" s="303"/>
      <c r="W3" s="306" t="s">
        <v>42</v>
      </c>
      <c r="X3" s="303"/>
      <c r="Y3" s="303"/>
      <c r="Z3" s="303"/>
      <c r="AA3" s="303"/>
      <c r="AB3" s="306" t="s">
        <v>43</v>
      </c>
      <c r="AC3" s="303"/>
      <c r="AD3" s="303"/>
      <c r="AE3" s="303"/>
      <c r="AF3" s="303"/>
      <c r="AG3" s="306" t="s">
        <v>43</v>
      </c>
      <c r="AH3" s="303"/>
      <c r="AI3" s="303"/>
      <c r="AJ3" s="303"/>
      <c r="AK3" s="303"/>
      <c r="AL3" s="303"/>
      <c r="AM3" s="303"/>
      <c r="AN3" s="303"/>
      <c r="AO3" s="303"/>
    </row>
    <row r="4" spans="1:41" x14ac:dyDescent="0.25">
      <c r="A4" s="303"/>
      <c r="B4" s="303"/>
      <c r="C4" s="303" t="s">
        <v>154</v>
      </c>
      <c r="D4" s="304"/>
      <c r="E4" s="304"/>
      <c r="F4" s="304"/>
      <c r="G4" s="304"/>
      <c r="H4" s="303" t="s">
        <v>155</v>
      </c>
      <c r="I4" s="304"/>
      <c r="J4" s="304"/>
      <c r="K4" s="304"/>
      <c r="L4" s="303"/>
      <c r="M4" s="303" t="s">
        <v>156</v>
      </c>
      <c r="N4" s="303"/>
      <c r="O4" s="303"/>
      <c r="P4" s="303"/>
      <c r="Q4" s="303"/>
      <c r="R4" s="303" t="s">
        <v>157</v>
      </c>
      <c r="S4" s="303"/>
      <c r="T4" s="303"/>
      <c r="U4" s="303"/>
      <c r="V4" s="303"/>
      <c r="W4" s="303" t="s">
        <v>158</v>
      </c>
      <c r="X4" s="303"/>
      <c r="Y4" s="303"/>
      <c r="Z4" s="303"/>
      <c r="AA4" s="303"/>
      <c r="AB4" s="303" t="s">
        <v>159</v>
      </c>
      <c r="AC4" s="303"/>
      <c r="AD4" s="303"/>
      <c r="AE4" s="303"/>
      <c r="AF4" s="303"/>
      <c r="AG4" s="303" t="s">
        <v>160</v>
      </c>
      <c r="AH4" s="303"/>
      <c r="AI4" s="303"/>
      <c r="AJ4" s="303"/>
      <c r="AK4" s="303"/>
      <c r="AL4" s="303"/>
      <c r="AM4" s="303"/>
      <c r="AN4" s="303"/>
      <c r="AO4" s="303"/>
    </row>
    <row r="5" spans="1:41" x14ac:dyDescent="0.25">
      <c r="A5" s="303"/>
      <c r="B5" s="303"/>
      <c r="C5" s="307" t="s">
        <v>93</v>
      </c>
      <c r="D5" s="307" t="s">
        <v>3</v>
      </c>
      <c r="E5" s="307" t="s">
        <v>4</v>
      </c>
      <c r="F5" s="307" t="s">
        <v>94</v>
      </c>
      <c r="G5" s="303"/>
      <c r="H5" s="307" t="s">
        <v>93</v>
      </c>
      <c r="I5" s="307" t="s">
        <v>3</v>
      </c>
      <c r="J5" s="307" t="s">
        <v>4</v>
      </c>
      <c r="K5" s="307" t="s">
        <v>94</v>
      </c>
      <c r="L5" s="303"/>
      <c r="M5" s="308" t="s">
        <v>93</v>
      </c>
      <c r="N5" s="308" t="s">
        <v>3</v>
      </c>
      <c r="O5" s="308" t="s">
        <v>4</v>
      </c>
      <c r="P5" s="308" t="s">
        <v>94</v>
      </c>
      <c r="Q5" s="303"/>
      <c r="R5" s="308" t="s">
        <v>93</v>
      </c>
      <c r="S5" s="308" t="s">
        <v>3</v>
      </c>
      <c r="T5" s="308" t="s">
        <v>4</v>
      </c>
      <c r="U5" s="308" t="s">
        <v>94</v>
      </c>
      <c r="V5" s="303"/>
      <c r="W5" s="308" t="s">
        <v>93</v>
      </c>
      <c r="X5" s="308" t="s">
        <v>3</v>
      </c>
      <c r="Y5" s="308" t="s">
        <v>4</v>
      </c>
      <c r="Z5" s="308" t="s">
        <v>94</v>
      </c>
      <c r="AA5" s="303"/>
      <c r="AB5" s="309" t="s">
        <v>1</v>
      </c>
      <c r="AC5" s="309" t="s">
        <v>3</v>
      </c>
      <c r="AD5" s="309" t="s">
        <v>4</v>
      </c>
      <c r="AE5" s="309" t="s">
        <v>153</v>
      </c>
      <c r="AF5" s="303"/>
      <c r="AG5" s="309" t="s">
        <v>1</v>
      </c>
      <c r="AH5" s="309" t="s">
        <v>3</v>
      </c>
      <c r="AI5" s="309" t="s">
        <v>4</v>
      </c>
      <c r="AJ5" s="309" t="s">
        <v>153</v>
      </c>
      <c r="AK5" s="303"/>
      <c r="AL5" s="303"/>
      <c r="AM5" s="303"/>
      <c r="AN5" s="303"/>
      <c r="AO5" s="303"/>
    </row>
    <row r="6" spans="1:41" x14ac:dyDescent="0.25">
      <c r="A6" s="303"/>
      <c r="B6" s="310"/>
      <c r="C6" s="311"/>
      <c r="D6" s="311"/>
      <c r="E6" s="311"/>
      <c r="F6" s="311"/>
      <c r="G6" s="303"/>
      <c r="H6" s="311"/>
      <c r="I6" s="311"/>
      <c r="J6" s="311"/>
      <c r="K6" s="311"/>
      <c r="L6" s="303"/>
      <c r="M6" s="312"/>
      <c r="N6" s="312"/>
      <c r="O6" s="312"/>
      <c r="P6" s="312"/>
      <c r="Q6" s="303"/>
      <c r="R6" s="312"/>
      <c r="S6" s="312"/>
      <c r="T6" s="312"/>
      <c r="U6" s="312"/>
      <c r="V6" s="303"/>
      <c r="W6" s="312"/>
      <c r="X6" s="312"/>
      <c r="Y6" s="312"/>
      <c r="Z6" s="312"/>
      <c r="AA6" s="303"/>
      <c r="AB6" s="312"/>
      <c r="AC6" s="312"/>
      <c r="AD6" s="312"/>
      <c r="AE6" s="312"/>
      <c r="AF6" s="303"/>
      <c r="AG6" s="312"/>
      <c r="AH6" s="312"/>
      <c r="AI6" s="312"/>
      <c r="AJ6" s="312"/>
      <c r="AK6" s="303"/>
      <c r="AL6" s="303"/>
      <c r="AM6" s="303"/>
      <c r="AN6" s="303"/>
      <c r="AO6" s="303"/>
    </row>
    <row r="7" spans="1:41" x14ac:dyDescent="0.25">
      <c r="A7" s="303">
        <v>2019</v>
      </c>
      <c r="B7" s="313" t="s">
        <v>112</v>
      </c>
      <c r="C7" s="320">
        <v>277.53653000000003</v>
      </c>
      <c r="D7" s="320">
        <f t="shared" ref="D7:D30" si="0">+E7/1.21</f>
        <v>321239.73649280943</v>
      </c>
      <c r="E7" s="320">
        <v>388700.08115629939</v>
      </c>
      <c r="F7" s="321">
        <f t="shared" ref="F7:F42" si="1">E7/C7</f>
        <v>1400.5366470363356</v>
      </c>
      <c r="G7" s="314"/>
      <c r="H7" s="320">
        <v>15.588749999999999</v>
      </c>
      <c r="I7" s="320">
        <f t="shared" ref="I7:I30" si="2">+J7/1.21</f>
        <v>14091.035621377758</v>
      </c>
      <c r="J7" s="320">
        <v>17050.153101867087</v>
      </c>
      <c r="K7" s="321">
        <f t="shared" ref="K7:K42" si="3">J7/H7</f>
        <v>1093.7472922374845</v>
      </c>
      <c r="L7" s="314"/>
      <c r="M7" s="564">
        <v>75.447999999999993</v>
      </c>
      <c r="N7" s="564">
        <f>+O7/1.21</f>
        <v>247526.05785123966</v>
      </c>
      <c r="O7" s="564">
        <v>299506.52999999997</v>
      </c>
      <c r="P7" s="565">
        <f t="shared" ref="P7" si="4">O7/M7</f>
        <v>3969.7080108153959</v>
      </c>
      <c r="Q7" s="314"/>
      <c r="R7" s="564">
        <v>23.248999999999999</v>
      </c>
      <c r="S7" s="564">
        <f>+T7/1.21</f>
        <v>106772.87603305785</v>
      </c>
      <c r="T7" s="564">
        <v>129195.18</v>
      </c>
      <c r="U7" s="565">
        <f t="shared" ref="U7:U42" si="5">T7/R7</f>
        <v>5557.020947137511</v>
      </c>
      <c r="V7" s="314"/>
      <c r="W7" s="564">
        <v>108.65900000000001</v>
      </c>
      <c r="X7" s="564">
        <f>+Y7/1.21</f>
        <v>362158.89256198349</v>
      </c>
      <c r="Y7" s="564">
        <v>438212.26</v>
      </c>
      <c r="Z7" s="565">
        <f t="shared" ref="Z7" si="6">Y7/W7</f>
        <v>4032.9126901591217</v>
      </c>
      <c r="AA7" s="314"/>
      <c r="AB7" s="564">
        <v>2751</v>
      </c>
      <c r="AC7" s="564">
        <v>235210.50000000003</v>
      </c>
      <c r="AD7" s="564">
        <v>270492.08199999999</v>
      </c>
      <c r="AE7" s="565">
        <f t="shared" ref="AE7:AE42" si="7">AD7/AB7</f>
        <v>98.325002544529255</v>
      </c>
      <c r="AF7" s="314"/>
      <c r="AG7" s="564">
        <v>886</v>
      </c>
      <c r="AH7" s="564">
        <v>75753</v>
      </c>
      <c r="AI7" s="564">
        <v>87115.96</v>
      </c>
      <c r="AJ7" s="565">
        <f t="shared" ref="AJ7:AJ39" si="8">AI7/AG7</f>
        <v>98.325011286681729</v>
      </c>
      <c r="AK7" s="303"/>
      <c r="AL7" s="313" t="s">
        <v>112</v>
      </c>
      <c r="AM7" s="303">
        <v>2019</v>
      </c>
      <c r="AN7" s="303"/>
      <c r="AO7" s="303"/>
    </row>
    <row r="8" spans="1:41" x14ac:dyDescent="0.25">
      <c r="A8" s="303"/>
      <c r="B8" s="313" t="s">
        <v>113</v>
      </c>
      <c r="C8" s="320">
        <v>219.29229000000001</v>
      </c>
      <c r="D8" s="320">
        <f t="shared" si="0"/>
        <v>253823.87484092542</v>
      </c>
      <c r="E8" s="320">
        <v>307126.88855751976</v>
      </c>
      <c r="F8" s="321">
        <f t="shared" si="1"/>
        <v>1400.5366470363356</v>
      </c>
      <c r="G8" s="314"/>
      <c r="H8" s="320">
        <v>11.916460000000001</v>
      </c>
      <c r="I8" s="320">
        <f t="shared" si="2"/>
        <v>10771.566824839912</v>
      </c>
      <c r="J8" s="320">
        <v>13033.595858056293</v>
      </c>
      <c r="K8" s="321">
        <f t="shared" si="3"/>
        <v>1093.7472922374843</v>
      </c>
      <c r="L8" s="314"/>
      <c r="M8" s="564"/>
      <c r="N8" s="564"/>
      <c r="O8" s="564"/>
      <c r="P8" s="565"/>
      <c r="Q8" s="314"/>
      <c r="R8" s="564"/>
      <c r="S8" s="564"/>
      <c r="T8" s="564"/>
      <c r="U8" s="565"/>
      <c r="V8" s="314"/>
      <c r="W8" s="564"/>
      <c r="X8" s="564"/>
      <c r="Y8" s="564"/>
      <c r="Z8" s="565"/>
      <c r="AA8" s="314"/>
      <c r="AB8" s="564"/>
      <c r="AC8" s="564"/>
      <c r="AD8" s="564">
        <f t="shared" ref="AD8:AD30" si="9">AC8*1.15</f>
        <v>0</v>
      </c>
      <c r="AE8" s="565" t="e">
        <f t="shared" si="7"/>
        <v>#DIV/0!</v>
      </c>
      <c r="AF8" s="314"/>
      <c r="AG8" s="564"/>
      <c r="AH8" s="564"/>
      <c r="AI8" s="564"/>
      <c r="AJ8" s="565"/>
      <c r="AK8" s="303"/>
      <c r="AL8" s="313" t="s">
        <v>113</v>
      </c>
      <c r="AM8" s="303"/>
      <c r="AN8" s="303"/>
      <c r="AO8" s="303"/>
    </row>
    <row r="9" spans="1:41" x14ac:dyDescent="0.25">
      <c r="A9" s="303"/>
      <c r="B9" s="313" t="s">
        <v>114</v>
      </c>
      <c r="C9" s="320">
        <v>183.44032999999999</v>
      </c>
      <c r="D9" s="320">
        <f t="shared" si="0"/>
        <v>212326.36752846194</v>
      </c>
      <c r="E9" s="320">
        <v>256914.90470943894</v>
      </c>
      <c r="F9" s="321">
        <f t="shared" si="1"/>
        <v>1400.5366470363358</v>
      </c>
      <c r="G9" s="314"/>
      <c r="H9" s="320">
        <v>8.9320599999999999</v>
      </c>
      <c r="I9" s="320">
        <f t="shared" si="2"/>
        <v>8073.8978835559874</v>
      </c>
      <c r="J9" s="320">
        <v>9769.4164391027443</v>
      </c>
      <c r="K9" s="321">
        <f t="shared" si="3"/>
        <v>1093.7472922374843</v>
      </c>
      <c r="L9" s="314"/>
      <c r="M9" s="564"/>
      <c r="N9" s="564"/>
      <c r="O9" s="564"/>
      <c r="P9" s="565"/>
      <c r="Q9" s="314"/>
      <c r="R9" s="564"/>
      <c r="S9" s="564"/>
      <c r="T9" s="564"/>
      <c r="U9" s="565"/>
      <c r="V9" s="314"/>
      <c r="W9" s="564"/>
      <c r="X9" s="564"/>
      <c r="Y9" s="564"/>
      <c r="Z9" s="565"/>
      <c r="AA9" s="314"/>
      <c r="AB9" s="564"/>
      <c r="AC9" s="564"/>
      <c r="AD9" s="564">
        <f t="shared" si="9"/>
        <v>0</v>
      </c>
      <c r="AE9" s="565" t="e">
        <f t="shared" si="7"/>
        <v>#DIV/0!</v>
      </c>
      <c r="AF9" s="314"/>
      <c r="AG9" s="564"/>
      <c r="AH9" s="564"/>
      <c r="AI9" s="564"/>
      <c r="AJ9" s="565"/>
      <c r="AK9" s="303"/>
      <c r="AL9" s="313" t="s">
        <v>114</v>
      </c>
      <c r="AM9" s="303"/>
      <c r="AN9" s="303"/>
      <c r="AO9" s="303"/>
    </row>
    <row r="10" spans="1:41" x14ac:dyDescent="0.25">
      <c r="A10" s="303"/>
      <c r="B10" s="313" t="s">
        <v>115</v>
      </c>
      <c r="C10" s="320">
        <v>121.59905000000001</v>
      </c>
      <c r="D10" s="320">
        <f t="shared" si="0"/>
        <v>140747.04609074691</v>
      </c>
      <c r="E10" s="320">
        <v>170303.92576980375</v>
      </c>
      <c r="F10" s="321">
        <f t="shared" si="1"/>
        <v>1400.5366470363358</v>
      </c>
      <c r="G10" s="314"/>
      <c r="H10" s="320">
        <v>4.8470199999999997</v>
      </c>
      <c r="I10" s="320">
        <f t="shared" si="2"/>
        <v>4381.3347110916793</v>
      </c>
      <c r="J10" s="320">
        <v>5301.4150004209314</v>
      </c>
      <c r="K10" s="321">
        <f t="shared" si="3"/>
        <v>1093.7472922374843</v>
      </c>
      <c r="L10" s="314"/>
      <c r="M10" s="564"/>
      <c r="N10" s="564"/>
      <c r="O10" s="564"/>
      <c r="P10" s="565"/>
      <c r="Q10" s="314"/>
      <c r="R10" s="564"/>
      <c r="S10" s="564"/>
      <c r="T10" s="564"/>
      <c r="U10" s="565"/>
      <c r="V10" s="314"/>
      <c r="W10" s="564"/>
      <c r="X10" s="564"/>
      <c r="Y10" s="564"/>
      <c r="Z10" s="565"/>
      <c r="AA10" s="314"/>
      <c r="AB10" s="564">
        <v>2043</v>
      </c>
      <c r="AC10" s="564">
        <v>174676.49999999997</v>
      </c>
      <c r="AD10" s="564">
        <v>200877.978</v>
      </c>
      <c r="AE10" s="565">
        <f t="shared" si="7"/>
        <v>98.325001468428781</v>
      </c>
      <c r="AF10" s="314"/>
      <c r="AG10" s="564"/>
      <c r="AH10" s="564"/>
      <c r="AI10" s="564"/>
      <c r="AJ10" s="565"/>
      <c r="AK10" s="303"/>
      <c r="AL10" s="313" t="s">
        <v>115</v>
      </c>
      <c r="AM10" s="303"/>
      <c r="AN10" s="303"/>
      <c r="AO10" s="303"/>
    </row>
    <row r="11" spans="1:41" x14ac:dyDescent="0.25">
      <c r="A11" s="303"/>
      <c r="B11" s="313" t="s">
        <v>116</v>
      </c>
      <c r="C11" s="320">
        <v>110.03913</v>
      </c>
      <c r="D11" s="320">
        <f t="shared" si="0"/>
        <v>127366.80510164912</v>
      </c>
      <c r="E11" s="320">
        <v>154113.83417299544</v>
      </c>
      <c r="F11" s="321">
        <f t="shared" si="1"/>
        <v>1400.5366470363356</v>
      </c>
      <c r="G11" s="314"/>
      <c r="H11" s="320">
        <v>4.0315700000000003</v>
      </c>
      <c r="I11" s="320">
        <f t="shared" si="2"/>
        <v>3644.2303892279961</v>
      </c>
      <c r="J11" s="320">
        <v>4409.5187709658749</v>
      </c>
      <c r="K11" s="321">
        <f t="shared" si="3"/>
        <v>1093.7472922374843</v>
      </c>
      <c r="L11" s="314"/>
      <c r="M11" s="564"/>
      <c r="N11" s="564"/>
      <c r="O11" s="564"/>
      <c r="P11" s="565"/>
      <c r="Q11" s="314"/>
      <c r="R11" s="564"/>
      <c r="S11" s="564"/>
      <c r="T11" s="564"/>
      <c r="U11" s="565"/>
      <c r="V11" s="314"/>
      <c r="W11" s="564"/>
      <c r="X11" s="564"/>
      <c r="Y11" s="564"/>
      <c r="Z11" s="565"/>
      <c r="AA11" s="314"/>
      <c r="AB11" s="564"/>
      <c r="AC11" s="564"/>
      <c r="AD11" s="564">
        <f t="shared" si="9"/>
        <v>0</v>
      </c>
      <c r="AE11" s="565" t="e">
        <f t="shared" si="7"/>
        <v>#DIV/0!</v>
      </c>
      <c r="AF11" s="314"/>
      <c r="AG11" s="564"/>
      <c r="AH11" s="564"/>
      <c r="AI11" s="564"/>
      <c r="AJ11" s="565"/>
      <c r="AK11" s="303"/>
      <c r="AL11" s="313" t="s">
        <v>116</v>
      </c>
      <c r="AM11" s="303"/>
      <c r="AN11" s="303"/>
      <c r="AO11" s="303"/>
    </row>
    <row r="12" spans="1:41" x14ac:dyDescent="0.25">
      <c r="A12" s="303"/>
      <c r="B12" s="313" t="s">
        <v>117</v>
      </c>
      <c r="C12" s="320">
        <v>36.171349999999997</v>
      </c>
      <c r="D12" s="320">
        <f t="shared" si="0"/>
        <v>41867.191113865912</v>
      </c>
      <c r="E12" s="320">
        <v>50659.301247777752</v>
      </c>
      <c r="F12" s="321">
        <f t="shared" si="1"/>
        <v>1400.5366470363356</v>
      </c>
      <c r="G12" s="314"/>
      <c r="H12" s="320">
        <v>0.48642999999999997</v>
      </c>
      <c r="I12" s="320">
        <f t="shared" si="2"/>
        <v>439.69545071328884</v>
      </c>
      <c r="J12" s="320">
        <v>532.03149536307944</v>
      </c>
      <c r="K12" s="321">
        <f t="shared" si="3"/>
        <v>1093.7472922374843</v>
      </c>
      <c r="L12" s="314"/>
      <c r="M12" s="564"/>
      <c r="N12" s="564"/>
      <c r="O12" s="564"/>
      <c r="P12" s="565"/>
      <c r="Q12" s="314"/>
      <c r="R12" s="564"/>
      <c r="S12" s="564"/>
      <c r="T12" s="564"/>
      <c r="U12" s="565"/>
      <c r="V12" s="314"/>
      <c r="W12" s="564"/>
      <c r="X12" s="564"/>
      <c r="Y12" s="564"/>
      <c r="Z12" s="565"/>
      <c r="AA12" s="314"/>
      <c r="AB12" s="564"/>
      <c r="AC12" s="564"/>
      <c r="AD12" s="564">
        <f t="shared" si="9"/>
        <v>0</v>
      </c>
      <c r="AE12" s="565" t="e">
        <f t="shared" si="7"/>
        <v>#DIV/0!</v>
      </c>
      <c r="AF12" s="314"/>
      <c r="AG12" s="564"/>
      <c r="AH12" s="564"/>
      <c r="AI12" s="564"/>
      <c r="AJ12" s="565"/>
      <c r="AK12" s="303"/>
      <c r="AL12" s="313" t="s">
        <v>117</v>
      </c>
      <c r="AM12" s="303"/>
      <c r="AN12" s="303"/>
      <c r="AO12" s="303"/>
    </row>
    <row r="13" spans="1:41" x14ac:dyDescent="0.25">
      <c r="A13" s="303"/>
      <c r="B13" s="313" t="s">
        <v>118</v>
      </c>
      <c r="C13" s="320">
        <v>6.34544</v>
      </c>
      <c r="D13" s="320">
        <f t="shared" si="0"/>
        <v>7344.6456707192119</v>
      </c>
      <c r="E13" s="320">
        <v>8887.0212615702458</v>
      </c>
      <c r="F13" s="321">
        <f t="shared" si="1"/>
        <v>1400.5366470363356</v>
      </c>
      <c r="G13" s="314"/>
      <c r="H13" s="320">
        <v>0.66620000000000001</v>
      </c>
      <c r="I13" s="320">
        <f t="shared" si="2"/>
        <v>602.19375709802648</v>
      </c>
      <c r="J13" s="320">
        <v>728.65444608861196</v>
      </c>
      <c r="K13" s="321">
        <f t="shared" si="3"/>
        <v>1093.7472922374841</v>
      </c>
      <c r="L13" s="314"/>
      <c r="M13" s="564"/>
      <c r="N13" s="564"/>
      <c r="O13" s="564"/>
      <c r="P13" s="565"/>
      <c r="Q13" s="314"/>
      <c r="R13" s="564"/>
      <c r="S13" s="564"/>
      <c r="T13" s="564"/>
      <c r="U13" s="565"/>
      <c r="V13" s="314"/>
      <c r="W13" s="564"/>
      <c r="X13" s="564"/>
      <c r="Y13" s="564"/>
      <c r="Z13" s="565"/>
      <c r="AA13" s="314"/>
      <c r="AB13" s="564"/>
      <c r="AC13" s="564"/>
      <c r="AD13" s="564">
        <f t="shared" si="9"/>
        <v>0</v>
      </c>
      <c r="AE13" s="565" t="e">
        <f t="shared" si="7"/>
        <v>#DIV/0!</v>
      </c>
      <c r="AF13" s="314"/>
      <c r="AG13" s="564">
        <v>1030</v>
      </c>
      <c r="AH13" s="564">
        <v>88065</v>
      </c>
      <c r="AI13" s="564">
        <v>101274.75</v>
      </c>
      <c r="AJ13" s="565">
        <f t="shared" si="8"/>
        <v>98.325000000000003</v>
      </c>
      <c r="AK13" s="303"/>
      <c r="AL13" s="313" t="s">
        <v>118</v>
      </c>
      <c r="AM13" s="303"/>
      <c r="AN13" s="303"/>
      <c r="AO13" s="303"/>
    </row>
    <row r="14" spans="1:41" x14ac:dyDescent="0.25">
      <c r="A14" s="303"/>
      <c r="B14" s="313" t="s">
        <v>119</v>
      </c>
      <c r="C14" s="320">
        <v>20.467759999999998</v>
      </c>
      <c r="D14" s="320">
        <f t="shared" si="0"/>
        <v>23690.783440284649</v>
      </c>
      <c r="E14" s="320">
        <v>28665.847962744425</v>
      </c>
      <c r="F14" s="321">
        <f t="shared" si="1"/>
        <v>1400.5366470363356</v>
      </c>
      <c r="G14" s="314"/>
      <c r="H14" s="320">
        <v>0.60275000000000001</v>
      </c>
      <c r="I14" s="320">
        <f t="shared" si="2"/>
        <v>544.83981850920975</v>
      </c>
      <c r="J14" s="320">
        <v>659.2561803961438</v>
      </c>
      <c r="K14" s="321">
        <f t="shared" si="3"/>
        <v>1093.7472922374845</v>
      </c>
      <c r="L14" s="314"/>
      <c r="M14" s="564"/>
      <c r="N14" s="564"/>
      <c r="O14" s="564"/>
      <c r="P14" s="565"/>
      <c r="Q14" s="314"/>
      <c r="R14" s="564"/>
      <c r="S14" s="564"/>
      <c r="T14" s="564"/>
      <c r="U14" s="565"/>
      <c r="V14" s="314"/>
      <c r="W14" s="564"/>
      <c r="X14" s="564"/>
      <c r="Y14" s="564"/>
      <c r="Z14" s="565"/>
      <c r="AA14" s="314"/>
      <c r="AB14" s="564"/>
      <c r="AC14" s="564"/>
      <c r="AD14" s="564">
        <f t="shared" si="9"/>
        <v>0</v>
      </c>
      <c r="AE14" s="565" t="e">
        <f t="shared" si="7"/>
        <v>#DIV/0!</v>
      </c>
      <c r="AF14" s="314"/>
      <c r="AG14" s="564"/>
      <c r="AH14" s="564"/>
      <c r="AI14" s="564"/>
      <c r="AJ14" s="565"/>
      <c r="AK14" s="303"/>
      <c r="AL14" s="313" t="s">
        <v>119</v>
      </c>
      <c r="AM14" s="303"/>
      <c r="AN14" s="303"/>
      <c r="AO14" s="303"/>
    </row>
    <row r="15" spans="1:41" x14ac:dyDescent="0.25">
      <c r="A15" s="303"/>
      <c r="B15" s="313" t="s">
        <v>120</v>
      </c>
      <c r="C15" s="320">
        <v>68.321910000000003</v>
      </c>
      <c r="D15" s="320">
        <f t="shared" si="0"/>
        <v>79080.445248362244</v>
      </c>
      <c r="E15" s="320">
        <v>95687.338750518305</v>
      </c>
      <c r="F15" s="321">
        <f t="shared" si="1"/>
        <v>1400.5366470363358</v>
      </c>
      <c r="G15" s="314"/>
      <c r="H15" s="320">
        <v>1.8822700000000001</v>
      </c>
      <c r="I15" s="320">
        <f t="shared" si="2"/>
        <v>1701.4278642643385</v>
      </c>
      <c r="J15" s="320">
        <v>2058.7277157598496</v>
      </c>
      <c r="K15" s="321">
        <f t="shared" si="3"/>
        <v>1093.7472922374843</v>
      </c>
      <c r="L15" s="314"/>
      <c r="M15" s="564"/>
      <c r="N15" s="564"/>
      <c r="O15" s="564"/>
      <c r="P15" s="565"/>
      <c r="Q15" s="314"/>
      <c r="R15" s="564"/>
      <c r="S15" s="564"/>
      <c r="T15" s="564"/>
      <c r="U15" s="565"/>
      <c r="V15" s="314"/>
      <c r="W15" s="564"/>
      <c r="X15" s="564"/>
      <c r="Y15" s="564"/>
      <c r="Z15" s="565"/>
      <c r="AA15" s="314"/>
      <c r="AB15" s="564"/>
      <c r="AC15" s="564"/>
      <c r="AD15" s="564">
        <f t="shared" si="9"/>
        <v>0</v>
      </c>
      <c r="AE15" s="565" t="e">
        <f t="shared" si="7"/>
        <v>#DIV/0!</v>
      </c>
      <c r="AF15" s="314"/>
      <c r="AG15" s="564"/>
      <c r="AH15" s="564"/>
      <c r="AI15" s="564"/>
      <c r="AJ15" s="565"/>
      <c r="AK15" s="303"/>
      <c r="AL15" s="313" t="s">
        <v>120</v>
      </c>
      <c r="AM15" s="303"/>
      <c r="AN15" s="303"/>
      <c r="AO15" s="303"/>
    </row>
    <row r="16" spans="1:41" x14ac:dyDescent="0.25">
      <c r="A16" s="303"/>
      <c r="B16" s="313" t="s">
        <v>121</v>
      </c>
      <c r="C16" s="320">
        <v>133.02689000000001</v>
      </c>
      <c r="D16" s="320">
        <f t="shared" si="0"/>
        <v>153974.40866634005</v>
      </c>
      <c r="E16" s="320">
        <v>186309.03448627147</v>
      </c>
      <c r="F16" s="321">
        <f t="shared" si="1"/>
        <v>1400.5366470363358</v>
      </c>
      <c r="G16" s="314"/>
      <c r="H16" s="320">
        <v>4.3250000000000002</v>
      </c>
      <c r="I16" s="320">
        <f t="shared" si="2"/>
        <v>3909.4686272124964</v>
      </c>
      <c r="J16" s="320">
        <v>4730.4570389271203</v>
      </c>
      <c r="K16" s="321">
        <f t="shared" si="3"/>
        <v>1093.7472922374843</v>
      </c>
      <c r="L16" s="314"/>
      <c r="M16" s="564"/>
      <c r="N16" s="564"/>
      <c r="O16" s="564"/>
      <c r="P16" s="565"/>
      <c r="Q16" s="314"/>
      <c r="R16" s="564"/>
      <c r="S16" s="564"/>
      <c r="T16" s="564"/>
      <c r="U16" s="565"/>
      <c r="V16" s="314"/>
      <c r="W16" s="564"/>
      <c r="X16" s="564"/>
      <c r="Y16" s="564"/>
      <c r="Z16" s="565"/>
      <c r="AA16" s="314"/>
      <c r="AB16" s="564"/>
      <c r="AC16" s="564"/>
      <c r="AD16" s="564">
        <f t="shared" si="9"/>
        <v>0</v>
      </c>
      <c r="AE16" s="565" t="e">
        <f t="shared" si="7"/>
        <v>#DIV/0!</v>
      </c>
      <c r="AF16" s="314"/>
      <c r="AG16" s="564"/>
      <c r="AH16" s="564"/>
      <c r="AI16" s="564"/>
      <c r="AJ16" s="565"/>
      <c r="AK16" s="303"/>
      <c r="AL16" s="313" t="s">
        <v>121</v>
      </c>
      <c r="AM16" s="303"/>
      <c r="AN16" s="303"/>
      <c r="AO16" s="303"/>
    </row>
    <row r="17" spans="1:41" x14ac:dyDescent="0.25">
      <c r="A17" s="303"/>
      <c r="B17" s="313" t="s">
        <v>122</v>
      </c>
      <c r="C17" s="320">
        <v>209.13574</v>
      </c>
      <c r="D17" s="320">
        <f t="shared" si="0"/>
        <v>242067.99014468005</v>
      </c>
      <c r="E17" s="320">
        <v>292902.26807506284</v>
      </c>
      <c r="F17" s="321">
        <f t="shared" si="1"/>
        <v>1400.5366470363356</v>
      </c>
      <c r="G17" s="314"/>
      <c r="H17" s="320">
        <v>8.48081</v>
      </c>
      <c r="I17" s="320">
        <f t="shared" si="2"/>
        <v>7666.0024574219669</v>
      </c>
      <c r="J17" s="320">
        <v>9275.86297348058</v>
      </c>
      <c r="K17" s="321">
        <f t="shared" si="3"/>
        <v>1093.7472922374843</v>
      </c>
      <c r="L17" s="314"/>
      <c r="M17" s="564"/>
      <c r="N17" s="564"/>
      <c r="O17" s="564"/>
      <c r="P17" s="565"/>
      <c r="Q17" s="314"/>
      <c r="R17" s="564"/>
      <c r="S17" s="564"/>
      <c r="T17" s="564"/>
      <c r="U17" s="565"/>
      <c r="V17" s="314"/>
      <c r="W17" s="564"/>
      <c r="X17" s="564"/>
      <c r="Y17" s="564"/>
      <c r="Z17" s="565"/>
      <c r="AA17" s="314"/>
      <c r="AB17" s="564"/>
      <c r="AC17" s="564"/>
      <c r="AD17" s="564">
        <f t="shared" si="9"/>
        <v>0</v>
      </c>
      <c r="AE17" s="565" t="e">
        <f t="shared" si="7"/>
        <v>#DIV/0!</v>
      </c>
      <c r="AF17" s="314"/>
      <c r="AG17" s="564"/>
      <c r="AH17" s="564"/>
      <c r="AI17" s="564"/>
      <c r="AJ17" s="565"/>
      <c r="AK17" s="303"/>
      <c r="AL17" s="313" t="s">
        <v>122</v>
      </c>
      <c r="AM17" s="303"/>
      <c r="AN17" s="303"/>
      <c r="AO17" s="303"/>
    </row>
    <row r="18" spans="1:41" x14ac:dyDescent="0.25">
      <c r="A18" s="303"/>
      <c r="B18" s="313" t="s">
        <v>123</v>
      </c>
      <c r="C18" s="320">
        <v>229.89608000000001</v>
      </c>
      <c r="D18" s="320">
        <f t="shared" si="0"/>
        <v>266097.42566115473</v>
      </c>
      <c r="E18" s="320">
        <v>321977.88504999719</v>
      </c>
      <c r="F18" s="321">
        <f t="shared" si="1"/>
        <v>1400.5366470363356</v>
      </c>
      <c r="G18" s="314"/>
      <c r="H18" s="320">
        <v>12.319369999999999</v>
      </c>
      <c r="I18" s="320">
        <f t="shared" si="2"/>
        <v>11135.766594687353</v>
      </c>
      <c r="J18" s="320">
        <v>13474.277579571697</v>
      </c>
      <c r="K18" s="321">
        <f t="shared" si="3"/>
        <v>1093.7472922374843</v>
      </c>
      <c r="L18" s="314"/>
      <c r="M18" s="564"/>
      <c r="N18" s="564"/>
      <c r="O18" s="564"/>
      <c r="P18" s="565"/>
      <c r="Q18" s="314"/>
      <c r="R18" s="564"/>
      <c r="S18" s="564"/>
      <c r="T18" s="564"/>
      <c r="U18" s="565"/>
      <c r="V18" s="314"/>
      <c r="W18" s="564"/>
      <c r="X18" s="564"/>
      <c r="Y18" s="564"/>
      <c r="Z18" s="565"/>
      <c r="AA18" s="314"/>
      <c r="AB18" s="564"/>
      <c r="AC18" s="564"/>
      <c r="AD18" s="564">
        <f t="shared" si="9"/>
        <v>0</v>
      </c>
      <c r="AE18" s="565" t="e">
        <f t="shared" si="7"/>
        <v>#DIV/0!</v>
      </c>
      <c r="AF18" s="314"/>
      <c r="AG18" s="564"/>
      <c r="AH18" s="564"/>
      <c r="AI18" s="564"/>
      <c r="AJ18" s="565"/>
      <c r="AK18" s="303"/>
      <c r="AL18" s="313" t="s">
        <v>123</v>
      </c>
      <c r="AM18" s="303"/>
      <c r="AN18" s="303"/>
      <c r="AO18" s="303"/>
    </row>
    <row r="19" spans="1:41" x14ac:dyDescent="0.25">
      <c r="A19" s="303">
        <v>2020</v>
      </c>
      <c r="B19" s="313" t="s">
        <v>112</v>
      </c>
      <c r="C19" s="320">
        <v>266.46534000000003</v>
      </c>
      <c r="D19" s="320">
        <f t="shared" si="0"/>
        <v>263372.46607433748</v>
      </c>
      <c r="E19" s="320">
        <v>318680.68394994835</v>
      </c>
      <c r="F19" s="321">
        <f t="shared" si="1"/>
        <v>1195.9554813018019</v>
      </c>
      <c r="G19" s="314"/>
      <c r="H19" s="320">
        <v>15.85411</v>
      </c>
      <c r="I19" s="320">
        <f t="shared" si="2"/>
        <v>12161.15645106468</v>
      </c>
      <c r="J19" s="320">
        <v>14714.999305788264</v>
      </c>
      <c r="K19" s="321">
        <f t="shared" si="3"/>
        <v>928.15044841925931</v>
      </c>
      <c r="L19" s="314"/>
      <c r="M19" s="564">
        <v>62.430999999999997</v>
      </c>
      <c r="N19" s="564">
        <f>+O19/1.21</f>
        <v>212987.22314049589</v>
      </c>
      <c r="O19" s="564">
        <v>257714.54</v>
      </c>
      <c r="P19" s="565">
        <f t="shared" ref="P19:P42" si="10">O19/M19</f>
        <v>4127.9899408947485</v>
      </c>
      <c r="Q19" s="314"/>
      <c r="R19" s="564">
        <v>18.144000000000002</v>
      </c>
      <c r="S19" s="564">
        <f>+T19/1.21</f>
        <v>85032.884297520664</v>
      </c>
      <c r="T19" s="564">
        <v>102889.79000000001</v>
      </c>
      <c r="U19" s="565">
        <f t="shared" si="5"/>
        <v>5670.7335758377421</v>
      </c>
      <c r="V19" s="314"/>
      <c r="W19" s="564">
        <v>98.551000000000002</v>
      </c>
      <c r="X19" s="564">
        <f>+Y19/1.21</f>
        <v>336023.88429752068</v>
      </c>
      <c r="Y19" s="564">
        <v>406588.9</v>
      </c>
      <c r="Z19" s="565">
        <f t="shared" ref="Z19:Z42" si="11">Y19/W19</f>
        <v>4125.6699576868832</v>
      </c>
      <c r="AA19" s="314"/>
      <c r="AB19" s="564">
        <v>1093</v>
      </c>
      <c r="AC19" s="564">
        <v>95637.500000000015</v>
      </c>
      <c r="AD19" s="564">
        <v>109983.13000000002</v>
      </c>
      <c r="AE19" s="565">
        <f t="shared" si="7"/>
        <v>100.62500457456544</v>
      </c>
      <c r="AF19" s="314"/>
      <c r="AG19" s="564">
        <v>1138</v>
      </c>
      <c r="AH19" s="564">
        <v>99575</v>
      </c>
      <c r="AI19" s="564">
        <v>112135.62999999999</v>
      </c>
      <c r="AJ19" s="565">
        <f t="shared" si="8"/>
        <v>98.537460456942</v>
      </c>
      <c r="AK19" s="303"/>
      <c r="AL19" s="313" t="s">
        <v>112</v>
      </c>
      <c r="AM19" s="303">
        <v>2020</v>
      </c>
      <c r="AN19" s="303"/>
      <c r="AO19" s="303"/>
    </row>
    <row r="20" spans="1:41" x14ac:dyDescent="0.25">
      <c r="A20" s="303"/>
      <c r="B20" s="313" t="s">
        <v>113</v>
      </c>
      <c r="C20" s="320">
        <v>212.15545</v>
      </c>
      <c r="D20" s="320">
        <f t="shared" si="0"/>
        <v>209692.95315334748</v>
      </c>
      <c r="E20" s="320">
        <v>253728.47331555045</v>
      </c>
      <c r="F20" s="321">
        <f t="shared" si="1"/>
        <v>1195.9554813018024</v>
      </c>
      <c r="G20" s="314"/>
      <c r="H20" s="320">
        <v>11.150729999999999</v>
      </c>
      <c r="I20" s="320">
        <f t="shared" si="2"/>
        <v>8553.3512807455281</v>
      </c>
      <c r="J20" s="320">
        <v>10349.555049702089</v>
      </c>
      <c r="K20" s="321">
        <f t="shared" si="3"/>
        <v>928.15044841925942</v>
      </c>
      <c r="L20" s="314"/>
      <c r="M20" s="564"/>
      <c r="N20" s="564"/>
      <c r="O20" s="564"/>
      <c r="P20" s="565" t="e">
        <f t="shared" si="10"/>
        <v>#DIV/0!</v>
      </c>
      <c r="Q20" s="314"/>
      <c r="R20" s="564"/>
      <c r="S20" s="564"/>
      <c r="T20" s="564"/>
      <c r="U20" s="565" t="e">
        <f t="shared" si="5"/>
        <v>#DIV/0!</v>
      </c>
      <c r="V20" s="314"/>
      <c r="W20" s="564"/>
      <c r="X20" s="564"/>
      <c r="Y20" s="564"/>
      <c r="Z20" s="565" t="e">
        <f t="shared" si="11"/>
        <v>#DIV/0!</v>
      </c>
      <c r="AA20" s="314"/>
      <c r="AB20" s="564"/>
      <c r="AC20" s="564"/>
      <c r="AD20" s="564">
        <f t="shared" si="9"/>
        <v>0</v>
      </c>
      <c r="AE20" s="565" t="e">
        <f t="shared" si="7"/>
        <v>#DIV/0!</v>
      </c>
      <c r="AF20" s="314"/>
      <c r="AG20" s="564"/>
      <c r="AH20" s="564"/>
      <c r="AI20" s="564"/>
      <c r="AJ20" s="565" t="e">
        <f t="shared" si="8"/>
        <v>#DIV/0!</v>
      </c>
      <c r="AK20" s="303"/>
      <c r="AL20" s="313" t="s">
        <v>113</v>
      </c>
      <c r="AM20" s="303"/>
      <c r="AN20" s="303"/>
      <c r="AO20" s="303"/>
    </row>
    <row r="21" spans="1:41" x14ac:dyDescent="0.25">
      <c r="A21" s="303"/>
      <c r="B21" s="313" t="s">
        <v>114</v>
      </c>
      <c r="C21" s="320">
        <v>152.92363</v>
      </c>
      <c r="D21" s="320">
        <f t="shared" si="0"/>
        <v>151148.6392719576</v>
      </c>
      <c r="E21" s="320">
        <v>182889.85351906868</v>
      </c>
      <c r="F21" s="321">
        <f t="shared" si="1"/>
        <v>1195.9554813018019</v>
      </c>
      <c r="G21" s="314"/>
      <c r="H21" s="320">
        <v>11.84831</v>
      </c>
      <c r="I21" s="320">
        <f t="shared" si="2"/>
        <v>9088.4415202565251</v>
      </c>
      <c r="J21" s="320">
        <v>10997.014239510396</v>
      </c>
      <c r="K21" s="321">
        <f t="shared" si="3"/>
        <v>928.15044841925942</v>
      </c>
      <c r="L21" s="314"/>
      <c r="M21" s="564"/>
      <c r="N21" s="564"/>
      <c r="O21" s="564"/>
      <c r="P21" s="565" t="e">
        <f t="shared" si="10"/>
        <v>#DIV/0!</v>
      </c>
      <c r="Q21" s="314"/>
      <c r="R21" s="564"/>
      <c r="S21" s="564"/>
      <c r="T21" s="564"/>
      <c r="U21" s="565" t="e">
        <f t="shared" si="5"/>
        <v>#DIV/0!</v>
      </c>
      <c r="V21" s="314"/>
      <c r="W21" s="564"/>
      <c r="X21" s="564"/>
      <c r="Y21" s="564"/>
      <c r="Z21" s="565" t="e">
        <f t="shared" si="11"/>
        <v>#DIV/0!</v>
      </c>
      <c r="AA21" s="314"/>
      <c r="AB21" s="564"/>
      <c r="AC21" s="564"/>
      <c r="AD21" s="564">
        <f t="shared" si="9"/>
        <v>0</v>
      </c>
      <c r="AE21" s="565" t="e">
        <f t="shared" si="7"/>
        <v>#DIV/0!</v>
      </c>
      <c r="AF21" s="314"/>
      <c r="AG21" s="564"/>
      <c r="AH21" s="564"/>
      <c r="AI21" s="564"/>
      <c r="AJ21" s="565" t="e">
        <f t="shared" si="8"/>
        <v>#DIV/0!</v>
      </c>
      <c r="AK21" s="303"/>
      <c r="AL21" s="313" t="s">
        <v>114</v>
      </c>
      <c r="AM21" s="303"/>
      <c r="AN21" s="303"/>
      <c r="AO21" s="303"/>
    </row>
    <row r="22" spans="1:41" x14ac:dyDescent="0.25">
      <c r="A22" s="303"/>
      <c r="B22" s="313" t="s">
        <v>115</v>
      </c>
      <c r="C22" s="320">
        <v>83.699399999999997</v>
      </c>
      <c r="D22" s="320">
        <f t="shared" si="0"/>
        <v>82727.897695596737</v>
      </c>
      <c r="E22" s="320">
        <v>100100.75621167205</v>
      </c>
      <c r="F22" s="321">
        <f t="shared" si="1"/>
        <v>1195.9554813018021</v>
      </c>
      <c r="G22" s="314"/>
      <c r="H22" s="320">
        <v>5.9505800000000004</v>
      </c>
      <c r="I22" s="320">
        <f t="shared" si="2"/>
        <v>4564.490492028659</v>
      </c>
      <c r="J22" s="320">
        <v>5523.0334953546771</v>
      </c>
      <c r="K22" s="321">
        <f t="shared" si="3"/>
        <v>928.15044841925942</v>
      </c>
      <c r="L22" s="314"/>
      <c r="M22" s="564"/>
      <c r="N22" s="564"/>
      <c r="O22" s="564"/>
      <c r="P22" s="565" t="e">
        <f t="shared" si="10"/>
        <v>#DIV/0!</v>
      </c>
      <c r="Q22" s="314"/>
      <c r="R22" s="564"/>
      <c r="S22" s="564"/>
      <c r="T22" s="564"/>
      <c r="U22" s="565" t="e">
        <f t="shared" si="5"/>
        <v>#DIV/0!</v>
      </c>
      <c r="V22" s="314"/>
      <c r="W22" s="564"/>
      <c r="X22" s="564"/>
      <c r="Y22" s="564"/>
      <c r="Z22" s="565" t="e">
        <f t="shared" si="11"/>
        <v>#DIV/0!</v>
      </c>
      <c r="AA22" s="314"/>
      <c r="AB22" s="564">
        <v>1550</v>
      </c>
      <c r="AC22" s="564">
        <v>135625</v>
      </c>
      <c r="AD22" s="564">
        <v>149187.50999999992</v>
      </c>
      <c r="AE22" s="565">
        <f t="shared" si="7"/>
        <v>96.250006451612848</v>
      </c>
      <c r="AF22" s="314"/>
      <c r="AG22" s="564"/>
      <c r="AH22" s="564"/>
      <c r="AI22" s="564"/>
      <c r="AJ22" s="565" t="e">
        <f t="shared" si="8"/>
        <v>#DIV/0!</v>
      </c>
      <c r="AK22" s="303"/>
      <c r="AL22" s="313" t="s">
        <v>115</v>
      </c>
      <c r="AM22" s="303"/>
      <c r="AN22" s="303"/>
      <c r="AO22" s="303"/>
    </row>
    <row r="23" spans="1:41" x14ac:dyDescent="0.25">
      <c r="A23" s="303"/>
      <c r="B23" s="313" t="s">
        <v>116</v>
      </c>
      <c r="C23" s="320">
        <v>79.338359999999994</v>
      </c>
      <c r="D23" s="320">
        <f t="shared" si="0"/>
        <v>78417.476462393111</v>
      </c>
      <c r="E23" s="320">
        <v>94885.146519495655</v>
      </c>
      <c r="F23" s="321">
        <f t="shared" si="1"/>
        <v>1195.9554813018024</v>
      </c>
      <c r="G23" s="314"/>
      <c r="H23" s="320">
        <v>3.4782999999999999</v>
      </c>
      <c r="I23" s="320">
        <f t="shared" si="2"/>
        <v>2668.0873592865373</v>
      </c>
      <c r="J23" s="320">
        <v>3228.3857047367101</v>
      </c>
      <c r="K23" s="321">
        <f t="shared" si="3"/>
        <v>928.15044841925942</v>
      </c>
      <c r="L23" s="314"/>
      <c r="M23" s="564"/>
      <c r="N23" s="564"/>
      <c r="O23" s="564"/>
      <c r="P23" s="565" t="e">
        <f t="shared" si="10"/>
        <v>#DIV/0!</v>
      </c>
      <c r="Q23" s="314"/>
      <c r="R23" s="564"/>
      <c r="S23" s="564"/>
      <c r="T23" s="564"/>
      <c r="U23" s="565" t="e">
        <f t="shared" si="5"/>
        <v>#DIV/0!</v>
      </c>
      <c r="V23" s="314"/>
      <c r="W23" s="564"/>
      <c r="X23" s="564"/>
      <c r="Y23" s="564"/>
      <c r="Z23" s="565" t="e">
        <f t="shared" si="11"/>
        <v>#DIV/0!</v>
      </c>
      <c r="AA23" s="314"/>
      <c r="AB23" s="564"/>
      <c r="AC23" s="564"/>
      <c r="AD23" s="564">
        <f t="shared" si="9"/>
        <v>0</v>
      </c>
      <c r="AE23" s="565" t="e">
        <f t="shared" si="7"/>
        <v>#DIV/0!</v>
      </c>
      <c r="AF23" s="314"/>
      <c r="AG23" s="564"/>
      <c r="AH23" s="564"/>
      <c r="AI23" s="564"/>
      <c r="AJ23" s="565" t="e">
        <f t="shared" si="8"/>
        <v>#DIV/0!</v>
      </c>
      <c r="AK23" s="303"/>
      <c r="AL23" s="313" t="s">
        <v>116</v>
      </c>
      <c r="AM23" s="303"/>
      <c r="AN23" s="303"/>
      <c r="AO23" s="303"/>
    </row>
    <row r="24" spans="1:41" x14ac:dyDescent="0.25">
      <c r="A24" s="303"/>
      <c r="B24" s="313" t="s">
        <v>117</v>
      </c>
      <c r="C24" s="320">
        <v>23.183250000000001</v>
      </c>
      <c r="D24" s="320">
        <f t="shared" si="0"/>
        <v>22914.161084206615</v>
      </c>
      <c r="E24" s="320">
        <v>27726.134911890003</v>
      </c>
      <c r="F24" s="321">
        <f t="shared" si="1"/>
        <v>1195.9554813018021</v>
      </c>
      <c r="G24" s="314"/>
      <c r="H24" s="320">
        <v>1.3869199999999999</v>
      </c>
      <c r="I24" s="320">
        <f t="shared" si="2"/>
        <v>1063.8598511749085</v>
      </c>
      <c r="J24" s="320">
        <v>1287.2704199216391</v>
      </c>
      <c r="K24" s="321">
        <f t="shared" si="3"/>
        <v>928.15044841925942</v>
      </c>
      <c r="L24" s="314"/>
      <c r="M24" s="564"/>
      <c r="N24" s="564"/>
      <c r="O24" s="564"/>
      <c r="P24" s="565" t="e">
        <f t="shared" si="10"/>
        <v>#DIV/0!</v>
      </c>
      <c r="Q24" s="314"/>
      <c r="R24" s="564"/>
      <c r="S24" s="564"/>
      <c r="T24" s="564"/>
      <c r="U24" s="565" t="e">
        <f t="shared" si="5"/>
        <v>#DIV/0!</v>
      </c>
      <c r="V24" s="314"/>
      <c r="W24" s="564"/>
      <c r="X24" s="564"/>
      <c r="Y24" s="564"/>
      <c r="Z24" s="565" t="e">
        <f t="shared" si="11"/>
        <v>#DIV/0!</v>
      </c>
      <c r="AA24" s="314"/>
      <c r="AB24" s="564"/>
      <c r="AC24" s="564"/>
      <c r="AD24" s="564">
        <f t="shared" si="9"/>
        <v>0</v>
      </c>
      <c r="AE24" s="565" t="e">
        <f t="shared" si="7"/>
        <v>#DIV/0!</v>
      </c>
      <c r="AF24" s="314"/>
      <c r="AG24" s="564"/>
      <c r="AH24" s="564"/>
      <c r="AI24" s="564"/>
      <c r="AJ24" s="565" t="e">
        <f t="shared" si="8"/>
        <v>#DIV/0!</v>
      </c>
      <c r="AK24" s="303"/>
      <c r="AL24" s="313" t="s">
        <v>117</v>
      </c>
      <c r="AM24" s="303"/>
      <c r="AN24" s="303"/>
      <c r="AO24" s="303"/>
    </row>
    <row r="25" spans="1:41" x14ac:dyDescent="0.25">
      <c r="A25" s="303"/>
      <c r="B25" s="313" t="s">
        <v>118</v>
      </c>
      <c r="C25" s="320">
        <v>6.5372700000000004</v>
      </c>
      <c r="D25" s="320">
        <f t="shared" si="0"/>
        <v>6461.3916440081266</v>
      </c>
      <c r="E25" s="320">
        <v>7818.283889249833</v>
      </c>
      <c r="F25" s="321">
        <f t="shared" si="1"/>
        <v>1195.9554813018021</v>
      </c>
      <c r="G25" s="314"/>
      <c r="H25" s="320">
        <v>0.96343000000000001</v>
      </c>
      <c r="I25" s="320">
        <f t="shared" si="2"/>
        <v>739.01486489303068</v>
      </c>
      <c r="J25" s="320">
        <v>894.20798652056715</v>
      </c>
      <c r="K25" s="321">
        <f t="shared" si="3"/>
        <v>928.15044841925942</v>
      </c>
      <c r="L25" s="314"/>
      <c r="M25" s="564"/>
      <c r="N25" s="564"/>
      <c r="O25" s="564"/>
      <c r="P25" s="565" t="e">
        <f t="shared" si="10"/>
        <v>#DIV/0!</v>
      </c>
      <c r="Q25" s="314"/>
      <c r="R25" s="564"/>
      <c r="S25" s="564"/>
      <c r="T25" s="564"/>
      <c r="U25" s="565" t="e">
        <f t="shared" si="5"/>
        <v>#DIV/0!</v>
      </c>
      <c r="V25" s="314"/>
      <c r="W25" s="564"/>
      <c r="X25" s="564"/>
      <c r="Y25" s="564"/>
      <c r="Z25" s="565" t="e">
        <f t="shared" si="11"/>
        <v>#DIV/0!</v>
      </c>
      <c r="AA25" s="314"/>
      <c r="AB25" s="564"/>
      <c r="AC25" s="564"/>
      <c r="AD25" s="564">
        <f t="shared" si="9"/>
        <v>0</v>
      </c>
      <c r="AE25" s="565" t="e">
        <f t="shared" si="7"/>
        <v>#DIV/0!</v>
      </c>
      <c r="AF25" s="314"/>
      <c r="AG25" s="564">
        <v>674</v>
      </c>
      <c r="AH25" s="564">
        <v>58975</v>
      </c>
      <c r="AI25" s="564">
        <v>64872.5</v>
      </c>
      <c r="AJ25" s="565">
        <f t="shared" si="8"/>
        <v>96.25</v>
      </c>
      <c r="AK25" s="303"/>
      <c r="AL25" s="313" t="s">
        <v>118</v>
      </c>
      <c r="AM25" s="303"/>
      <c r="AN25" s="303"/>
      <c r="AO25" s="303"/>
    </row>
    <row r="26" spans="1:41" x14ac:dyDescent="0.25">
      <c r="A26" s="303"/>
      <c r="B26" s="313" t="s">
        <v>119</v>
      </c>
      <c r="C26" s="320">
        <v>24.664729999999999</v>
      </c>
      <c r="D26" s="320">
        <f t="shared" si="0"/>
        <v>24378.445486222306</v>
      </c>
      <c r="E26" s="320">
        <v>29497.91903832899</v>
      </c>
      <c r="F26" s="321">
        <f t="shared" si="1"/>
        <v>1195.9554813018019</v>
      </c>
      <c r="G26" s="314"/>
      <c r="H26" s="320">
        <v>0.77285999999999999</v>
      </c>
      <c r="I26" s="320">
        <f t="shared" si="2"/>
        <v>592.83500459942888</v>
      </c>
      <c r="J26" s="320">
        <v>717.33035556530888</v>
      </c>
      <c r="K26" s="321">
        <f t="shared" si="3"/>
        <v>928.15044841925953</v>
      </c>
      <c r="L26" s="314"/>
      <c r="M26" s="564"/>
      <c r="N26" s="564"/>
      <c r="O26" s="564"/>
      <c r="P26" s="565" t="e">
        <f t="shared" si="10"/>
        <v>#DIV/0!</v>
      </c>
      <c r="Q26" s="314"/>
      <c r="R26" s="564"/>
      <c r="S26" s="564"/>
      <c r="T26" s="564"/>
      <c r="U26" s="565" t="e">
        <f t="shared" si="5"/>
        <v>#DIV/0!</v>
      </c>
      <c r="V26" s="314"/>
      <c r="W26" s="564"/>
      <c r="X26" s="564"/>
      <c r="Y26" s="564"/>
      <c r="Z26" s="565" t="e">
        <f t="shared" si="11"/>
        <v>#DIV/0!</v>
      </c>
      <c r="AA26" s="314"/>
      <c r="AB26" s="564"/>
      <c r="AC26" s="564"/>
      <c r="AD26" s="564">
        <f t="shared" si="9"/>
        <v>0</v>
      </c>
      <c r="AE26" s="565" t="e">
        <f t="shared" si="7"/>
        <v>#DIV/0!</v>
      </c>
      <c r="AF26" s="314"/>
      <c r="AG26" s="564"/>
      <c r="AH26" s="564"/>
      <c r="AI26" s="564"/>
      <c r="AJ26" s="565" t="e">
        <f t="shared" si="8"/>
        <v>#DIV/0!</v>
      </c>
      <c r="AK26" s="303"/>
      <c r="AL26" s="313" t="s">
        <v>119</v>
      </c>
      <c r="AM26" s="303"/>
      <c r="AN26" s="303"/>
      <c r="AO26" s="303"/>
    </row>
    <row r="27" spans="1:41" x14ac:dyDescent="0.25">
      <c r="A27" s="303"/>
      <c r="B27" s="313" t="s">
        <v>120</v>
      </c>
      <c r="C27" s="320">
        <v>54.0274</v>
      </c>
      <c r="D27" s="320">
        <f t="shared" si="0"/>
        <v>53400.301793789251</v>
      </c>
      <c r="E27" s="320">
        <v>64614.365170484991</v>
      </c>
      <c r="F27" s="321">
        <f t="shared" si="1"/>
        <v>1195.9554813018021</v>
      </c>
      <c r="G27" s="314"/>
      <c r="H27" s="320">
        <v>1.86334</v>
      </c>
      <c r="I27" s="320">
        <f t="shared" si="2"/>
        <v>1429.3056665764816</v>
      </c>
      <c r="J27" s="320">
        <v>1729.4598565575427</v>
      </c>
      <c r="K27" s="321">
        <f t="shared" si="3"/>
        <v>928.15044841925931</v>
      </c>
      <c r="L27" s="314"/>
      <c r="M27" s="564"/>
      <c r="N27" s="564"/>
      <c r="O27" s="564"/>
      <c r="P27" s="565" t="e">
        <f t="shared" si="10"/>
        <v>#DIV/0!</v>
      </c>
      <c r="Q27" s="314"/>
      <c r="R27" s="564"/>
      <c r="S27" s="564"/>
      <c r="T27" s="564"/>
      <c r="U27" s="565" t="e">
        <f t="shared" si="5"/>
        <v>#DIV/0!</v>
      </c>
      <c r="V27" s="314"/>
      <c r="W27" s="564"/>
      <c r="X27" s="564"/>
      <c r="Y27" s="564"/>
      <c r="Z27" s="565" t="e">
        <f t="shared" si="11"/>
        <v>#DIV/0!</v>
      </c>
      <c r="AA27" s="314"/>
      <c r="AB27" s="564"/>
      <c r="AC27" s="564"/>
      <c r="AD27" s="564">
        <f t="shared" si="9"/>
        <v>0</v>
      </c>
      <c r="AE27" s="565" t="e">
        <f t="shared" si="7"/>
        <v>#DIV/0!</v>
      </c>
      <c r="AF27" s="314"/>
      <c r="AG27" s="564"/>
      <c r="AH27" s="564"/>
      <c r="AI27" s="564"/>
      <c r="AJ27" s="565" t="e">
        <f t="shared" si="8"/>
        <v>#DIV/0!</v>
      </c>
      <c r="AK27" s="303"/>
      <c r="AL27" s="313" t="s">
        <v>120</v>
      </c>
      <c r="AM27" s="303"/>
      <c r="AN27" s="303"/>
      <c r="AO27" s="303"/>
    </row>
    <row r="28" spans="1:41" x14ac:dyDescent="0.25">
      <c r="A28" s="303"/>
      <c r="B28" s="313" t="s">
        <v>121</v>
      </c>
      <c r="C28" s="320">
        <v>84.482609999999994</v>
      </c>
      <c r="D28" s="320">
        <f t="shared" si="0"/>
        <v>83502.016945605312</v>
      </c>
      <c r="E28" s="320">
        <v>101037.44050418242</v>
      </c>
      <c r="F28" s="321">
        <f t="shared" si="1"/>
        <v>1195.9554813018019</v>
      </c>
      <c r="G28" s="314"/>
      <c r="H28" s="320">
        <v>6.7757899999999998</v>
      </c>
      <c r="I28" s="320">
        <f t="shared" si="2"/>
        <v>5197.4814271857304</v>
      </c>
      <c r="J28" s="320">
        <v>6288.9525268947336</v>
      </c>
      <c r="K28" s="321">
        <f t="shared" si="3"/>
        <v>928.15044841925942</v>
      </c>
      <c r="L28" s="314"/>
      <c r="M28" s="564"/>
      <c r="N28" s="564"/>
      <c r="O28" s="564"/>
      <c r="P28" s="565" t="e">
        <f t="shared" si="10"/>
        <v>#DIV/0!</v>
      </c>
      <c r="Q28" s="314"/>
      <c r="R28" s="564"/>
      <c r="S28" s="564"/>
      <c r="T28" s="564"/>
      <c r="U28" s="565" t="e">
        <f t="shared" si="5"/>
        <v>#DIV/0!</v>
      </c>
      <c r="V28" s="314"/>
      <c r="W28" s="564"/>
      <c r="X28" s="564"/>
      <c r="Y28" s="564"/>
      <c r="Z28" s="565" t="e">
        <f t="shared" si="11"/>
        <v>#DIV/0!</v>
      </c>
      <c r="AA28" s="314"/>
      <c r="AB28" s="564"/>
      <c r="AC28" s="564"/>
      <c r="AD28" s="564">
        <f t="shared" si="9"/>
        <v>0</v>
      </c>
      <c r="AE28" s="565" t="e">
        <f t="shared" si="7"/>
        <v>#DIV/0!</v>
      </c>
      <c r="AF28" s="314"/>
      <c r="AG28" s="564"/>
      <c r="AH28" s="564"/>
      <c r="AI28" s="564"/>
      <c r="AJ28" s="565" t="e">
        <f t="shared" si="8"/>
        <v>#DIV/0!</v>
      </c>
      <c r="AK28" s="303"/>
      <c r="AL28" s="313" t="s">
        <v>121</v>
      </c>
      <c r="AM28" s="303"/>
      <c r="AN28" s="303"/>
      <c r="AO28" s="303"/>
    </row>
    <row r="29" spans="1:41" x14ac:dyDescent="0.25">
      <c r="A29" s="303"/>
      <c r="B29" s="313" t="s">
        <v>122</v>
      </c>
      <c r="C29" s="320">
        <v>170.21288000000001</v>
      </c>
      <c r="D29" s="320">
        <f t="shared" si="0"/>
        <v>168237.2122513768</v>
      </c>
      <c r="E29" s="320">
        <v>203567.02682416592</v>
      </c>
      <c r="F29" s="321">
        <f t="shared" si="1"/>
        <v>1195.9554813018021</v>
      </c>
      <c r="G29" s="314"/>
      <c r="H29" s="320">
        <v>12.79989</v>
      </c>
      <c r="I29" s="320">
        <f t="shared" si="2"/>
        <v>9818.3666472869372</v>
      </c>
      <c r="J29" s="320">
        <v>11880.223643217194</v>
      </c>
      <c r="K29" s="321">
        <f t="shared" si="3"/>
        <v>928.15044841925942</v>
      </c>
      <c r="L29" s="314"/>
      <c r="M29" s="564"/>
      <c r="N29" s="564"/>
      <c r="O29" s="564"/>
      <c r="P29" s="565" t="e">
        <f t="shared" si="10"/>
        <v>#DIV/0!</v>
      </c>
      <c r="Q29" s="314"/>
      <c r="R29" s="564"/>
      <c r="S29" s="564"/>
      <c r="T29" s="564"/>
      <c r="U29" s="565" t="e">
        <f t="shared" si="5"/>
        <v>#DIV/0!</v>
      </c>
      <c r="V29" s="314"/>
      <c r="W29" s="564"/>
      <c r="X29" s="564"/>
      <c r="Y29" s="564"/>
      <c r="Z29" s="565" t="e">
        <f t="shared" si="11"/>
        <v>#DIV/0!</v>
      </c>
      <c r="AA29" s="314"/>
      <c r="AB29" s="564"/>
      <c r="AC29" s="564"/>
      <c r="AD29" s="564">
        <f t="shared" si="9"/>
        <v>0</v>
      </c>
      <c r="AE29" s="565" t="e">
        <f t="shared" si="7"/>
        <v>#DIV/0!</v>
      </c>
      <c r="AF29" s="314"/>
      <c r="AG29" s="564"/>
      <c r="AH29" s="564"/>
      <c r="AI29" s="564"/>
      <c r="AJ29" s="565" t="e">
        <f t="shared" si="8"/>
        <v>#DIV/0!</v>
      </c>
      <c r="AK29" s="303"/>
      <c r="AL29" s="313" t="s">
        <v>122</v>
      </c>
      <c r="AM29" s="303"/>
      <c r="AN29" s="303"/>
      <c r="AO29" s="303"/>
    </row>
    <row r="30" spans="1:41" x14ac:dyDescent="0.25">
      <c r="A30" s="303"/>
      <c r="B30" s="313" t="s">
        <v>123</v>
      </c>
      <c r="C30" s="320">
        <v>296.48831999999999</v>
      </c>
      <c r="D30" s="320">
        <f t="shared" si="0"/>
        <v>293046.96813715925</v>
      </c>
      <c r="E30" s="320">
        <v>354586.83144596266</v>
      </c>
      <c r="F30" s="321">
        <f t="shared" si="1"/>
        <v>1195.9554813018019</v>
      </c>
      <c r="G30" s="314"/>
      <c r="H30" s="320">
        <v>16.971240000000002</v>
      </c>
      <c r="I30" s="320">
        <f t="shared" si="2"/>
        <v>13018.06943490155</v>
      </c>
      <c r="J30" s="320">
        <v>15751.864016230875</v>
      </c>
      <c r="K30" s="321">
        <f t="shared" si="3"/>
        <v>928.15044841925953</v>
      </c>
      <c r="L30" s="314"/>
      <c r="M30" s="564"/>
      <c r="N30" s="564"/>
      <c r="O30" s="564"/>
      <c r="P30" s="565" t="e">
        <f t="shared" si="10"/>
        <v>#DIV/0!</v>
      </c>
      <c r="Q30" s="314"/>
      <c r="R30" s="564"/>
      <c r="S30" s="564"/>
      <c r="T30" s="564"/>
      <c r="U30" s="565" t="e">
        <f t="shared" si="5"/>
        <v>#DIV/0!</v>
      </c>
      <c r="V30" s="314"/>
      <c r="W30" s="564"/>
      <c r="X30" s="564"/>
      <c r="Y30" s="564"/>
      <c r="Z30" s="565" t="e">
        <f t="shared" si="11"/>
        <v>#DIV/0!</v>
      </c>
      <c r="AA30" s="314"/>
      <c r="AB30" s="564"/>
      <c r="AC30" s="564"/>
      <c r="AD30" s="564">
        <f t="shared" si="9"/>
        <v>0</v>
      </c>
      <c r="AE30" s="565" t="e">
        <f t="shared" si="7"/>
        <v>#DIV/0!</v>
      </c>
      <c r="AF30" s="314"/>
      <c r="AG30" s="564"/>
      <c r="AH30" s="564"/>
      <c r="AI30" s="564"/>
      <c r="AJ30" s="565" t="e">
        <f t="shared" si="8"/>
        <v>#DIV/0!</v>
      </c>
      <c r="AK30" s="303"/>
      <c r="AL30" s="313" t="s">
        <v>123</v>
      </c>
      <c r="AM30" s="303"/>
      <c r="AN30" s="303"/>
      <c r="AO30" s="303"/>
    </row>
    <row r="31" spans="1:41" x14ac:dyDescent="0.25">
      <c r="A31" s="303">
        <v>2021</v>
      </c>
      <c r="B31" s="313" t="s">
        <v>112</v>
      </c>
      <c r="C31" s="320">
        <v>258.70384999999999</v>
      </c>
      <c r="D31" s="320">
        <v>251152.43281987117</v>
      </c>
      <c r="E31" s="320">
        <v>251152.43281987117</v>
      </c>
      <c r="F31" s="321">
        <f t="shared" si="1"/>
        <v>970.81057286109649</v>
      </c>
      <c r="G31" s="314"/>
      <c r="H31" s="320">
        <v>13.8261</v>
      </c>
      <c r="I31" s="320">
        <v>8964.5496391449287</v>
      </c>
      <c r="J31" s="320">
        <v>10847.105063365363</v>
      </c>
      <c r="K31" s="321">
        <f t="shared" si="3"/>
        <v>784.53830533305586</v>
      </c>
      <c r="L31" s="314"/>
      <c r="M31" s="564">
        <v>70.066000000000003</v>
      </c>
      <c r="N31" s="564">
        <v>218261.09</v>
      </c>
      <c r="O31" s="564">
        <v>219134.25</v>
      </c>
      <c r="P31" s="565">
        <f t="shared" si="10"/>
        <v>3127.5404618502553</v>
      </c>
      <c r="Q31" s="314"/>
      <c r="R31" s="564">
        <v>18.211000000000002</v>
      </c>
      <c r="S31" s="564">
        <v>79907.919999999984</v>
      </c>
      <c r="T31" s="564">
        <v>80266.939999999988</v>
      </c>
      <c r="U31" s="565">
        <f t="shared" si="5"/>
        <v>4407.6074899785835</v>
      </c>
      <c r="V31" s="314"/>
      <c r="W31" s="564">
        <v>105.08499999999999</v>
      </c>
      <c r="X31" s="564">
        <v>330689.07</v>
      </c>
      <c r="Y31" s="564">
        <v>332062.65000000002</v>
      </c>
      <c r="Z31" s="565">
        <f t="shared" si="11"/>
        <v>3159.9433791692445</v>
      </c>
      <c r="AA31" s="314"/>
      <c r="AB31" s="322">
        <v>68</v>
      </c>
      <c r="AC31" s="322">
        <v>6918.1900000000023</v>
      </c>
      <c r="AD31" s="322">
        <v>7610.005000000001</v>
      </c>
      <c r="AE31" s="323">
        <f t="shared" si="7"/>
        <v>111.91183823529413</v>
      </c>
      <c r="AF31" s="314"/>
      <c r="AG31" s="564">
        <v>0</v>
      </c>
      <c r="AH31" s="564">
        <v>5543.8</v>
      </c>
      <c r="AI31" s="564">
        <v>6098.18</v>
      </c>
      <c r="AJ31" s="565" t="e">
        <f t="shared" si="8"/>
        <v>#DIV/0!</v>
      </c>
      <c r="AK31" s="303"/>
      <c r="AL31" s="313" t="s">
        <v>112</v>
      </c>
      <c r="AM31" s="303">
        <v>2021</v>
      </c>
      <c r="AN31" s="303"/>
      <c r="AO31" s="303"/>
    </row>
    <row r="32" spans="1:41" x14ac:dyDescent="0.25">
      <c r="A32" s="303"/>
      <c r="B32" s="313" t="s">
        <v>113</v>
      </c>
      <c r="C32" s="320">
        <v>226.57881</v>
      </c>
      <c r="D32" s="320">
        <v>219965.10433428554</v>
      </c>
      <c r="E32" s="320">
        <v>219965.10433428554</v>
      </c>
      <c r="F32" s="321">
        <f t="shared" si="1"/>
        <v>970.81057286109649</v>
      </c>
      <c r="G32" s="314"/>
      <c r="H32" s="320">
        <v>12.967930000000001</v>
      </c>
      <c r="I32" s="320">
        <v>8408.1304346096658</v>
      </c>
      <c r="J32" s="320">
        <v>10173.837825877696</v>
      </c>
      <c r="K32" s="321">
        <f t="shared" si="3"/>
        <v>784.53830533305586</v>
      </c>
      <c r="L32" s="314"/>
      <c r="M32" s="564"/>
      <c r="N32" s="564"/>
      <c r="O32" s="564"/>
      <c r="P32" s="565" t="e">
        <f t="shared" si="10"/>
        <v>#DIV/0!</v>
      </c>
      <c r="Q32" s="314"/>
      <c r="R32" s="564"/>
      <c r="S32" s="564"/>
      <c r="T32" s="564"/>
      <c r="U32" s="565" t="e">
        <f t="shared" si="5"/>
        <v>#DIV/0!</v>
      </c>
      <c r="V32" s="314"/>
      <c r="W32" s="564"/>
      <c r="X32" s="564"/>
      <c r="Y32" s="564"/>
      <c r="Z32" s="565" t="e">
        <f t="shared" si="11"/>
        <v>#DIV/0!</v>
      </c>
      <c r="AA32" s="314"/>
      <c r="AB32" s="322">
        <v>84</v>
      </c>
      <c r="AC32" s="322">
        <v>8172.5599999999968</v>
      </c>
      <c r="AD32" s="322">
        <v>8989.8159999999971</v>
      </c>
      <c r="AE32" s="323">
        <f t="shared" si="7"/>
        <v>107.02161904761901</v>
      </c>
      <c r="AF32" s="314"/>
      <c r="AG32" s="564"/>
      <c r="AH32" s="564"/>
      <c r="AI32" s="564"/>
      <c r="AJ32" s="565"/>
      <c r="AK32" s="303"/>
      <c r="AL32" s="313" t="s">
        <v>113</v>
      </c>
      <c r="AM32" s="303"/>
      <c r="AN32" s="303"/>
      <c r="AO32" s="303"/>
    </row>
    <row r="33" spans="1:41" x14ac:dyDescent="0.25">
      <c r="A33" s="303"/>
      <c r="B33" s="313" t="s">
        <v>114</v>
      </c>
      <c r="C33" s="320">
        <v>197.96039999999999</v>
      </c>
      <c r="D33" s="320">
        <v>192182.04932781184</v>
      </c>
      <c r="E33" s="320">
        <v>192182.04932781184</v>
      </c>
      <c r="F33" s="321">
        <f t="shared" si="1"/>
        <v>970.81057286109672</v>
      </c>
      <c r="G33" s="314"/>
      <c r="H33" s="320">
        <v>11.39991</v>
      </c>
      <c r="I33" s="320">
        <v>7391.4595639250874</v>
      </c>
      <c r="J33" s="320">
        <v>8943.6660723493551</v>
      </c>
      <c r="K33" s="321">
        <f t="shared" si="3"/>
        <v>784.53830533305575</v>
      </c>
      <c r="L33" s="314"/>
      <c r="M33" s="564"/>
      <c r="N33" s="564"/>
      <c r="O33" s="564"/>
      <c r="P33" s="565" t="e">
        <f t="shared" si="10"/>
        <v>#DIV/0!</v>
      </c>
      <c r="Q33" s="314"/>
      <c r="R33" s="564"/>
      <c r="S33" s="564"/>
      <c r="T33" s="564"/>
      <c r="U33" s="565" t="e">
        <f t="shared" si="5"/>
        <v>#DIV/0!</v>
      </c>
      <c r="V33" s="314"/>
      <c r="W33" s="564"/>
      <c r="X33" s="564"/>
      <c r="Y33" s="564"/>
      <c r="Z33" s="565" t="e">
        <f t="shared" si="11"/>
        <v>#DIV/0!</v>
      </c>
      <c r="AA33" s="314"/>
      <c r="AB33" s="322">
        <v>88</v>
      </c>
      <c r="AC33" s="322">
        <v>8622.1899999999969</v>
      </c>
      <c r="AD33" s="322">
        <v>9484.4049999999952</v>
      </c>
      <c r="AE33" s="323">
        <f t="shared" si="7"/>
        <v>107.77732954545449</v>
      </c>
      <c r="AF33" s="314"/>
      <c r="AG33" s="564"/>
      <c r="AH33" s="564"/>
      <c r="AI33" s="564"/>
      <c r="AJ33" s="565"/>
      <c r="AK33" s="303"/>
      <c r="AL33" s="313" t="s">
        <v>114</v>
      </c>
      <c r="AM33" s="303"/>
      <c r="AN33" s="303"/>
      <c r="AO33" s="303"/>
    </row>
    <row r="34" spans="1:41" x14ac:dyDescent="0.25">
      <c r="A34" s="303"/>
      <c r="B34" s="313" t="s">
        <v>115</v>
      </c>
      <c r="C34" s="320">
        <v>141.65199999999999</v>
      </c>
      <c r="D34" s="320">
        <v>137517.25926692007</v>
      </c>
      <c r="E34" s="320">
        <v>137517.25926692007</v>
      </c>
      <c r="F34" s="321">
        <f t="shared" si="1"/>
        <v>970.81057286109683</v>
      </c>
      <c r="G34" s="314"/>
      <c r="H34" s="320">
        <v>7.8612799999999998</v>
      </c>
      <c r="I34" s="320">
        <v>5097.0870156600358</v>
      </c>
      <c r="J34" s="320">
        <v>6167.4752889486435</v>
      </c>
      <c r="K34" s="321">
        <f t="shared" si="3"/>
        <v>784.53830533305563</v>
      </c>
      <c r="L34" s="314"/>
      <c r="M34" s="564"/>
      <c r="N34" s="564"/>
      <c r="O34" s="564"/>
      <c r="P34" s="565" t="e">
        <f t="shared" si="10"/>
        <v>#DIV/0!</v>
      </c>
      <c r="Q34" s="314"/>
      <c r="R34" s="564"/>
      <c r="S34" s="564"/>
      <c r="T34" s="564"/>
      <c r="U34" s="565" t="e">
        <f t="shared" si="5"/>
        <v>#DIV/0!</v>
      </c>
      <c r="V34" s="314"/>
      <c r="W34" s="564"/>
      <c r="X34" s="564"/>
      <c r="Y34" s="564"/>
      <c r="Z34" s="565" t="e">
        <f t="shared" si="11"/>
        <v>#DIV/0!</v>
      </c>
      <c r="AA34" s="314"/>
      <c r="AB34" s="322">
        <v>90</v>
      </c>
      <c r="AC34" s="322">
        <v>8756.31</v>
      </c>
      <c r="AD34" s="322">
        <v>9631.9369999999944</v>
      </c>
      <c r="AE34" s="323">
        <f t="shared" si="7"/>
        <v>107.02152222222216</v>
      </c>
      <c r="AF34" s="314"/>
      <c r="AG34" s="564"/>
      <c r="AH34" s="564"/>
      <c r="AI34" s="564"/>
      <c r="AJ34" s="565"/>
      <c r="AK34" s="303"/>
      <c r="AL34" s="313" t="s">
        <v>115</v>
      </c>
      <c r="AM34" s="303"/>
      <c r="AN34" s="303"/>
      <c r="AO34" s="303"/>
    </row>
    <row r="35" spans="1:41" x14ac:dyDescent="0.25">
      <c r="A35" s="303"/>
      <c r="B35" s="313" t="s">
        <v>116</v>
      </c>
      <c r="C35" s="320">
        <v>107.94414</v>
      </c>
      <c r="D35" s="320">
        <v>104793.31239039842</v>
      </c>
      <c r="E35" s="320">
        <v>104793.31239039842</v>
      </c>
      <c r="F35" s="321">
        <f t="shared" si="1"/>
        <v>970.81057286109672</v>
      </c>
      <c r="G35" s="314"/>
      <c r="H35" s="320">
        <v>3.3585199999999999</v>
      </c>
      <c r="I35" s="320">
        <v>2177.5930489480779</v>
      </c>
      <c r="J35" s="320">
        <v>2634.8875892271744</v>
      </c>
      <c r="K35" s="321">
        <f t="shared" si="3"/>
        <v>784.53830533305575</v>
      </c>
      <c r="L35" s="314"/>
      <c r="M35" s="564"/>
      <c r="N35" s="564"/>
      <c r="O35" s="564"/>
      <c r="P35" s="565" t="e">
        <f t="shared" si="10"/>
        <v>#DIV/0!</v>
      </c>
      <c r="Q35" s="314"/>
      <c r="R35" s="564"/>
      <c r="S35" s="564"/>
      <c r="T35" s="564"/>
      <c r="U35" s="565" t="e">
        <f t="shared" si="5"/>
        <v>#DIV/0!</v>
      </c>
      <c r="V35" s="314"/>
      <c r="W35" s="564"/>
      <c r="X35" s="564"/>
      <c r="Y35" s="564"/>
      <c r="Z35" s="565" t="e">
        <f t="shared" si="11"/>
        <v>#DIV/0!</v>
      </c>
      <c r="AA35" s="314"/>
      <c r="AB35" s="322">
        <v>173</v>
      </c>
      <c r="AC35" s="322">
        <v>15864.19</v>
      </c>
      <c r="AD35" s="322">
        <v>17450.604999999996</v>
      </c>
      <c r="AE35" s="323">
        <f t="shared" si="7"/>
        <v>100.87054913294796</v>
      </c>
      <c r="AF35" s="314"/>
      <c r="AG35" s="564"/>
      <c r="AH35" s="564"/>
      <c r="AI35" s="564"/>
      <c r="AJ35" s="565"/>
      <c r="AK35" s="303"/>
      <c r="AL35" s="313" t="s">
        <v>116</v>
      </c>
      <c r="AM35" s="303"/>
      <c r="AN35" s="303"/>
      <c r="AO35" s="303"/>
    </row>
    <row r="36" spans="1:41" x14ac:dyDescent="0.25">
      <c r="A36" s="303"/>
      <c r="B36" s="313" t="s">
        <v>117</v>
      </c>
      <c r="C36" s="320">
        <v>47.512650000000001</v>
      </c>
      <c r="D36" s="320">
        <v>46125.782964648781</v>
      </c>
      <c r="E36" s="320">
        <v>46125.782964648781</v>
      </c>
      <c r="F36" s="321">
        <f t="shared" si="1"/>
        <v>970.8105728610966</v>
      </c>
      <c r="G36" s="314"/>
      <c r="H36" s="320">
        <v>0.93195000000000006</v>
      </c>
      <c r="I36" s="320">
        <v>593.50562393034068</v>
      </c>
      <c r="J36" s="320">
        <v>718.14180495571213</v>
      </c>
      <c r="K36" s="321">
        <f t="shared" si="3"/>
        <v>770.57975745019803</v>
      </c>
      <c r="L36" s="314"/>
      <c r="M36" s="564"/>
      <c r="N36" s="564"/>
      <c r="O36" s="564"/>
      <c r="P36" s="565" t="e">
        <f t="shared" si="10"/>
        <v>#DIV/0!</v>
      </c>
      <c r="Q36" s="314"/>
      <c r="R36" s="564"/>
      <c r="S36" s="564"/>
      <c r="T36" s="564"/>
      <c r="U36" s="565" t="e">
        <f t="shared" si="5"/>
        <v>#DIV/0!</v>
      </c>
      <c r="V36" s="314"/>
      <c r="W36" s="564"/>
      <c r="X36" s="564"/>
      <c r="Y36" s="564"/>
      <c r="Z36" s="565" t="e">
        <f t="shared" si="11"/>
        <v>#DIV/0!</v>
      </c>
      <c r="AA36" s="314"/>
      <c r="AB36" s="322">
        <v>361</v>
      </c>
      <c r="AC36" s="322">
        <v>31845.510000000006</v>
      </c>
      <c r="AD36" s="322">
        <v>35030.056999999993</v>
      </c>
      <c r="AE36" s="323">
        <f t="shared" si="7"/>
        <v>97.036168975069231</v>
      </c>
      <c r="AF36" s="314"/>
      <c r="AG36" s="564"/>
      <c r="AH36" s="564"/>
      <c r="AI36" s="564"/>
      <c r="AJ36" s="565"/>
      <c r="AK36" s="303"/>
      <c r="AL36" s="313" t="s">
        <v>117</v>
      </c>
      <c r="AM36" s="303"/>
      <c r="AN36" s="303"/>
      <c r="AO36" s="303"/>
    </row>
    <row r="37" spans="1:41" x14ac:dyDescent="0.25">
      <c r="A37" s="303"/>
      <c r="B37" s="313" t="s">
        <v>118</v>
      </c>
      <c r="C37" s="320">
        <v>4.32212</v>
      </c>
      <c r="D37" s="320">
        <v>4195.9597931744029</v>
      </c>
      <c r="E37" s="320">
        <v>4195.9597931744029</v>
      </c>
      <c r="F37" s="321">
        <f t="shared" si="1"/>
        <v>970.8105728610966</v>
      </c>
      <c r="G37" s="314"/>
      <c r="H37" s="320">
        <v>0.69893000000000005</v>
      </c>
      <c r="I37" s="320">
        <v>444.18957159989714</v>
      </c>
      <c r="J37" s="320">
        <v>537.46938163587549</v>
      </c>
      <c r="K37" s="321">
        <f t="shared" si="3"/>
        <v>768.98885673225561</v>
      </c>
      <c r="L37" s="314"/>
      <c r="M37" s="564"/>
      <c r="N37" s="564"/>
      <c r="O37" s="564"/>
      <c r="P37" s="565" t="e">
        <f t="shared" si="10"/>
        <v>#DIV/0!</v>
      </c>
      <c r="Q37" s="314"/>
      <c r="R37" s="564"/>
      <c r="S37" s="564"/>
      <c r="T37" s="564"/>
      <c r="U37" s="565" t="e">
        <f t="shared" si="5"/>
        <v>#DIV/0!</v>
      </c>
      <c r="V37" s="314"/>
      <c r="W37" s="564"/>
      <c r="X37" s="564"/>
      <c r="Y37" s="564"/>
      <c r="Z37" s="565" t="e">
        <f t="shared" si="11"/>
        <v>#DIV/0!</v>
      </c>
      <c r="AA37" s="314"/>
      <c r="AB37" s="322">
        <v>92</v>
      </c>
      <c r="AC37" s="322">
        <v>8962.989999999998</v>
      </c>
      <c r="AD37" s="322">
        <v>9859.2849999999999</v>
      </c>
      <c r="AE37" s="323">
        <f t="shared" si="7"/>
        <v>107.16614130434782</v>
      </c>
      <c r="AF37" s="314"/>
      <c r="AG37" s="564"/>
      <c r="AH37" s="564"/>
      <c r="AI37" s="564"/>
      <c r="AJ37" s="565"/>
      <c r="AK37" s="303"/>
      <c r="AL37" s="313" t="s">
        <v>118</v>
      </c>
      <c r="AM37" s="303"/>
      <c r="AN37" s="303"/>
      <c r="AO37" s="303"/>
    </row>
    <row r="38" spans="1:41" x14ac:dyDescent="0.25">
      <c r="A38" s="303"/>
      <c r="B38" s="313" t="s">
        <v>119</v>
      </c>
      <c r="C38" s="320">
        <v>24.726479999999999</v>
      </c>
      <c r="D38" s="320">
        <v>24004.728213638446</v>
      </c>
      <c r="E38" s="320">
        <v>24004.728213638446</v>
      </c>
      <c r="F38" s="321">
        <f t="shared" si="1"/>
        <v>970.8105728610966</v>
      </c>
      <c r="G38" s="314"/>
      <c r="H38" s="320">
        <v>1.1436999999999999</v>
      </c>
      <c r="I38" s="320">
        <v>726.8533516071742</v>
      </c>
      <c r="J38" s="320">
        <v>879.49255544468076</v>
      </c>
      <c r="K38" s="321">
        <f t="shared" si="3"/>
        <v>768.98885673225561</v>
      </c>
      <c r="L38" s="314"/>
      <c r="M38" s="564"/>
      <c r="N38" s="564"/>
      <c r="O38" s="564"/>
      <c r="P38" s="565" t="e">
        <f t="shared" si="10"/>
        <v>#DIV/0!</v>
      </c>
      <c r="Q38" s="314"/>
      <c r="R38" s="564"/>
      <c r="S38" s="564"/>
      <c r="T38" s="564"/>
      <c r="U38" s="565" t="e">
        <f t="shared" si="5"/>
        <v>#DIV/0!</v>
      </c>
      <c r="V38" s="314"/>
      <c r="W38" s="564"/>
      <c r="X38" s="564"/>
      <c r="Y38" s="564"/>
      <c r="Z38" s="565" t="e">
        <f t="shared" si="11"/>
        <v>#DIV/0!</v>
      </c>
      <c r="AA38" s="314"/>
      <c r="AB38" s="322">
        <v>119</v>
      </c>
      <c r="AC38" s="322">
        <v>11263.390000000001</v>
      </c>
      <c r="AD38" s="322">
        <v>12389.724999999999</v>
      </c>
      <c r="AE38" s="323">
        <f t="shared" si="7"/>
        <v>104.11533613445377</v>
      </c>
      <c r="AF38" s="314"/>
      <c r="AG38" s="564"/>
      <c r="AH38" s="564"/>
      <c r="AI38" s="564"/>
      <c r="AJ38" s="565"/>
      <c r="AK38" s="303"/>
      <c r="AL38" s="313" t="s">
        <v>119</v>
      </c>
      <c r="AM38" s="303"/>
      <c r="AN38" s="303"/>
      <c r="AO38" s="303"/>
    </row>
    <row r="39" spans="1:41" x14ac:dyDescent="0.25">
      <c r="A39" s="303"/>
      <c r="B39" s="313" t="s">
        <v>120</v>
      </c>
      <c r="C39" s="320">
        <v>55.559179999999998</v>
      </c>
      <c r="D39" s="320">
        <v>53937.439363492769</v>
      </c>
      <c r="E39" s="320">
        <v>53937.439363492769</v>
      </c>
      <c r="F39" s="321">
        <f t="shared" si="1"/>
        <v>970.81057286109638</v>
      </c>
      <c r="G39" s="314"/>
      <c r="H39" s="320">
        <v>1.7579199999999999</v>
      </c>
      <c r="I39" s="320">
        <v>1117.2073479560058</v>
      </c>
      <c r="J39" s="320">
        <v>1351.820891026767</v>
      </c>
      <c r="K39" s="321">
        <f t="shared" si="3"/>
        <v>768.98885673225573</v>
      </c>
      <c r="L39" s="314"/>
      <c r="M39" s="564"/>
      <c r="N39" s="564"/>
      <c r="O39" s="564"/>
      <c r="P39" s="565" t="e">
        <f t="shared" si="10"/>
        <v>#DIV/0!</v>
      </c>
      <c r="Q39" s="314"/>
      <c r="R39" s="564"/>
      <c r="S39" s="564"/>
      <c r="T39" s="564"/>
      <c r="U39" s="565" t="e">
        <f t="shared" si="5"/>
        <v>#DIV/0!</v>
      </c>
      <c r="V39" s="314"/>
      <c r="W39" s="564"/>
      <c r="X39" s="564"/>
      <c r="Y39" s="564"/>
      <c r="Z39" s="565" t="e">
        <f t="shared" si="11"/>
        <v>#DIV/0!</v>
      </c>
      <c r="AA39" s="314"/>
      <c r="AB39" s="322">
        <v>529</v>
      </c>
      <c r="AC39" s="322">
        <v>46159.11</v>
      </c>
      <c r="AD39" s="322">
        <v>50775.017</v>
      </c>
      <c r="AE39" s="323">
        <f t="shared" si="7"/>
        <v>95.983018903591685</v>
      </c>
      <c r="AF39" s="314"/>
      <c r="AG39" s="564">
        <v>93</v>
      </c>
      <c r="AH39" s="564">
        <v>10706.91</v>
      </c>
      <c r="AI39" s="564">
        <v>11777.6</v>
      </c>
      <c r="AJ39" s="565">
        <f t="shared" si="8"/>
        <v>126.64086021505376</v>
      </c>
      <c r="AK39" s="303"/>
      <c r="AL39" s="313" t="s">
        <v>120</v>
      </c>
      <c r="AM39" s="303"/>
      <c r="AN39" s="303"/>
      <c r="AO39" s="303"/>
    </row>
    <row r="40" spans="1:41" x14ac:dyDescent="0.25">
      <c r="A40" s="303"/>
      <c r="B40" s="313" t="s">
        <v>121</v>
      </c>
      <c r="C40" s="320">
        <v>144.44345000000001</v>
      </c>
      <c r="D40" s="320">
        <v>140227.22844053316</v>
      </c>
      <c r="E40" s="320">
        <v>140227.22844053316</v>
      </c>
      <c r="F40" s="321">
        <f t="shared" si="1"/>
        <v>970.81057286109649</v>
      </c>
      <c r="G40" s="314"/>
      <c r="H40" s="320">
        <v>6.9787100000000004</v>
      </c>
      <c r="I40" s="320">
        <v>4435.1654746826125</v>
      </c>
      <c r="J40" s="320">
        <v>5366.5502243659612</v>
      </c>
      <c r="K40" s="321">
        <f t="shared" si="3"/>
        <v>768.98885673225584</v>
      </c>
      <c r="L40" s="314"/>
      <c r="M40" s="564"/>
      <c r="N40" s="564"/>
      <c r="O40" s="564"/>
      <c r="P40" s="565" t="e">
        <f t="shared" si="10"/>
        <v>#DIV/0!</v>
      </c>
      <c r="Q40" s="314"/>
      <c r="R40" s="564"/>
      <c r="S40" s="564"/>
      <c r="T40" s="564"/>
      <c r="U40" s="565" t="e">
        <f t="shared" si="5"/>
        <v>#DIV/0!</v>
      </c>
      <c r="V40" s="314"/>
      <c r="W40" s="564"/>
      <c r="X40" s="564"/>
      <c r="Y40" s="564"/>
      <c r="Z40" s="565" t="e">
        <f t="shared" si="11"/>
        <v>#DIV/0!</v>
      </c>
      <c r="AA40" s="314"/>
      <c r="AB40" s="322">
        <v>434</v>
      </c>
      <c r="AC40" s="322">
        <v>38101.39</v>
      </c>
      <c r="AD40" s="322">
        <v>41911.525000000001</v>
      </c>
      <c r="AE40" s="323">
        <f t="shared" si="7"/>
        <v>96.570334101382485</v>
      </c>
      <c r="AF40" s="314"/>
      <c r="AG40" s="564"/>
      <c r="AH40" s="564"/>
      <c r="AI40" s="564"/>
      <c r="AJ40" s="565"/>
      <c r="AK40" s="303"/>
      <c r="AL40" s="313" t="s">
        <v>121</v>
      </c>
      <c r="AM40" s="303"/>
      <c r="AN40" s="303"/>
      <c r="AO40" s="303"/>
    </row>
    <row r="41" spans="1:41" x14ac:dyDescent="0.25">
      <c r="A41" s="303"/>
      <c r="B41" s="313" t="s">
        <v>122</v>
      </c>
      <c r="C41" s="320">
        <v>204.28143</v>
      </c>
      <c r="D41" s="320">
        <v>163899.64634973885</v>
      </c>
      <c r="E41" s="320">
        <v>163899.64634973885</v>
      </c>
      <c r="F41" s="321">
        <f t="shared" si="1"/>
        <v>802.32278748850956</v>
      </c>
      <c r="G41" s="314"/>
      <c r="H41" s="320">
        <v>12.220689999999999</v>
      </c>
      <c r="I41" s="320">
        <v>9397.574431579309</v>
      </c>
      <c r="J41" s="320">
        <v>9397.574431579309</v>
      </c>
      <c r="K41" s="321">
        <f t="shared" si="3"/>
        <v>768.98885673225561</v>
      </c>
      <c r="L41" s="314"/>
      <c r="M41" s="564"/>
      <c r="N41" s="564"/>
      <c r="O41" s="564"/>
      <c r="P41" s="565" t="e">
        <f t="shared" si="10"/>
        <v>#DIV/0!</v>
      </c>
      <c r="Q41" s="314"/>
      <c r="R41" s="564"/>
      <c r="S41" s="564"/>
      <c r="T41" s="564"/>
      <c r="U41" s="565" t="e">
        <f t="shared" si="5"/>
        <v>#DIV/0!</v>
      </c>
      <c r="V41" s="314"/>
      <c r="W41" s="564"/>
      <c r="X41" s="564"/>
      <c r="Y41" s="564"/>
      <c r="Z41" s="565" t="e">
        <f t="shared" si="11"/>
        <v>#DIV/0!</v>
      </c>
      <c r="AA41" s="314"/>
      <c r="AB41" s="322">
        <v>514</v>
      </c>
      <c r="AC41" s="322">
        <v>44881.110000000008</v>
      </c>
      <c r="AD41" s="322">
        <v>49369.216999999997</v>
      </c>
      <c r="AE41" s="323">
        <f t="shared" si="7"/>
        <v>96.049060311284038</v>
      </c>
      <c r="AF41" s="314"/>
      <c r="AG41" s="564"/>
      <c r="AH41" s="564"/>
      <c r="AI41" s="564"/>
      <c r="AJ41" s="565"/>
      <c r="AK41" s="303"/>
      <c r="AL41" s="313" t="s">
        <v>122</v>
      </c>
      <c r="AM41" s="303"/>
      <c r="AN41" s="303"/>
      <c r="AO41" s="303"/>
    </row>
    <row r="42" spans="1:41" x14ac:dyDescent="0.25">
      <c r="A42" s="303"/>
      <c r="B42" s="313" t="s">
        <v>123</v>
      </c>
      <c r="C42" s="320">
        <v>252.94062</v>
      </c>
      <c r="D42" s="320">
        <v>202940.02330747186</v>
      </c>
      <c r="E42" s="320">
        <v>202940.02330747186</v>
      </c>
      <c r="F42" s="321">
        <f t="shared" si="1"/>
        <v>802.32278748850956</v>
      </c>
      <c r="G42" s="314"/>
      <c r="H42" s="320">
        <v>17.282630000000001</v>
      </c>
      <c r="I42" s="320">
        <v>13290.149885026587</v>
      </c>
      <c r="J42" s="320">
        <v>13290.149885026587</v>
      </c>
      <c r="K42" s="321">
        <f t="shared" si="3"/>
        <v>768.98885673225584</v>
      </c>
      <c r="L42" s="314"/>
      <c r="M42" s="564"/>
      <c r="N42" s="564"/>
      <c r="O42" s="564"/>
      <c r="P42" s="565" t="e">
        <f t="shared" si="10"/>
        <v>#DIV/0!</v>
      </c>
      <c r="Q42" s="314"/>
      <c r="R42" s="564"/>
      <c r="S42" s="564"/>
      <c r="T42" s="564"/>
      <c r="U42" s="565" t="e">
        <f t="shared" si="5"/>
        <v>#DIV/0!</v>
      </c>
      <c r="V42" s="314"/>
      <c r="W42" s="564"/>
      <c r="X42" s="564"/>
      <c r="Y42" s="564"/>
      <c r="Z42" s="565" t="e">
        <f t="shared" si="11"/>
        <v>#DIV/0!</v>
      </c>
      <c r="AA42" s="314"/>
      <c r="AB42" s="322">
        <v>394</v>
      </c>
      <c r="AC42" s="322">
        <v>34693.39</v>
      </c>
      <c r="AD42" s="322">
        <v>38162.724999999999</v>
      </c>
      <c r="AE42" s="323">
        <f t="shared" si="7"/>
        <v>96.85970812182741</v>
      </c>
      <c r="AF42" s="314"/>
      <c r="AG42" s="564"/>
      <c r="AH42" s="564"/>
      <c r="AI42" s="564"/>
      <c r="AJ42" s="565"/>
      <c r="AK42" s="303"/>
      <c r="AL42" s="313" t="s">
        <v>123</v>
      </c>
      <c r="AM42" s="303"/>
      <c r="AN42" s="303"/>
      <c r="AO42" s="303"/>
    </row>
    <row r="44" spans="1:41" x14ac:dyDescent="0.25">
      <c r="B44" s="313">
        <v>2019</v>
      </c>
      <c r="C44" s="127">
        <f>SUM(C7:C18)</f>
        <v>1615.2725000000003</v>
      </c>
      <c r="D44" s="127">
        <f>SUM(D7:D18)</f>
        <v>1869626.7199999997</v>
      </c>
      <c r="E44" s="127">
        <f>SUM(E7:E18)</f>
        <v>2262248.3311999999</v>
      </c>
      <c r="F44" s="127">
        <f>E44/C44</f>
        <v>1400.5366470363356</v>
      </c>
      <c r="H44" s="127">
        <f>SUM(H7:H18)</f>
        <v>74.078689999999995</v>
      </c>
      <c r="I44" s="127">
        <f>SUM(I7:I18)</f>
        <v>66961.460000000021</v>
      </c>
      <c r="J44" s="127">
        <f>SUM(J7:J18)</f>
        <v>81023.366600000008</v>
      </c>
      <c r="K44" s="127">
        <f>J44/H44</f>
        <v>1093.7472922374843</v>
      </c>
      <c r="M44" s="127">
        <f>SUM(M7:M18)</f>
        <v>75.447999999999993</v>
      </c>
      <c r="N44" s="127">
        <f>SUM(N7:N18)</f>
        <v>247526.05785123966</v>
      </c>
      <c r="O44" s="127">
        <f>SUM(O7:O18)</f>
        <v>299506.52999999997</v>
      </c>
      <c r="P44" s="127">
        <f>O44/M44</f>
        <v>3969.7080108153959</v>
      </c>
      <c r="R44" s="127">
        <f>SUM(R7:R18)</f>
        <v>23.248999999999999</v>
      </c>
      <c r="S44" s="127">
        <f>SUM(S7:S18)</f>
        <v>106772.87603305785</v>
      </c>
      <c r="T44" s="127">
        <f>SUM(T7:T18)</f>
        <v>129195.18</v>
      </c>
      <c r="U44" s="127">
        <f>T44/R44</f>
        <v>5557.020947137511</v>
      </c>
      <c r="W44" s="127">
        <f>SUM(W7:W18)</f>
        <v>108.65900000000001</v>
      </c>
      <c r="X44" s="127">
        <f>SUM(X7:X18)</f>
        <v>362158.89256198349</v>
      </c>
      <c r="Y44" s="127">
        <f>SUM(Y7:Y18)</f>
        <v>438212.26</v>
      </c>
      <c r="Z44" s="127">
        <f>Y44/W44</f>
        <v>4032.9126901591217</v>
      </c>
      <c r="AB44" s="127">
        <f>SUM(AB7:AB18)</f>
        <v>4794</v>
      </c>
      <c r="AC44" s="127">
        <f>SUM(AC7:AC18)</f>
        <v>409887</v>
      </c>
      <c r="AD44" s="127">
        <f>SUM(AD7:AD18)</f>
        <v>471370.06</v>
      </c>
      <c r="AE44" s="127">
        <f>AD44/AB44</f>
        <v>98.325002085940753</v>
      </c>
      <c r="AG44" s="127">
        <f>SUM(AG7:AG18)</f>
        <v>1916</v>
      </c>
      <c r="AH44" s="127">
        <f>SUM(AH7:AH18)</f>
        <v>163818</v>
      </c>
      <c r="AI44" s="127">
        <f>SUM(AI7:AI18)</f>
        <v>188390.71000000002</v>
      </c>
      <c r="AJ44" s="127">
        <f>AI44/AG44</f>
        <v>98.325005219206687</v>
      </c>
    </row>
    <row r="45" spans="1:41" x14ac:dyDescent="0.25">
      <c r="B45" s="313">
        <v>2020</v>
      </c>
      <c r="C45" s="127">
        <f>SUM(C19:C30)</f>
        <v>1454.1786400000001</v>
      </c>
      <c r="D45" s="127">
        <f>SUM(D19:D30)</f>
        <v>1437299.93</v>
      </c>
      <c r="E45" s="127">
        <f>SUM(E19:E30)</f>
        <v>1739132.9153</v>
      </c>
      <c r="F45" s="127">
        <f>E45/C45</f>
        <v>1195.9554813018019</v>
      </c>
      <c r="H45" s="127">
        <f>SUM(H19:H30)</f>
        <v>89.815500000000014</v>
      </c>
      <c r="I45" s="127">
        <f>SUM(I19:I30)</f>
        <v>68894.460000000006</v>
      </c>
      <c r="J45" s="127">
        <f>SUM(J19:J30)</f>
        <v>83362.296600000001</v>
      </c>
      <c r="K45" s="127">
        <f>J45/H45</f>
        <v>928.15044841925931</v>
      </c>
      <c r="M45" s="127">
        <f>SUM(M19:M30)</f>
        <v>62.430999999999997</v>
      </c>
      <c r="N45" s="127">
        <f>SUM(N19:N30)</f>
        <v>212987.22314049589</v>
      </c>
      <c r="O45" s="127">
        <f>SUM(O19:O30)</f>
        <v>257714.54</v>
      </c>
      <c r="P45" s="127">
        <f>O45/M45</f>
        <v>4127.9899408947485</v>
      </c>
      <c r="R45" s="127">
        <f>SUM(R19:R30)</f>
        <v>18.144000000000002</v>
      </c>
      <c r="S45" s="127">
        <f>SUM(S19:S30)</f>
        <v>85032.884297520664</v>
      </c>
      <c r="T45" s="127">
        <f>SUM(T19:T30)</f>
        <v>102889.79000000001</v>
      </c>
      <c r="U45" s="127">
        <f>T45/R45</f>
        <v>5670.7335758377421</v>
      </c>
      <c r="W45" s="127">
        <f>SUM(W19:W30)</f>
        <v>98.551000000000002</v>
      </c>
      <c r="X45" s="127">
        <f>SUM(X19:X30)</f>
        <v>336023.88429752068</v>
      </c>
      <c r="Y45" s="127">
        <f>SUM(Y19:Y30)</f>
        <v>406588.9</v>
      </c>
      <c r="Z45" s="127">
        <f>Y45/W45</f>
        <v>4125.6699576868832</v>
      </c>
      <c r="AB45" s="127">
        <f>SUM(AB19:AB30)</f>
        <v>2643</v>
      </c>
      <c r="AC45" s="127">
        <f>SUM(AC19:AC30)</f>
        <v>231262.5</v>
      </c>
      <c r="AD45" s="127">
        <f>SUM(AD19:AD30)</f>
        <v>259170.63999999996</v>
      </c>
      <c r="AE45" s="127">
        <f>AD45/AB45</f>
        <v>98.059265985622389</v>
      </c>
      <c r="AG45" s="127">
        <f>SUM(AG19:AG30)</f>
        <v>1812</v>
      </c>
      <c r="AH45" s="127">
        <f>SUM(AH19:AH30)</f>
        <v>158550</v>
      </c>
      <c r="AI45" s="127">
        <f>SUM(AI19:AI30)</f>
        <v>177008.13</v>
      </c>
      <c r="AJ45" s="127">
        <f>AI45/AG45</f>
        <v>97.686605960264899</v>
      </c>
    </row>
    <row r="46" spans="1:41" x14ac:dyDescent="0.25">
      <c r="B46" s="313">
        <v>2021</v>
      </c>
      <c r="C46" s="127">
        <f>SUM(C31:C42)</f>
        <v>1666.6251300000004</v>
      </c>
      <c r="D46" s="127">
        <f>SUM(D31:D42)</f>
        <v>1540940.966571985</v>
      </c>
      <c r="E46" s="127">
        <f>SUM(E31:E42)</f>
        <v>1540940.966571985</v>
      </c>
      <c r="F46" s="127">
        <f>E46/C46</f>
        <v>924.58762251591918</v>
      </c>
      <c r="H46" s="127">
        <f>SUM(H31:H42)</f>
        <v>90.428269999999998</v>
      </c>
      <c r="I46" s="127">
        <f>SUM(I31:I42)</f>
        <v>62043.465388669712</v>
      </c>
      <c r="J46" s="127">
        <f>SUM(J31:J42)</f>
        <v>70308.171013803134</v>
      </c>
      <c r="K46" s="127">
        <f>J46/H46</f>
        <v>777.50211315336605</v>
      </c>
      <c r="M46" s="127">
        <f>SUM(M31:M42)</f>
        <v>70.066000000000003</v>
      </c>
      <c r="N46" s="127">
        <f>SUM(N31:N42)</f>
        <v>218261.09</v>
      </c>
      <c r="O46" s="127">
        <f>SUM(O31:O42)</f>
        <v>219134.25</v>
      </c>
      <c r="P46" s="127">
        <f>O46/M46</f>
        <v>3127.5404618502553</v>
      </c>
      <c r="R46" s="127">
        <f>SUM(R31:R42)</f>
        <v>18.211000000000002</v>
      </c>
      <c r="S46" s="127">
        <f>SUM(S31:S42)</f>
        <v>79907.919999999984</v>
      </c>
      <c r="T46" s="127">
        <f>SUM(T31:T42)</f>
        <v>80266.939999999988</v>
      </c>
      <c r="U46" s="127">
        <f>T46/R46</f>
        <v>4407.6074899785835</v>
      </c>
      <c r="W46" s="127">
        <f>SUM(W31:W42)</f>
        <v>105.08499999999999</v>
      </c>
      <c r="X46" s="127">
        <f>SUM(X31:X42)</f>
        <v>330689.07</v>
      </c>
      <c r="Y46" s="127">
        <f>SUM(Y31:Y42)</f>
        <v>332062.65000000002</v>
      </c>
      <c r="Z46" s="127">
        <f>Y46/W46</f>
        <v>3159.9433791692445</v>
      </c>
      <c r="AB46" s="127">
        <f>SUM(AB31:AB42)</f>
        <v>2946</v>
      </c>
      <c r="AC46" s="127">
        <f>SUM(AC31:AC42)</f>
        <v>264240.33</v>
      </c>
      <c r="AD46" s="127">
        <f>SUM(AD31:AD42)</f>
        <v>290664.31899999996</v>
      </c>
      <c r="AE46" s="127">
        <f>AD46/AB46</f>
        <v>98.664059402579753</v>
      </c>
      <c r="AG46" s="127">
        <f>SUM(AG31:AG42)</f>
        <v>93</v>
      </c>
      <c r="AH46" s="127">
        <f>SUM(AH31:AH42)</f>
        <v>16250.71</v>
      </c>
      <c r="AI46" s="127">
        <f>SUM(AI31:AI42)</f>
        <v>17875.78</v>
      </c>
      <c r="AJ46" s="127">
        <f>AI46/AG46</f>
        <v>192.21268817204299</v>
      </c>
    </row>
    <row r="48" spans="1:41" x14ac:dyDescent="0.25">
      <c r="B48" s="332" t="s">
        <v>161</v>
      </c>
      <c r="C48" s="333">
        <f>C44</f>
        <v>1615.2725000000003</v>
      </c>
      <c r="D48" s="332"/>
      <c r="E48" s="333">
        <f>F48*C48</f>
        <v>2538883.632833587</v>
      </c>
      <c r="F48" s="333">
        <f>F46*1.7</f>
        <v>1571.7989582770626</v>
      </c>
      <c r="G48" s="332"/>
      <c r="H48" s="333">
        <f>H44</f>
        <v>74.078689999999995</v>
      </c>
      <c r="I48" s="332"/>
      <c r="J48" s="333">
        <f>K48*H48</f>
        <v>97913.7746248763</v>
      </c>
      <c r="K48" s="333">
        <f>K46*1.7</f>
        <v>1321.7535923607222</v>
      </c>
      <c r="L48" s="332"/>
      <c r="M48" s="333">
        <f>M44</f>
        <v>75.447999999999993</v>
      </c>
      <c r="N48" s="332"/>
      <c r="O48" s="333">
        <f>P48*M48</f>
        <v>401143.34370165266</v>
      </c>
      <c r="P48" s="333">
        <f>P46*1.7</f>
        <v>5316.818785145434</v>
      </c>
      <c r="Q48" s="332"/>
      <c r="R48" s="333">
        <f>R44</f>
        <v>23.248999999999999</v>
      </c>
      <c r="S48" s="332"/>
      <c r="T48" s="333">
        <f>U48*R48</f>
        <v>174203.19310867053</v>
      </c>
      <c r="U48" s="333">
        <f>U46*1.7</f>
        <v>7492.9327329635917</v>
      </c>
      <c r="V48" s="332"/>
      <c r="W48" s="333">
        <f>W44</f>
        <v>108.65900000000001</v>
      </c>
      <c r="X48" s="332"/>
      <c r="Y48" s="333">
        <f>Z48*W48</f>
        <v>583705.68898315658</v>
      </c>
      <c r="Z48" s="333">
        <f>Z46*1.7</f>
        <v>5371.9037445877157</v>
      </c>
      <c r="AA48" s="332"/>
      <c r="AB48" s="333">
        <f>AB44</f>
        <v>4794</v>
      </c>
      <c r="AC48" s="332"/>
      <c r="AD48" s="333">
        <f>AB48*AE48</f>
        <v>567594.60093116073</v>
      </c>
      <c r="AE48" s="333">
        <f>AE46*1.2</f>
        <v>118.39687128309569</v>
      </c>
      <c r="AF48" s="332"/>
      <c r="AG48" s="333">
        <f>AG44</f>
        <v>1916</v>
      </c>
      <c r="AH48" s="332"/>
      <c r="AI48" s="333">
        <f>AG48*AJ48</f>
        <v>226848.40537841135</v>
      </c>
      <c r="AJ48" s="340">
        <f>AE46*1.2</f>
        <v>118.39687128309569</v>
      </c>
    </row>
    <row r="49" spans="3:36" x14ac:dyDescent="0.25">
      <c r="C49" s="328">
        <v>2019</v>
      </c>
      <c r="F49" t="s">
        <v>168</v>
      </c>
      <c r="H49" s="328">
        <v>2019</v>
      </c>
      <c r="K49" t="s">
        <v>168</v>
      </c>
      <c r="M49" s="328">
        <v>2019</v>
      </c>
      <c r="P49" t="s">
        <v>168</v>
      </c>
      <c r="R49" s="328">
        <v>2019</v>
      </c>
      <c r="U49" t="s">
        <v>168</v>
      </c>
      <c r="W49" s="328">
        <v>2019</v>
      </c>
      <c r="Z49" t="s">
        <v>168</v>
      </c>
      <c r="AB49" s="328">
        <v>2019</v>
      </c>
      <c r="AE49" t="s">
        <v>169</v>
      </c>
      <c r="AG49" s="328">
        <v>2019</v>
      </c>
      <c r="AJ49" t="s">
        <v>169</v>
      </c>
    </row>
  </sheetData>
  <mergeCells count="76">
    <mergeCell ref="Z7:Z18"/>
    <mergeCell ref="M7:M18"/>
    <mergeCell ref="N7:N18"/>
    <mergeCell ref="O7:O18"/>
    <mergeCell ref="P7:P18"/>
    <mergeCell ref="R7:R18"/>
    <mergeCell ref="S7:S18"/>
    <mergeCell ref="T7:T18"/>
    <mergeCell ref="U7:U18"/>
    <mergeCell ref="W7:W18"/>
    <mergeCell ref="X7:X18"/>
    <mergeCell ref="Y7:Y18"/>
    <mergeCell ref="AI7:AI12"/>
    <mergeCell ref="AJ7:AJ12"/>
    <mergeCell ref="AB10:AB18"/>
    <mergeCell ref="AC10:AC18"/>
    <mergeCell ref="AD10:AD18"/>
    <mergeCell ref="AE10:AE18"/>
    <mergeCell ref="AG13:AG18"/>
    <mergeCell ref="AH13:AH18"/>
    <mergeCell ref="AI13:AI18"/>
    <mergeCell ref="AJ13:AJ18"/>
    <mergeCell ref="AB7:AB9"/>
    <mergeCell ref="AC7:AC9"/>
    <mergeCell ref="AD7:AD9"/>
    <mergeCell ref="AE7:AE9"/>
    <mergeCell ref="AG7:AG12"/>
    <mergeCell ref="AH7:AH12"/>
    <mergeCell ref="Z19:Z30"/>
    <mergeCell ref="M19:M30"/>
    <mergeCell ref="N19:N30"/>
    <mergeCell ref="O19:O30"/>
    <mergeCell ref="P19:P30"/>
    <mergeCell ref="R19:R30"/>
    <mergeCell ref="S19:S30"/>
    <mergeCell ref="T19:T30"/>
    <mergeCell ref="U19:U30"/>
    <mergeCell ref="W19:W30"/>
    <mergeCell ref="X19:X30"/>
    <mergeCell ref="Y19:Y30"/>
    <mergeCell ref="AI19:AI24"/>
    <mergeCell ref="AJ19:AJ24"/>
    <mergeCell ref="AB22:AB30"/>
    <mergeCell ref="AC22:AC30"/>
    <mergeCell ref="AD22:AD30"/>
    <mergeCell ref="AE22:AE30"/>
    <mergeCell ref="AG25:AG30"/>
    <mergeCell ref="AH25:AH30"/>
    <mergeCell ref="AI25:AI30"/>
    <mergeCell ref="AJ25:AJ30"/>
    <mergeCell ref="AB19:AB21"/>
    <mergeCell ref="AC19:AC21"/>
    <mergeCell ref="AD19:AD21"/>
    <mergeCell ref="AE19:AE21"/>
    <mergeCell ref="AG19:AG24"/>
    <mergeCell ref="AH19:AH24"/>
    <mergeCell ref="Z31:Z42"/>
    <mergeCell ref="M31:M42"/>
    <mergeCell ref="N31:N42"/>
    <mergeCell ref="O31:O42"/>
    <mergeCell ref="P31:P42"/>
    <mergeCell ref="R31:R42"/>
    <mergeCell ref="S31:S42"/>
    <mergeCell ref="T31:T42"/>
    <mergeCell ref="U31:U42"/>
    <mergeCell ref="W31:W42"/>
    <mergeCell ref="X31:X42"/>
    <mergeCell ref="Y31:Y42"/>
    <mergeCell ref="AG31:AG38"/>
    <mergeCell ref="AH31:AH38"/>
    <mergeCell ref="AI31:AI38"/>
    <mergeCell ref="AJ31:AJ38"/>
    <mergeCell ref="AG39:AG42"/>
    <mergeCell ref="AH39:AH42"/>
    <mergeCell ref="AI39:AI42"/>
    <mergeCell ref="AJ39:AJ42"/>
  </mergeCells>
  <pageMargins left="0.7" right="0.7" top="0.78740157499999996" bottom="0.78740157499999996" header="0.3" footer="0.3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G51"/>
  <sheetViews>
    <sheetView topLeftCell="A25" zoomScale="70" zoomScaleNormal="70" workbookViewId="0">
      <selection activeCell="K50" sqref="K50"/>
    </sheetView>
  </sheetViews>
  <sheetFormatPr defaultRowHeight="15" x14ac:dyDescent="0.25"/>
  <cols>
    <col min="3" max="3" width="9.28515625" bestFit="1" customWidth="1"/>
    <col min="4" max="4" width="11" customWidth="1"/>
    <col min="5" max="5" width="10.7109375" customWidth="1"/>
    <col min="6" max="6" width="12.140625" customWidth="1"/>
    <col min="8" max="13" width="9.28515625" bestFit="1" customWidth="1"/>
    <col min="15" max="17" width="9.28515625" bestFit="1" customWidth="1"/>
    <col min="18" max="27" width="9.28515625" customWidth="1"/>
    <col min="28" max="28" width="14.85546875" bestFit="1" customWidth="1"/>
  </cols>
  <sheetData>
    <row r="1" spans="1:33" ht="26.25" x14ac:dyDescent="0.4">
      <c r="B1" s="341" t="s">
        <v>186</v>
      </c>
    </row>
    <row r="2" spans="1:33" x14ac:dyDescent="0.25">
      <c r="A2" s="303"/>
      <c r="B2" s="303"/>
      <c r="C2" s="304"/>
      <c r="D2" s="304"/>
      <c r="E2" s="304"/>
      <c r="F2" s="304"/>
      <c r="G2" s="303"/>
      <c r="H2" s="303"/>
      <c r="I2" s="303"/>
      <c r="J2" s="303"/>
      <c r="K2" s="303"/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W2" s="303"/>
      <c r="X2" s="303"/>
      <c r="Y2" s="303"/>
      <c r="Z2" s="303"/>
      <c r="AA2" s="303"/>
      <c r="AB2" s="303"/>
      <c r="AC2" s="303"/>
      <c r="AD2" s="303"/>
      <c r="AE2" s="303"/>
      <c r="AF2" s="303"/>
      <c r="AG2" s="303"/>
    </row>
    <row r="3" spans="1:33" x14ac:dyDescent="0.25">
      <c r="A3" s="303"/>
      <c r="B3" s="303"/>
      <c r="C3" s="305" t="s">
        <v>41</v>
      </c>
      <c r="D3" s="305"/>
      <c r="E3" s="304"/>
      <c r="F3" s="304"/>
      <c r="G3" s="304"/>
      <c r="H3" s="306" t="s">
        <v>42</v>
      </c>
      <c r="I3" s="306"/>
      <c r="J3" s="306"/>
      <c r="K3" s="303"/>
      <c r="L3" s="303"/>
      <c r="M3" s="306" t="s">
        <v>42</v>
      </c>
      <c r="N3" s="303"/>
      <c r="O3" s="303"/>
      <c r="P3" s="303"/>
      <c r="Q3" s="303"/>
      <c r="R3" s="306" t="s">
        <v>176</v>
      </c>
      <c r="S3" s="303"/>
      <c r="T3" s="303"/>
      <c r="U3" s="303"/>
      <c r="V3" s="303"/>
      <c r="W3" s="306" t="s">
        <v>176</v>
      </c>
      <c r="X3" s="303"/>
      <c r="Y3" s="303"/>
      <c r="Z3" s="303"/>
      <c r="AA3" s="303"/>
      <c r="AB3" s="303"/>
      <c r="AC3" s="303"/>
      <c r="AD3" s="303"/>
      <c r="AE3" s="303"/>
    </row>
    <row r="4" spans="1:33" x14ac:dyDescent="0.25">
      <c r="A4" s="303"/>
      <c r="B4" s="303"/>
      <c r="C4" s="303" t="s">
        <v>187</v>
      </c>
      <c r="D4" s="304"/>
      <c r="E4" s="304"/>
      <c r="F4" s="304"/>
      <c r="G4" s="304"/>
      <c r="H4" s="303" t="s">
        <v>188</v>
      </c>
      <c r="I4" s="303"/>
      <c r="J4" s="303"/>
      <c r="K4" s="303"/>
      <c r="L4" s="303"/>
      <c r="M4" s="303" t="s">
        <v>189</v>
      </c>
      <c r="N4" s="303"/>
      <c r="O4" s="303"/>
      <c r="P4" s="303"/>
      <c r="Q4" s="303"/>
      <c r="R4" s="303" t="s">
        <v>190</v>
      </c>
      <c r="S4" s="303"/>
      <c r="T4" s="303"/>
      <c r="U4" s="303"/>
      <c r="V4" s="303"/>
      <c r="W4" s="303" t="s">
        <v>191</v>
      </c>
      <c r="X4" s="303"/>
      <c r="Y4" s="303"/>
      <c r="Z4" s="303"/>
      <c r="AA4" s="303"/>
      <c r="AB4" s="303"/>
      <c r="AC4" s="303"/>
      <c r="AD4" s="303"/>
      <c r="AE4" s="303"/>
    </row>
    <row r="5" spans="1:33" x14ac:dyDescent="0.25">
      <c r="A5" s="303"/>
      <c r="B5" s="303"/>
      <c r="C5" s="307" t="s">
        <v>93</v>
      </c>
      <c r="D5" s="307" t="s">
        <v>3</v>
      </c>
      <c r="E5" s="307" t="s">
        <v>4</v>
      </c>
      <c r="F5" s="307" t="s">
        <v>94</v>
      </c>
      <c r="G5" s="303"/>
      <c r="H5" s="308" t="s">
        <v>181</v>
      </c>
      <c r="I5" s="308" t="s">
        <v>3</v>
      </c>
      <c r="J5" s="308" t="s">
        <v>4</v>
      </c>
      <c r="K5" s="308" t="s">
        <v>94</v>
      </c>
      <c r="L5" s="303"/>
      <c r="M5" s="308" t="s">
        <v>93</v>
      </c>
      <c r="N5" s="308" t="s">
        <v>3</v>
      </c>
      <c r="O5" s="308" t="s">
        <v>4</v>
      </c>
      <c r="P5" s="308" t="s">
        <v>94</v>
      </c>
      <c r="Q5" s="303"/>
      <c r="R5" s="309" t="s">
        <v>1</v>
      </c>
      <c r="S5" s="309" t="s">
        <v>3</v>
      </c>
      <c r="T5" s="309" t="s">
        <v>4</v>
      </c>
      <c r="U5" s="309" t="s">
        <v>153</v>
      </c>
      <c r="V5" s="303"/>
      <c r="W5" s="309" t="s">
        <v>1</v>
      </c>
      <c r="X5" s="309" t="s">
        <v>3</v>
      </c>
      <c r="Y5" s="309" t="s">
        <v>4</v>
      </c>
      <c r="Z5" s="309" t="s">
        <v>153</v>
      </c>
      <c r="AA5" s="303"/>
      <c r="AB5" s="303"/>
      <c r="AC5" s="303"/>
      <c r="AD5" s="303"/>
      <c r="AE5" s="303"/>
    </row>
    <row r="6" spans="1:33" x14ac:dyDescent="0.25">
      <c r="A6" s="303"/>
      <c r="B6" s="303"/>
      <c r="C6" s="387"/>
      <c r="D6" s="387"/>
      <c r="E6" s="387"/>
      <c r="F6" s="387"/>
      <c r="G6" s="303"/>
      <c r="H6" s="342"/>
      <c r="I6" s="342"/>
      <c r="J6" s="342"/>
      <c r="K6" s="342"/>
      <c r="L6" s="303"/>
      <c r="M6" s="342"/>
      <c r="N6" s="342"/>
      <c r="O6" s="342"/>
      <c r="P6" s="342"/>
      <c r="Q6" s="303"/>
      <c r="R6" s="342"/>
      <c r="S6" s="342"/>
      <c r="T6" s="342"/>
      <c r="U6" s="342"/>
      <c r="V6" s="303"/>
      <c r="W6" s="342"/>
      <c r="X6" s="342"/>
      <c r="Y6" s="342"/>
      <c r="Z6" s="342"/>
      <c r="AA6" s="303"/>
      <c r="AB6" s="303"/>
      <c r="AC6" s="303"/>
      <c r="AD6" s="303"/>
      <c r="AE6" s="303"/>
    </row>
    <row r="7" spans="1:33" x14ac:dyDescent="0.25">
      <c r="A7" s="303">
        <v>2019</v>
      </c>
      <c r="B7" s="343" t="s">
        <v>112</v>
      </c>
      <c r="C7" s="388">
        <v>26.647200000000002</v>
      </c>
      <c r="D7" s="389">
        <f>E7/1.21</f>
        <v>20547.36363636364</v>
      </c>
      <c r="E7" s="390">
        <v>24862.31</v>
      </c>
      <c r="F7" s="391">
        <f>E7/C7</f>
        <v>933.0177279413972</v>
      </c>
      <c r="G7" s="314"/>
      <c r="H7" s="392">
        <v>90.495000000000005</v>
      </c>
      <c r="I7" s="347">
        <f>J7/1.21</f>
        <v>139687.60330578513</v>
      </c>
      <c r="J7" s="348">
        <v>169022</v>
      </c>
      <c r="K7" s="349">
        <f>J7/H7</f>
        <v>1867.7495994253825</v>
      </c>
      <c r="L7" s="314"/>
      <c r="M7" s="393"/>
      <c r="N7" s="394"/>
      <c r="O7" s="394"/>
      <c r="P7" s="395"/>
      <c r="Q7" s="314"/>
      <c r="R7" s="568">
        <v>491</v>
      </c>
      <c r="S7" s="571">
        <f>26057.37+16487.78</f>
        <v>42545.149999999994</v>
      </c>
      <c r="T7" s="571">
        <f>S7*1.15</f>
        <v>48926.922499999986</v>
      </c>
      <c r="U7" s="574">
        <f>T7/R7</f>
        <v>99.647499999999965</v>
      </c>
      <c r="V7" s="303"/>
      <c r="W7" s="568">
        <v>111</v>
      </c>
      <c r="X7" s="571">
        <f>5890.77+3727.38</f>
        <v>9618.1500000000015</v>
      </c>
      <c r="Y7" s="571">
        <f>X7*1.15</f>
        <v>11060.872500000001</v>
      </c>
      <c r="Z7" s="574">
        <f>Y7/W7</f>
        <v>99.647500000000008</v>
      </c>
      <c r="AA7" s="303"/>
      <c r="AB7" s="343" t="s">
        <v>112</v>
      </c>
      <c r="AC7" s="303">
        <v>2019</v>
      </c>
      <c r="AD7" s="303"/>
      <c r="AE7" s="303"/>
    </row>
    <row r="8" spans="1:33" x14ac:dyDescent="0.25">
      <c r="A8" s="303"/>
      <c r="B8" s="343" t="s">
        <v>113</v>
      </c>
      <c r="C8" s="396">
        <v>20.377279999999999</v>
      </c>
      <c r="D8" s="397">
        <f t="shared" ref="D8:D42" si="0">E8/1.21</f>
        <v>15907.628099173553</v>
      </c>
      <c r="E8" s="398">
        <v>19248.23</v>
      </c>
      <c r="F8" s="391">
        <f t="shared" ref="F8:F42" si="1">E8/C8</f>
        <v>944.5927032459681</v>
      </c>
      <c r="G8" s="314"/>
      <c r="H8" s="399">
        <v>55.747</v>
      </c>
      <c r="I8" s="356">
        <f t="shared" ref="I8:I25" si="2">J8/1.21</f>
        <v>100518.18181818182</v>
      </c>
      <c r="J8" s="357">
        <v>121627</v>
      </c>
      <c r="K8" s="349">
        <f t="shared" ref="K8:K25" si="3">J8/H8</f>
        <v>2181.7676287513232</v>
      </c>
      <c r="L8" s="314"/>
      <c r="M8" s="400"/>
      <c r="N8" s="401"/>
      <c r="O8" s="401"/>
      <c r="P8" s="402"/>
      <c r="Q8" s="314"/>
      <c r="R8" s="569"/>
      <c r="S8" s="572"/>
      <c r="T8" s="572"/>
      <c r="U8" s="575"/>
      <c r="V8" s="303"/>
      <c r="W8" s="569"/>
      <c r="X8" s="572"/>
      <c r="Y8" s="572"/>
      <c r="Z8" s="575"/>
      <c r="AA8" s="303"/>
      <c r="AB8" s="343" t="s">
        <v>113</v>
      </c>
      <c r="AC8" s="303"/>
      <c r="AD8" s="303"/>
      <c r="AE8" s="303"/>
    </row>
    <row r="9" spans="1:33" x14ac:dyDescent="0.25">
      <c r="A9" s="303"/>
      <c r="B9" s="343" t="s">
        <v>114</v>
      </c>
      <c r="C9" s="396">
        <v>15.25897</v>
      </c>
      <c r="D9" s="397">
        <f t="shared" si="0"/>
        <v>16736.066115702481</v>
      </c>
      <c r="E9" s="398">
        <v>20250.64</v>
      </c>
      <c r="F9" s="391">
        <f t="shared" si="1"/>
        <v>1327.1302060361872</v>
      </c>
      <c r="G9" s="314"/>
      <c r="H9" s="399">
        <v>52.057000000000002</v>
      </c>
      <c r="I9" s="356">
        <f t="shared" si="2"/>
        <v>108635.53719008264</v>
      </c>
      <c r="J9" s="357">
        <v>131449</v>
      </c>
      <c r="K9" s="349">
        <f t="shared" si="3"/>
        <v>2525.0974892905851</v>
      </c>
      <c r="L9" s="314"/>
      <c r="M9" s="400"/>
      <c r="N9" s="401"/>
      <c r="O9" s="401"/>
      <c r="P9" s="402"/>
      <c r="Q9" s="314"/>
      <c r="R9" s="569"/>
      <c r="S9" s="572"/>
      <c r="T9" s="572"/>
      <c r="U9" s="575"/>
      <c r="V9" s="303"/>
      <c r="W9" s="569"/>
      <c r="X9" s="572"/>
      <c r="Y9" s="572"/>
      <c r="Z9" s="575"/>
      <c r="AA9" s="303"/>
      <c r="AB9" s="343" t="s">
        <v>114</v>
      </c>
      <c r="AC9" s="303"/>
      <c r="AD9" s="303"/>
      <c r="AE9" s="303"/>
    </row>
    <row r="10" spans="1:33" x14ac:dyDescent="0.25">
      <c r="A10" s="303"/>
      <c r="B10" s="343" t="s">
        <v>115</v>
      </c>
      <c r="C10" s="396">
        <v>8.2852700000000006</v>
      </c>
      <c r="D10" s="397">
        <f t="shared" si="0"/>
        <v>6959.5371900826458</v>
      </c>
      <c r="E10" s="398">
        <v>8421.0400000000009</v>
      </c>
      <c r="F10" s="391">
        <f t="shared" si="1"/>
        <v>1016.3869131603436</v>
      </c>
      <c r="G10" s="314"/>
      <c r="H10" s="399">
        <v>33.164999999999999</v>
      </c>
      <c r="I10" s="356">
        <f t="shared" si="2"/>
        <v>72572.727272727279</v>
      </c>
      <c r="J10" s="357">
        <v>87813</v>
      </c>
      <c r="K10" s="349">
        <f t="shared" si="3"/>
        <v>2647.7611940298507</v>
      </c>
      <c r="L10" s="314"/>
      <c r="M10" s="400"/>
      <c r="N10" s="401"/>
      <c r="O10" s="401"/>
      <c r="P10" s="402"/>
      <c r="Q10" s="314"/>
      <c r="R10" s="569"/>
      <c r="S10" s="572"/>
      <c r="T10" s="572"/>
      <c r="U10" s="575"/>
      <c r="V10" s="303"/>
      <c r="W10" s="569"/>
      <c r="X10" s="572"/>
      <c r="Y10" s="572"/>
      <c r="Z10" s="575"/>
      <c r="AA10" s="303"/>
      <c r="AB10" s="343" t="s">
        <v>115</v>
      </c>
      <c r="AC10" s="303"/>
      <c r="AD10" s="303"/>
      <c r="AE10" s="303"/>
    </row>
    <row r="11" spans="1:33" x14ac:dyDescent="0.25">
      <c r="A11" s="303"/>
      <c r="B11" s="343" t="s">
        <v>116</v>
      </c>
      <c r="C11" s="396">
        <v>6.7816799999999997</v>
      </c>
      <c r="D11" s="397">
        <f t="shared" si="0"/>
        <v>5835.9338842975203</v>
      </c>
      <c r="E11" s="398">
        <v>7061.48</v>
      </c>
      <c r="F11" s="391">
        <f t="shared" si="1"/>
        <v>1041.258213304078</v>
      </c>
      <c r="G11" s="314"/>
      <c r="H11" s="399">
        <v>26.495999999999999</v>
      </c>
      <c r="I11" s="356">
        <f t="shared" si="2"/>
        <v>61557.008264462806</v>
      </c>
      <c r="J11" s="357">
        <v>74483.98</v>
      </c>
      <c r="K11" s="349">
        <f t="shared" si="3"/>
        <v>2811.1405495169083</v>
      </c>
      <c r="L11" s="314"/>
      <c r="M11" s="400"/>
      <c r="N11" s="401"/>
      <c r="O11" s="401"/>
      <c r="P11" s="402"/>
      <c r="Q11" s="314"/>
      <c r="R11" s="569"/>
      <c r="S11" s="572"/>
      <c r="T11" s="572"/>
      <c r="U11" s="575"/>
      <c r="V11" s="303"/>
      <c r="W11" s="569"/>
      <c r="X11" s="572"/>
      <c r="Y11" s="572"/>
      <c r="Z11" s="575"/>
      <c r="AA11" s="303"/>
      <c r="AB11" s="343" t="s">
        <v>116</v>
      </c>
      <c r="AC11" s="303"/>
      <c r="AD11" s="303"/>
      <c r="AE11" s="303"/>
    </row>
    <row r="12" spans="1:33" x14ac:dyDescent="0.25">
      <c r="A12" s="303"/>
      <c r="B12" s="343" t="s">
        <v>117</v>
      </c>
      <c r="C12" s="396">
        <v>0.77825999999999995</v>
      </c>
      <c r="D12" s="397">
        <f t="shared" si="0"/>
        <v>1385.6198347107438</v>
      </c>
      <c r="E12" s="403">
        <v>1676.6</v>
      </c>
      <c r="F12" s="391">
        <f t="shared" si="1"/>
        <v>2154.2929098244804</v>
      </c>
      <c r="G12" s="314"/>
      <c r="H12" s="399">
        <v>8.07</v>
      </c>
      <c r="I12" s="356">
        <f t="shared" si="2"/>
        <v>31343.801652892562</v>
      </c>
      <c r="J12" s="357">
        <v>37926</v>
      </c>
      <c r="K12" s="349">
        <f t="shared" si="3"/>
        <v>4699.628252788104</v>
      </c>
      <c r="L12" s="314"/>
      <c r="M12" s="400"/>
      <c r="N12" s="401"/>
      <c r="O12" s="401"/>
      <c r="P12" s="402"/>
      <c r="Q12" s="314"/>
      <c r="R12" s="570"/>
      <c r="S12" s="573"/>
      <c r="T12" s="573"/>
      <c r="U12" s="575"/>
      <c r="V12" s="303"/>
      <c r="W12" s="570"/>
      <c r="X12" s="573"/>
      <c r="Y12" s="573"/>
      <c r="Z12" s="576"/>
      <c r="AA12" s="303"/>
      <c r="AB12" s="343" t="s">
        <v>117</v>
      </c>
      <c r="AC12" s="303"/>
      <c r="AD12" s="303"/>
      <c r="AE12" s="303"/>
    </row>
    <row r="13" spans="1:33" x14ac:dyDescent="0.25">
      <c r="A13" s="303"/>
      <c r="B13" s="343" t="s">
        <v>118</v>
      </c>
      <c r="C13" s="396">
        <v>0.99148000000000003</v>
      </c>
      <c r="D13" s="397">
        <f t="shared" si="0"/>
        <v>1541.2644628099172</v>
      </c>
      <c r="E13" s="403">
        <v>1864.9299999999998</v>
      </c>
      <c r="F13" s="391">
        <f t="shared" si="1"/>
        <v>1880.9557429297613</v>
      </c>
      <c r="G13" s="314"/>
      <c r="H13" s="399">
        <v>2.6120000000000001</v>
      </c>
      <c r="I13" s="356">
        <f t="shared" si="2"/>
        <v>23402.685950413223</v>
      </c>
      <c r="J13" s="357">
        <v>28317.25</v>
      </c>
      <c r="K13" s="349">
        <f t="shared" si="3"/>
        <v>10841.213629402757</v>
      </c>
      <c r="L13" s="314"/>
      <c r="M13" s="400"/>
      <c r="N13" s="401"/>
      <c r="O13" s="401"/>
      <c r="P13" s="402"/>
      <c r="Q13" s="314"/>
      <c r="R13" s="568">
        <v>432</v>
      </c>
      <c r="S13" s="571">
        <f>22926.24+14506.56</f>
        <v>37432.800000000003</v>
      </c>
      <c r="T13" s="571">
        <f>S13*1.15</f>
        <v>43047.72</v>
      </c>
      <c r="U13" s="574">
        <f>T13/R13</f>
        <v>99.647500000000008</v>
      </c>
      <c r="V13" s="303"/>
      <c r="W13" s="568">
        <v>104</v>
      </c>
      <c r="X13" s="571">
        <f>5519.28+3492.32</f>
        <v>9011.6</v>
      </c>
      <c r="Y13" s="571">
        <f>X13*1.15</f>
        <v>10363.34</v>
      </c>
      <c r="Z13" s="574">
        <f>Y13/W13</f>
        <v>99.647500000000008</v>
      </c>
      <c r="AA13" s="303"/>
      <c r="AB13" s="343" t="s">
        <v>118</v>
      </c>
      <c r="AC13" s="303"/>
      <c r="AD13" s="303"/>
      <c r="AE13" s="303"/>
    </row>
    <row r="14" spans="1:33" x14ac:dyDescent="0.25">
      <c r="A14" s="303"/>
      <c r="B14" s="343" t="s">
        <v>119</v>
      </c>
      <c r="C14" s="396">
        <v>0.88487000000000005</v>
      </c>
      <c r="D14" s="397">
        <f t="shared" si="0"/>
        <v>1463.4462809917356</v>
      </c>
      <c r="E14" s="403">
        <v>1770.77</v>
      </c>
      <c r="F14" s="391">
        <f t="shared" si="1"/>
        <v>2001.1640127928395</v>
      </c>
      <c r="G14" s="314"/>
      <c r="H14" s="399">
        <v>3.0619999999999998</v>
      </c>
      <c r="I14" s="356">
        <f t="shared" si="2"/>
        <v>24127.661157024795</v>
      </c>
      <c r="J14" s="357">
        <v>29194.47</v>
      </c>
      <c r="K14" s="349">
        <f t="shared" si="3"/>
        <v>9534.4448073154817</v>
      </c>
      <c r="L14" s="314"/>
      <c r="M14" s="400"/>
      <c r="N14" s="401"/>
      <c r="O14" s="401"/>
      <c r="P14" s="402"/>
      <c r="Q14" s="314"/>
      <c r="R14" s="569"/>
      <c r="S14" s="572"/>
      <c r="T14" s="572"/>
      <c r="U14" s="575"/>
      <c r="V14" s="303"/>
      <c r="W14" s="569"/>
      <c r="X14" s="572"/>
      <c r="Y14" s="572"/>
      <c r="Z14" s="575"/>
      <c r="AA14" s="303"/>
      <c r="AB14" s="343" t="s">
        <v>119</v>
      </c>
      <c r="AC14" s="303"/>
      <c r="AD14" s="303"/>
      <c r="AE14" s="303"/>
    </row>
    <row r="15" spans="1:33" x14ac:dyDescent="0.25">
      <c r="A15" s="303"/>
      <c r="B15" s="343" t="s">
        <v>120</v>
      </c>
      <c r="C15" s="396">
        <v>2.5373299999999999</v>
      </c>
      <c r="D15" s="397">
        <f t="shared" si="0"/>
        <v>2669.7355371900826</v>
      </c>
      <c r="E15" s="403">
        <v>3230.3799999999997</v>
      </c>
      <c r="F15" s="391">
        <f t="shared" si="1"/>
        <v>1273.1414518411084</v>
      </c>
      <c r="G15" s="314"/>
      <c r="H15" s="399">
        <v>18.507999999999999</v>
      </c>
      <c r="I15" s="356">
        <f t="shared" si="2"/>
        <v>48767.280991735541</v>
      </c>
      <c r="J15" s="357">
        <v>59008.41</v>
      </c>
      <c r="K15" s="349">
        <f t="shared" si="3"/>
        <v>3188.2650745623519</v>
      </c>
      <c r="L15" s="314"/>
      <c r="M15" s="400"/>
      <c r="N15" s="401"/>
      <c r="O15" s="401"/>
      <c r="P15" s="402"/>
      <c r="Q15" s="314"/>
      <c r="R15" s="569"/>
      <c r="S15" s="572"/>
      <c r="T15" s="572"/>
      <c r="U15" s="575"/>
      <c r="V15" s="303"/>
      <c r="W15" s="569"/>
      <c r="X15" s="572"/>
      <c r="Y15" s="572"/>
      <c r="Z15" s="575"/>
      <c r="AA15" s="303"/>
      <c r="AB15" s="343" t="s">
        <v>120</v>
      </c>
      <c r="AC15" s="303"/>
      <c r="AD15" s="303"/>
      <c r="AE15" s="303"/>
    </row>
    <row r="16" spans="1:33" x14ac:dyDescent="0.25">
      <c r="A16" s="303"/>
      <c r="B16" s="343" t="s">
        <v>121</v>
      </c>
      <c r="C16" s="396">
        <v>6.1301100000000002</v>
      </c>
      <c r="D16" s="397">
        <f t="shared" si="0"/>
        <v>5292.4710743801652</v>
      </c>
      <c r="E16" s="403">
        <v>6403.8899999999994</v>
      </c>
      <c r="F16" s="391">
        <f t="shared" si="1"/>
        <v>1044.6615150462226</v>
      </c>
      <c r="G16" s="314"/>
      <c r="H16" s="399">
        <v>37.764000000000003</v>
      </c>
      <c r="I16" s="356">
        <f t="shared" si="2"/>
        <v>66065.628099173555</v>
      </c>
      <c r="J16" s="357">
        <v>79939.41</v>
      </c>
      <c r="K16" s="349">
        <f t="shared" si="3"/>
        <v>2116.8152208452493</v>
      </c>
      <c r="L16" s="314"/>
      <c r="M16" s="400"/>
      <c r="N16" s="401"/>
      <c r="O16" s="401"/>
      <c r="P16" s="402"/>
      <c r="Q16" s="314"/>
      <c r="R16" s="569"/>
      <c r="S16" s="572"/>
      <c r="T16" s="572"/>
      <c r="U16" s="575"/>
      <c r="V16" s="303"/>
      <c r="W16" s="569"/>
      <c r="X16" s="572"/>
      <c r="Y16" s="572"/>
      <c r="Z16" s="575"/>
      <c r="AA16" s="303"/>
      <c r="AB16" s="343" t="s">
        <v>121</v>
      </c>
      <c r="AC16" s="303"/>
      <c r="AD16" s="303"/>
      <c r="AE16" s="303"/>
    </row>
    <row r="17" spans="1:31" x14ac:dyDescent="0.25">
      <c r="A17" s="303"/>
      <c r="B17" s="343" t="s">
        <v>122</v>
      </c>
      <c r="C17" s="396">
        <v>12.64401</v>
      </c>
      <c r="D17" s="397">
        <f t="shared" si="0"/>
        <v>10047.611570247935</v>
      </c>
      <c r="E17" s="403">
        <v>12157.61</v>
      </c>
      <c r="F17" s="391">
        <f t="shared" si="1"/>
        <v>961.53119144954815</v>
      </c>
      <c r="G17" s="314"/>
      <c r="H17" s="399">
        <v>52.936</v>
      </c>
      <c r="I17" s="356">
        <f t="shared" si="2"/>
        <v>97049.272727272721</v>
      </c>
      <c r="J17" s="357">
        <v>117429.62</v>
      </c>
      <c r="K17" s="349">
        <f t="shared" si="3"/>
        <v>2218.3319480126943</v>
      </c>
      <c r="L17" s="314"/>
      <c r="M17" s="400"/>
      <c r="N17" s="401"/>
      <c r="O17" s="401"/>
      <c r="P17" s="402"/>
      <c r="Q17" s="314"/>
      <c r="R17" s="569"/>
      <c r="S17" s="572"/>
      <c r="T17" s="572"/>
      <c r="U17" s="575"/>
      <c r="V17" s="303"/>
      <c r="W17" s="569"/>
      <c r="X17" s="572"/>
      <c r="Y17" s="572"/>
      <c r="Z17" s="575"/>
      <c r="AA17" s="303"/>
      <c r="AB17" s="343" t="s">
        <v>122</v>
      </c>
      <c r="AC17" s="303"/>
      <c r="AD17" s="303"/>
      <c r="AE17" s="303"/>
    </row>
    <row r="18" spans="1:31" x14ac:dyDescent="0.25">
      <c r="A18" s="303"/>
      <c r="B18" s="343" t="s">
        <v>123</v>
      </c>
      <c r="C18" s="404">
        <v>18.198419999999999</v>
      </c>
      <c r="D18" s="405">
        <f t="shared" si="0"/>
        <v>14102.330578512398</v>
      </c>
      <c r="E18" s="406">
        <v>17063.82</v>
      </c>
      <c r="F18" s="391">
        <f t="shared" si="1"/>
        <v>937.65392819816236</v>
      </c>
      <c r="G18" s="314"/>
      <c r="H18" s="407">
        <v>52.365000000000002</v>
      </c>
      <c r="I18" s="362">
        <f t="shared" si="2"/>
        <v>96853.983471074389</v>
      </c>
      <c r="J18" s="363">
        <v>117193.32</v>
      </c>
      <c r="K18" s="349">
        <f t="shared" si="3"/>
        <v>2238.0085935262105</v>
      </c>
      <c r="L18" s="314"/>
      <c r="M18" s="400"/>
      <c r="N18" s="401"/>
      <c r="O18" s="401"/>
      <c r="P18" s="402"/>
      <c r="Q18" s="314"/>
      <c r="R18" s="570"/>
      <c r="S18" s="573"/>
      <c r="T18" s="573"/>
      <c r="U18" s="576"/>
      <c r="V18" s="303"/>
      <c r="W18" s="570"/>
      <c r="X18" s="573"/>
      <c r="Y18" s="573"/>
      <c r="Z18" s="576"/>
      <c r="AA18" s="303"/>
      <c r="AB18" s="343" t="s">
        <v>123</v>
      </c>
      <c r="AC18" s="303"/>
      <c r="AD18" s="303"/>
      <c r="AE18" s="303"/>
    </row>
    <row r="19" spans="1:31" x14ac:dyDescent="0.25">
      <c r="A19" s="303">
        <v>2020</v>
      </c>
      <c r="B19" s="343" t="s">
        <v>112</v>
      </c>
      <c r="C19" s="388">
        <v>21.204820000000002</v>
      </c>
      <c r="D19" s="389">
        <f t="shared" si="0"/>
        <v>16297.008264462811</v>
      </c>
      <c r="E19" s="408">
        <v>19719.38</v>
      </c>
      <c r="F19" s="391">
        <f t="shared" si="1"/>
        <v>929.94800238813627</v>
      </c>
      <c r="G19" s="314"/>
      <c r="H19" s="392">
        <v>75.057000000000002</v>
      </c>
      <c r="I19" s="347">
        <f t="shared" si="2"/>
        <v>173855.50413223141</v>
      </c>
      <c r="J19" s="348">
        <v>210365.16</v>
      </c>
      <c r="K19" s="349">
        <f t="shared" si="3"/>
        <v>2802.7387185738839</v>
      </c>
      <c r="L19" s="314"/>
      <c r="M19" s="400"/>
      <c r="N19" s="401"/>
      <c r="O19" s="401"/>
      <c r="P19" s="402"/>
      <c r="Q19" s="314"/>
      <c r="R19" s="568">
        <v>162</v>
      </c>
      <c r="S19" s="571">
        <f>8950.4+5609.6+116.96+73.3</f>
        <v>14750.259999999998</v>
      </c>
      <c r="T19" s="571">
        <f>S19*1.1</f>
        <v>16225.286</v>
      </c>
      <c r="U19" s="574">
        <f>T19/R19</f>
        <v>100.15608641975308</v>
      </c>
      <c r="V19" s="409"/>
      <c r="W19" s="568">
        <v>33</v>
      </c>
      <c r="X19" s="571">
        <f>1846.02+1156.98</f>
        <v>3003</v>
      </c>
      <c r="Y19" s="571">
        <f>X19*1.1</f>
        <v>3303.3</v>
      </c>
      <c r="Z19" s="574">
        <f>Y19/W19</f>
        <v>100.10000000000001</v>
      </c>
      <c r="AA19" s="303"/>
      <c r="AB19" s="343" t="s">
        <v>112</v>
      </c>
      <c r="AC19" s="303">
        <v>2020</v>
      </c>
      <c r="AD19" s="303"/>
      <c r="AE19" s="303"/>
    </row>
    <row r="20" spans="1:31" x14ac:dyDescent="0.25">
      <c r="A20" s="303"/>
      <c r="B20" s="343" t="s">
        <v>113</v>
      </c>
      <c r="C20" s="396">
        <v>14.90415</v>
      </c>
      <c r="D20" s="397">
        <f t="shared" si="0"/>
        <v>11697.520661157025</v>
      </c>
      <c r="E20" s="403">
        <v>14154</v>
      </c>
      <c r="F20" s="391">
        <f t="shared" si="1"/>
        <v>949.66838095429796</v>
      </c>
      <c r="G20" s="314"/>
      <c r="H20" s="399">
        <v>54.195999999999998</v>
      </c>
      <c r="I20" s="356">
        <f t="shared" si="2"/>
        <v>136240.50413223141</v>
      </c>
      <c r="J20" s="357">
        <v>164851.01</v>
      </c>
      <c r="K20" s="349">
        <f t="shared" si="3"/>
        <v>3041.7560336556207</v>
      </c>
      <c r="L20" s="314"/>
      <c r="M20" s="400"/>
      <c r="N20" s="401"/>
      <c r="O20" s="401"/>
      <c r="P20" s="402"/>
      <c r="Q20" s="314"/>
      <c r="R20" s="569"/>
      <c r="S20" s="572"/>
      <c r="T20" s="572"/>
      <c r="U20" s="575"/>
      <c r="V20" s="409"/>
      <c r="W20" s="569"/>
      <c r="X20" s="572"/>
      <c r="Y20" s="572"/>
      <c r="Z20" s="575"/>
      <c r="AA20" s="303"/>
      <c r="AB20" s="343" t="s">
        <v>113</v>
      </c>
      <c r="AC20" s="303"/>
      <c r="AD20" s="303"/>
      <c r="AE20" s="303"/>
    </row>
    <row r="21" spans="1:31" x14ac:dyDescent="0.25">
      <c r="A21" s="303"/>
      <c r="B21" s="343" t="s">
        <v>114</v>
      </c>
      <c r="C21" s="396">
        <v>15.84233</v>
      </c>
      <c r="D21" s="397">
        <f t="shared" si="0"/>
        <v>12382.388429752067</v>
      </c>
      <c r="E21" s="403">
        <v>14982.69</v>
      </c>
      <c r="F21" s="391">
        <f t="shared" si="1"/>
        <v>945.73777973315794</v>
      </c>
      <c r="G21" s="314"/>
      <c r="H21" s="399">
        <v>21.669</v>
      </c>
      <c r="I21" s="356">
        <f t="shared" si="2"/>
        <v>69320.636363636368</v>
      </c>
      <c r="J21" s="357">
        <v>83877.97</v>
      </c>
      <c r="K21" s="349">
        <f t="shared" si="3"/>
        <v>3870.8740597166457</v>
      </c>
      <c r="L21" s="314"/>
      <c r="M21" s="400"/>
      <c r="N21" s="401"/>
      <c r="O21" s="401"/>
      <c r="P21" s="402"/>
      <c r="Q21" s="314"/>
      <c r="R21" s="569"/>
      <c r="S21" s="572"/>
      <c r="T21" s="572"/>
      <c r="U21" s="575"/>
      <c r="V21" s="409"/>
      <c r="W21" s="569"/>
      <c r="X21" s="572"/>
      <c r="Y21" s="572"/>
      <c r="Z21" s="575"/>
      <c r="AA21" s="303"/>
      <c r="AB21" s="343" t="s">
        <v>114</v>
      </c>
      <c r="AC21" s="303"/>
      <c r="AD21" s="303"/>
      <c r="AE21" s="303"/>
    </row>
    <row r="22" spans="1:31" x14ac:dyDescent="0.25">
      <c r="A22" s="303"/>
      <c r="B22" s="343" t="s">
        <v>115</v>
      </c>
      <c r="C22" s="396">
        <v>7.9638099999999996</v>
      </c>
      <c r="D22" s="397">
        <f t="shared" si="0"/>
        <v>6631.0661157024797</v>
      </c>
      <c r="E22" s="403">
        <v>8023.59</v>
      </c>
      <c r="F22" s="391">
        <f t="shared" si="1"/>
        <v>1007.5064573363755</v>
      </c>
      <c r="G22" s="314"/>
      <c r="H22" s="399">
        <v>6.1390000000000002</v>
      </c>
      <c r="I22" s="356">
        <f t="shared" si="2"/>
        <v>36123.297520661159</v>
      </c>
      <c r="J22" s="357">
        <v>43709.19</v>
      </c>
      <c r="K22" s="349">
        <f t="shared" si="3"/>
        <v>7119.9201824401371</v>
      </c>
      <c r="L22" s="314"/>
      <c r="M22" s="400"/>
      <c r="N22" s="401"/>
      <c r="O22" s="401"/>
      <c r="P22" s="402"/>
      <c r="Q22" s="314"/>
      <c r="R22" s="570"/>
      <c r="S22" s="573"/>
      <c r="T22" s="573"/>
      <c r="U22" s="576"/>
      <c r="V22" s="409"/>
      <c r="W22" s="570"/>
      <c r="X22" s="573"/>
      <c r="Y22" s="573"/>
      <c r="Z22" s="576"/>
      <c r="AA22" s="303"/>
      <c r="AB22" s="343" t="s">
        <v>115</v>
      </c>
      <c r="AC22" s="303"/>
      <c r="AD22" s="303"/>
      <c r="AE22" s="303"/>
    </row>
    <row r="23" spans="1:31" x14ac:dyDescent="0.25">
      <c r="A23" s="303"/>
      <c r="B23" s="343" t="s">
        <v>116</v>
      </c>
      <c r="C23" s="410">
        <v>5.9898600000000002</v>
      </c>
      <c r="D23" s="397">
        <f t="shared" si="0"/>
        <v>3911.231404958678</v>
      </c>
      <c r="E23" s="403">
        <v>4732.59</v>
      </c>
      <c r="F23" s="391">
        <f t="shared" si="1"/>
        <v>790.10026945537959</v>
      </c>
      <c r="G23" s="314"/>
      <c r="H23" s="399">
        <v>3.6349999999999998</v>
      </c>
      <c r="I23" s="356">
        <f t="shared" si="2"/>
        <v>27936.743801652894</v>
      </c>
      <c r="J23" s="357">
        <v>33803.46</v>
      </c>
      <c r="K23" s="349">
        <f t="shared" si="3"/>
        <v>9299.4387895460804</v>
      </c>
      <c r="L23" s="314"/>
      <c r="M23" s="400"/>
      <c r="N23" s="401"/>
      <c r="O23" s="401"/>
      <c r="P23" s="402"/>
      <c r="Q23" s="314"/>
      <c r="R23" s="568">
        <v>208</v>
      </c>
      <c r="S23" s="571">
        <f>12163.84+7623.2</f>
        <v>19787.04</v>
      </c>
      <c r="T23" s="571">
        <f>S23*1.1</f>
        <v>21765.744000000002</v>
      </c>
      <c r="U23" s="574">
        <f>T23/R23</f>
        <v>104.64300000000001</v>
      </c>
      <c r="V23" s="303"/>
      <c r="W23" s="568">
        <v>35</v>
      </c>
      <c r="X23" s="571">
        <f>2046.8+1282.75</f>
        <v>3329.55</v>
      </c>
      <c r="Y23" s="571">
        <f>X23*1.1</f>
        <v>3662.5050000000006</v>
      </c>
      <c r="Z23" s="574">
        <f>Y23/W23</f>
        <v>104.64300000000001</v>
      </c>
      <c r="AA23" s="303"/>
      <c r="AB23" s="343" t="s">
        <v>116</v>
      </c>
      <c r="AC23" s="303"/>
      <c r="AD23" s="303"/>
      <c r="AE23" s="303"/>
    </row>
    <row r="24" spans="1:31" x14ac:dyDescent="0.25">
      <c r="A24" s="303"/>
      <c r="B24" s="343" t="s">
        <v>117</v>
      </c>
      <c r="C24" s="396">
        <v>0.76083000000000001</v>
      </c>
      <c r="D24" s="397">
        <f t="shared" si="0"/>
        <v>806.3115702479339</v>
      </c>
      <c r="E24" s="403">
        <v>975.63699999999994</v>
      </c>
      <c r="F24" s="391">
        <f t="shared" si="1"/>
        <v>1282.3324527161126</v>
      </c>
      <c r="G24" s="314"/>
      <c r="H24" s="399">
        <v>4.6689999999999996</v>
      </c>
      <c r="I24" s="356">
        <f t="shared" si="2"/>
        <v>30258.553719008265</v>
      </c>
      <c r="J24" s="357">
        <v>36612.85</v>
      </c>
      <c r="K24" s="349">
        <f t="shared" si="3"/>
        <v>7841.6898693510393</v>
      </c>
      <c r="L24" s="314"/>
      <c r="M24" s="400"/>
      <c r="N24" s="401"/>
      <c r="O24" s="401"/>
      <c r="P24" s="402"/>
      <c r="Q24" s="314"/>
      <c r="R24" s="569"/>
      <c r="S24" s="572"/>
      <c r="T24" s="572"/>
      <c r="U24" s="575"/>
      <c r="V24" s="303"/>
      <c r="W24" s="569"/>
      <c r="X24" s="572"/>
      <c r="Y24" s="572"/>
      <c r="Z24" s="575"/>
      <c r="AA24" s="303"/>
      <c r="AB24" s="343" t="s">
        <v>117</v>
      </c>
      <c r="AC24" s="303"/>
      <c r="AD24" s="303"/>
      <c r="AE24" s="303"/>
    </row>
    <row r="25" spans="1:31" x14ac:dyDescent="0.25">
      <c r="A25" s="303"/>
      <c r="B25" s="343" t="s">
        <v>118</v>
      </c>
      <c r="C25" s="396">
        <v>0.52507999999999999</v>
      </c>
      <c r="D25" s="397">
        <f t="shared" si="0"/>
        <v>656.69421487603313</v>
      </c>
      <c r="E25" s="403">
        <v>794.6</v>
      </c>
      <c r="F25" s="391">
        <f t="shared" si="1"/>
        <v>1513.2932124628628</v>
      </c>
      <c r="G25" s="314"/>
      <c r="H25" s="411">
        <v>0.114</v>
      </c>
      <c r="I25" s="412">
        <f t="shared" si="2"/>
        <v>1531.611570247934</v>
      </c>
      <c r="J25" s="413">
        <v>1853.25</v>
      </c>
      <c r="K25" s="349">
        <f t="shared" si="3"/>
        <v>16256.57894736842</v>
      </c>
      <c r="L25" s="314"/>
      <c r="M25" s="414">
        <v>1.89</v>
      </c>
      <c r="N25" s="384">
        <f>O25/1.21</f>
        <v>24600.652892561986</v>
      </c>
      <c r="O25" s="415">
        <v>29766.79</v>
      </c>
      <c r="P25" s="349">
        <f>O25/M25</f>
        <v>15749.62433862434</v>
      </c>
      <c r="Q25" s="314"/>
      <c r="R25" s="569"/>
      <c r="S25" s="572"/>
      <c r="T25" s="572"/>
      <c r="U25" s="575"/>
      <c r="V25" s="303"/>
      <c r="W25" s="569"/>
      <c r="X25" s="572"/>
      <c r="Y25" s="572"/>
      <c r="Z25" s="575"/>
      <c r="AA25" s="303"/>
      <c r="AB25" s="343" t="s">
        <v>118</v>
      </c>
      <c r="AC25" s="303"/>
      <c r="AD25" s="303"/>
      <c r="AE25" s="303"/>
    </row>
    <row r="26" spans="1:31" x14ac:dyDescent="0.25">
      <c r="A26" s="303"/>
      <c r="B26" s="343" t="s">
        <v>119</v>
      </c>
      <c r="C26" s="396">
        <v>0.42864000000000002</v>
      </c>
      <c r="D26" s="397">
        <f t="shared" si="0"/>
        <v>595.48760330578511</v>
      </c>
      <c r="E26" s="403">
        <v>720.54</v>
      </c>
      <c r="F26" s="391">
        <f t="shared" si="1"/>
        <v>1680.9910414333706</v>
      </c>
      <c r="G26" s="314"/>
      <c r="H26" s="416"/>
      <c r="I26" s="417"/>
      <c r="J26" s="417"/>
      <c r="K26" s="418"/>
      <c r="L26" s="314"/>
      <c r="M26" s="399">
        <v>2.8460000000000001</v>
      </c>
      <c r="N26" s="382">
        <f t="shared" ref="N26:N42" si="4">O26/1.21</f>
        <v>27341.586776859505</v>
      </c>
      <c r="O26" s="357">
        <v>33083.32</v>
      </c>
      <c r="P26" s="349">
        <f t="shared" ref="P26:P42" si="5">O26/M26</f>
        <v>11624.497540407589</v>
      </c>
      <c r="Q26" s="314"/>
      <c r="R26" s="569"/>
      <c r="S26" s="572"/>
      <c r="T26" s="572"/>
      <c r="U26" s="575"/>
      <c r="V26" s="303"/>
      <c r="W26" s="569"/>
      <c r="X26" s="572"/>
      <c r="Y26" s="572"/>
      <c r="Z26" s="575"/>
      <c r="AA26" s="303"/>
      <c r="AB26" s="343" t="s">
        <v>119</v>
      </c>
      <c r="AC26" s="303"/>
      <c r="AD26" s="303"/>
      <c r="AE26" s="303"/>
    </row>
    <row r="27" spans="1:31" x14ac:dyDescent="0.25">
      <c r="A27" s="303"/>
      <c r="B27" s="343" t="s">
        <v>120</v>
      </c>
      <c r="C27" s="396">
        <v>1.0287299999999999</v>
      </c>
      <c r="D27" s="397">
        <f t="shared" si="0"/>
        <v>982.10702479338852</v>
      </c>
      <c r="E27" s="403">
        <v>1188.3495</v>
      </c>
      <c r="F27" s="391">
        <f t="shared" si="1"/>
        <v>1155.1617042372636</v>
      </c>
      <c r="G27" s="314"/>
      <c r="H27" s="419"/>
      <c r="I27" s="420"/>
      <c r="J27" s="420"/>
      <c r="K27" s="418"/>
      <c r="L27" s="314"/>
      <c r="M27" s="399">
        <v>12.544</v>
      </c>
      <c r="N27" s="382">
        <f t="shared" si="4"/>
        <v>48128.793388429753</v>
      </c>
      <c r="O27" s="357">
        <v>58235.839999999997</v>
      </c>
      <c r="P27" s="349">
        <f t="shared" si="5"/>
        <v>4642.525510204081</v>
      </c>
      <c r="Q27" s="314"/>
      <c r="R27" s="569"/>
      <c r="S27" s="572"/>
      <c r="T27" s="572"/>
      <c r="U27" s="575"/>
      <c r="V27" s="303"/>
      <c r="W27" s="569"/>
      <c r="X27" s="572"/>
      <c r="Y27" s="572"/>
      <c r="Z27" s="575"/>
      <c r="AA27" s="303"/>
      <c r="AB27" s="343" t="s">
        <v>120</v>
      </c>
      <c r="AC27" s="303"/>
      <c r="AD27" s="303"/>
      <c r="AE27" s="303"/>
    </row>
    <row r="28" spans="1:31" x14ac:dyDescent="0.25">
      <c r="A28" s="303"/>
      <c r="B28" s="343" t="s">
        <v>121</v>
      </c>
      <c r="C28" s="396">
        <v>3.6648299999999998</v>
      </c>
      <c r="D28" s="397">
        <f t="shared" si="0"/>
        <v>2649.9752066115702</v>
      </c>
      <c r="E28" s="403">
        <v>3206.47</v>
      </c>
      <c r="F28" s="391">
        <f t="shared" si="1"/>
        <v>874.93007861210481</v>
      </c>
      <c r="G28" s="314"/>
      <c r="H28" s="419"/>
      <c r="I28" s="420"/>
      <c r="J28" s="420"/>
      <c r="K28" s="418"/>
      <c r="L28" s="314"/>
      <c r="M28" s="399">
        <v>23.791</v>
      </c>
      <c r="N28" s="382">
        <f t="shared" si="4"/>
        <v>71961.206611570247</v>
      </c>
      <c r="O28" s="357">
        <v>87073.06</v>
      </c>
      <c r="P28" s="349">
        <f t="shared" si="5"/>
        <v>3659.9159345971166</v>
      </c>
      <c r="Q28" s="314"/>
      <c r="R28" s="570"/>
      <c r="S28" s="573"/>
      <c r="T28" s="573"/>
      <c r="U28" s="576"/>
      <c r="V28" s="303"/>
      <c r="W28" s="570"/>
      <c r="X28" s="573"/>
      <c r="Y28" s="573"/>
      <c r="Z28" s="576"/>
      <c r="AA28" s="303"/>
      <c r="AB28" s="343" t="s">
        <v>121</v>
      </c>
      <c r="AC28" s="303"/>
      <c r="AD28" s="303"/>
      <c r="AE28" s="303"/>
    </row>
    <row r="29" spans="1:31" x14ac:dyDescent="0.25">
      <c r="A29" s="303"/>
      <c r="B29" s="343" t="s">
        <v>122</v>
      </c>
      <c r="C29" s="396">
        <v>6.9438899999999997</v>
      </c>
      <c r="D29" s="397">
        <f t="shared" si="0"/>
        <v>4730.7504132231406</v>
      </c>
      <c r="E29" s="403">
        <v>5724.2079999999996</v>
      </c>
      <c r="F29" s="391">
        <f t="shared" si="1"/>
        <v>824.35176824517669</v>
      </c>
      <c r="G29" s="314"/>
      <c r="H29" s="419"/>
      <c r="I29" s="420"/>
      <c r="J29" s="420"/>
      <c r="K29" s="418"/>
      <c r="L29" s="314"/>
      <c r="M29" s="399">
        <v>34.573999999999998</v>
      </c>
      <c r="N29" s="382">
        <f t="shared" si="4"/>
        <v>94871.512396694219</v>
      </c>
      <c r="O29" s="357">
        <v>114794.53</v>
      </c>
      <c r="P29" s="349">
        <f t="shared" si="5"/>
        <v>3320.2559726962459</v>
      </c>
      <c r="Q29" s="314"/>
      <c r="R29" s="568">
        <v>0</v>
      </c>
      <c r="S29" s="571">
        <v>0</v>
      </c>
      <c r="T29" s="571">
        <f>S29*1.1</f>
        <v>0</v>
      </c>
      <c r="U29" s="574" t="e">
        <f>T29/R29</f>
        <v>#DIV/0!</v>
      </c>
      <c r="V29" s="303"/>
      <c r="W29" s="568">
        <v>3</v>
      </c>
      <c r="X29" s="571">
        <f>526.32+329.85</f>
        <v>856.17000000000007</v>
      </c>
      <c r="Y29" s="571">
        <f>X29*1.1</f>
        <v>941.78700000000015</v>
      </c>
      <c r="Z29" s="574">
        <f>Y29/W29</f>
        <v>313.92900000000003</v>
      </c>
      <c r="AA29" s="303"/>
      <c r="AB29" s="343" t="s">
        <v>122</v>
      </c>
      <c r="AC29" s="303"/>
      <c r="AD29" s="303"/>
      <c r="AE29" s="303"/>
    </row>
    <row r="30" spans="1:31" x14ac:dyDescent="0.25">
      <c r="A30" s="303"/>
      <c r="B30" s="343" t="s">
        <v>123</v>
      </c>
      <c r="C30" s="404">
        <v>9.2478099999999994</v>
      </c>
      <c r="D30" s="405">
        <f t="shared" si="0"/>
        <v>6184.2231404958675</v>
      </c>
      <c r="E30" s="406">
        <v>7482.91</v>
      </c>
      <c r="F30" s="391">
        <f t="shared" si="1"/>
        <v>809.15481611322036</v>
      </c>
      <c r="G30" s="314"/>
      <c r="H30" s="419"/>
      <c r="I30" s="420"/>
      <c r="J30" s="420"/>
      <c r="K30" s="418"/>
      <c r="L30" s="314"/>
      <c r="M30" s="407">
        <v>45.15</v>
      </c>
      <c r="N30" s="375">
        <f t="shared" si="4"/>
        <v>114979.87603305785</v>
      </c>
      <c r="O30" s="363">
        <v>139125.65</v>
      </c>
      <c r="P30" s="349">
        <f t="shared" si="5"/>
        <v>3081.4097452934661</v>
      </c>
      <c r="Q30" s="314"/>
      <c r="R30" s="570"/>
      <c r="S30" s="573"/>
      <c r="T30" s="573"/>
      <c r="U30" s="576"/>
      <c r="V30" s="303"/>
      <c r="W30" s="570"/>
      <c r="X30" s="573"/>
      <c r="Y30" s="573"/>
      <c r="Z30" s="576"/>
      <c r="AA30" s="303"/>
      <c r="AB30" s="343" t="s">
        <v>123</v>
      </c>
      <c r="AC30" s="303"/>
      <c r="AD30" s="303"/>
      <c r="AE30" s="303"/>
    </row>
    <row r="31" spans="1:31" x14ac:dyDescent="0.25">
      <c r="A31" s="303">
        <v>2021</v>
      </c>
      <c r="B31" s="343" t="s">
        <v>112</v>
      </c>
      <c r="C31" s="388">
        <v>10.82305</v>
      </c>
      <c r="D31" s="389">
        <f t="shared" si="0"/>
        <v>7234.1685950413221</v>
      </c>
      <c r="E31" s="408">
        <v>8753.3439999999991</v>
      </c>
      <c r="F31" s="391">
        <f t="shared" si="1"/>
        <v>808.76869274372746</v>
      </c>
      <c r="G31" s="314"/>
      <c r="H31" s="419"/>
      <c r="I31" s="420"/>
      <c r="J31" s="420"/>
      <c r="K31" s="418"/>
      <c r="L31" s="314"/>
      <c r="M31" s="392">
        <v>47.445995370370369</v>
      </c>
      <c r="N31" s="366">
        <f t="shared" si="4"/>
        <v>116041.32231404958</v>
      </c>
      <c r="O31" s="348">
        <v>140410</v>
      </c>
      <c r="P31" s="349">
        <f t="shared" si="5"/>
        <v>2959.3646187405075</v>
      </c>
      <c r="Q31" s="314"/>
      <c r="R31" s="368"/>
      <c r="S31" s="369"/>
      <c r="T31" s="369"/>
      <c r="U31" s="370"/>
      <c r="V31" s="303"/>
      <c r="W31" s="568">
        <v>10</v>
      </c>
      <c r="X31" s="571">
        <f>596.5+373.9</f>
        <v>970.4</v>
      </c>
      <c r="Y31" s="571">
        <f>X31*1.1</f>
        <v>1067.44</v>
      </c>
      <c r="Z31" s="574">
        <f>Y31/W31</f>
        <v>106.744</v>
      </c>
      <c r="AA31" s="303"/>
      <c r="AB31" s="343" t="s">
        <v>112</v>
      </c>
      <c r="AC31" s="303">
        <v>2021</v>
      </c>
      <c r="AD31" s="303"/>
      <c r="AE31" s="303"/>
    </row>
    <row r="32" spans="1:31" x14ac:dyDescent="0.25">
      <c r="A32" s="303"/>
      <c r="B32" s="343" t="s">
        <v>113</v>
      </c>
      <c r="C32" s="396">
        <v>10.14794</v>
      </c>
      <c r="D32" s="397">
        <f t="shared" si="0"/>
        <v>6764.4297520661157</v>
      </c>
      <c r="E32" s="403">
        <v>8184.96</v>
      </c>
      <c r="F32" s="391">
        <f t="shared" si="1"/>
        <v>806.5636966714427</v>
      </c>
      <c r="G32" s="314"/>
      <c r="H32" s="419"/>
      <c r="I32" s="420"/>
      <c r="J32" s="420"/>
      <c r="K32" s="418"/>
      <c r="L32" s="314"/>
      <c r="M32" s="399">
        <v>37.003</v>
      </c>
      <c r="N32" s="369">
        <f t="shared" si="4"/>
        <v>95728.702479338841</v>
      </c>
      <c r="O32" s="357">
        <v>115831.73</v>
      </c>
      <c r="P32" s="349">
        <f t="shared" si="5"/>
        <v>3130.3334864740696</v>
      </c>
      <c r="Q32" s="314"/>
      <c r="R32" s="368"/>
      <c r="S32" s="369"/>
      <c r="T32" s="369"/>
      <c r="U32" s="370"/>
      <c r="V32" s="303"/>
      <c r="W32" s="570"/>
      <c r="X32" s="573"/>
      <c r="Y32" s="573"/>
      <c r="Z32" s="576"/>
      <c r="AA32" s="303"/>
      <c r="AB32" s="343" t="s">
        <v>113</v>
      </c>
      <c r="AC32" s="303"/>
      <c r="AD32" s="303"/>
      <c r="AE32" s="303"/>
    </row>
    <row r="33" spans="1:31" x14ac:dyDescent="0.25">
      <c r="A33" s="303"/>
      <c r="B33" s="343" t="s">
        <v>114</v>
      </c>
      <c r="C33" s="396">
        <v>8.9263300000000001</v>
      </c>
      <c r="D33" s="397">
        <f t="shared" si="0"/>
        <v>5988.6578512396691</v>
      </c>
      <c r="E33" s="403">
        <v>7246.2759999999998</v>
      </c>
      <c r="F33" s="391">
        <f t="shared" si="1"/>
        <v>811.78670293390451</v>
      </c>
      <c r="G33" s="314"/>
      <c r="H33" s="419"/>
      <c r="I33" s="420"/>
      <c r="J33" s="420"/>
      <c r="K33" s="418"/>
      <c r="L33" s="314"/>
      <c r="M33" s="399">
        <v>37.003</v>
      </c>
      <c r="N33" s="369">
        <f t="shared" si="4"/>
        <v>96409.090909090912</v>
      </c>
      <c r="O33" s="357">
        <v>116655</v>
      </c>
      <c r="P33" s="349">
        <f t="shared" si="5"/>
        <v>3152.5822230629947</v>
      </c>
      <c r="Q33" s="314"/>
      <c r="R33" s="368"/>
      <c r="S33" s="369"/>
      <c r="T33" s="369"/>
      <c r="U33" s="370"/>
      <c r="V33" s="303"/>
      <c r="W33" s="368"/>
      <c r="X33" s="369"/>
      <c r="Y33" s="369"/>
      <c r="Z33" s="370"/>
      <c r="AA33" s="303"/>
      <c r="AB33" s="343" t="s">
        <v>114</v>
      </c>
      <c r="AC33" s="303"/>
      <c r="AD33" s="303"/>
      <c r="AE33" s="303"/>
    </row>
    <row r="34" spans="1:31" x14ac:dyDescent="0.25">
      <c r="A34" s="303"/>
      <c r="B34" s="343" t="s">
        <v>115</v>
      </c>
      <c r="C34" s="396">
        <v>6.1509200000000002</v>
      </c>
      <c r="D34" s="397">
        <f t="shared" si="0"/>
        <v>4227.3140495867774</v>
      </c>
      <c r="E34" s="403">
        <v>5115.05</v>
      </c>
      <c r="F34" s="391">
        <f t="shared" si="1"/>
        <v>831.59104654263103</v>
      </c>
      <c r="G34" s="314"/>
      <c r="H34" s="419"/>
      <c r="I34" s="420"/>
      <c r="J34" s="420"/>
      <c r="K34" s="418"/>
      <c r="L34" s="314"/>
      <c r="M34" s="399">
        <v>37.347000000000001</v>
      </c>
      <c r="N34" s="369">
        <f t="shared" si="4"/>
        <v>94360.082644628099</v>
      </c>
      <c r="O34" s="357">
        <v>114175.7</v>
      </c>
      <c r="P34" s="349">
        <f t="shared" si="5"/>
        <v>3057.1585401772563</v>
      </c>
      <c r="Q34" s="314"/>
      <c r="R34" s="368"/>
      <c r="S34" s="369"/>
      <c r="T34" s="369"/>
      <c r="U34" s="370"/>
      <c r="V34" s="303"/>
      <c r="W34" s="368"/>
      <c r="X34" s="369"/>
      <c r="Y34" s="369"/>
      <c r="Z34" s="370"/>
      <c r="AA34" s="303"/>
      <c r="AB34" s="343" t="s">
        <v>115</v>
      </c>
      <c r="AC34" s="303"/>
      <c r="AD34" s="303"/>
      <c r="AE34" s="303"/>
    </row>
    <row r="35" spans="1:31" x14ac:dyDescent="0.25">
      <c r="A35" s="303"/>
      <c r="B35" s="343" t="s">
        <v>116</v>
      </c>
      <c r="C35" s="396">
        <f>1.87528+1.83253</f>
        <v>3.7078100000000003</v>
      </c>
      <c r="D35" s="397">
        <f t="shared" si="0"/>
        <v>5093.7636363636375</v>
      </c>
      <c r="E35" s="403">
        <f>1847.564+4315.89</f>
        <v>6163.4540000000006</v>
      </c>
      <c r="F35" s="391">
        <f t="shared" si="1"/>
        <v>1662.289599521011</v>
      </c>
      <c r="G35" s="314"/>
      <c r="H35" s="419"/>
      <c r="I35" s="420"/>
      <c r="J35" s="420"/>
      <c r="K35" s="418"/>
      <c r="L35" s="314"/>
      <c r="M35" s="399">
        <v>26.006</v>
      </c>
      <c r="N35" s="369">
        <f t="shared" si="4"/>
        <v>73632.462809917357</v>
      </c>
      <c r="O35" s="357">
        <v>89095.28</v>
      </c>
      <c r="P35" s="349">
        <f t="shared" si="5"/>
        <v>3425.9509343997538</v>
      </c>
      <c r="Q35" s="314"/>
      <c r="R35" s="368"/>
      <c r="S35" s="369"/>
      <c r="T35" s="369"/>
      <c r="U35" s="370"/>
      <c r="V35" s="303"/>
      <c r="W35" s="368"/>
      <c r="X35" s="369"/>
      <c r="Y35" s="369"/>
      <c r="Z35" s="370"/>
      <c r="AA35" s="303"/>
      <c r="AB35" s="343" t="s">
        <v>116</v>
      </c>
      <c r="AC35" s="303"/>
      <c r="AD35" s="303"/>
      <c r="AE35" s="303"/>
    </row>
    <row r="36" spans="1:31" x14ac:dyDescent="0.25">
      <c r="A36" s="303"/>
      <c r="B36" s="343" t="s">
        <v>117</v>
      </c>
      <c r="C36" s="396">
        <v>0.88946999999999998</v>
      </c>
      <c r="D36" s="397">
        <f t="shared" si="0"/>
        <v>2645.0253345833517</v>
      </c>
      <c r="E36" s="398">
        <v>3200.4806548458555</v>
      </c>
      <c r="F36" s="391">
        <f t="shared" si="1"/>
        <v>3598.1884210213448</v>
      </c>
      <c r="G36" s="314"/>
      <c r="H36" s="419"/>
      <c r="I36" s="420"/>
      <c r="J36" s="420"/>
      <c r="K36" s="418"/>
      <c r="L36" s="314"/>
      <c r="M36" s="399">
        <v>7.9690000000000003</v>
      </c>
      <c r="N36" s="369">
        <f t="shared" si="4"/>
        <v>36960.89256198347</v>
      </c>
      <c r="O36" s="357">
        <v>44722.68</v>
      </c>
      <c r="P36" s="349">
        <f t="shared" si="5"/>
        <v>5612.0818170410339</v>
      </c>
      <c r="Q36" s="314"/>
      <c r="R36" s="368"/>
      <c r="S36" s="369"/>
      <c r="T36" s="369"/>
      <c r="U36" s="370"/>
      <c r="V36" s="303"/>
      <c r="W36" s="368"/>
      <c r="X36" s="369"/>
      <c r="Y36" s="369"/>
      <c r="Z36" s="370"/>
      <c r="AA36" s="303"/>
      <c r="AB36" s="343" t="s">
        <v>117</v>
      </c>
      <c r="AC36" s="303"/>
      <c r="AD36" s="303"/>
      <c r="AE36" s="303"/>
    </row>
    <row r="37" spans="1:31" x14ac:dyDescent="0.25">
      <c r="A37" s="303"/>
      <c r="B37" s="343" t="s">
        <v>118</v>
      </c>
      <c r="C37" s="396">
        <v>0.48224</v>
      </c>
      <c r="D37" s="397">
        <f t="shared" si="0"/>
        <v>1925.5499928343115</v>
      </c>
      <c r="E37" s="398">
        <v>2329.915491329517</v>
      </c>
      <c r="F37" s="391">
        <f t="shared" si="1"/>
        <v>4831.4438688817127</v>
      </c>
      <c r="G37" s="314"/>
      <c r="H37" s="419"/>
      <c r="I37" s="420"/>
      <c r="J37" s="420"/>
      <c r="K37" s="418"/>
      <c r="L37" s="314"/>
      <c r="M37" s="399">
        <v>2.2400000000000002</v>
      </c>
      <c r="N37" s="369">
        <f t="shared" si="4"/>
        <v>25109.14049586777</v>
      </c>
      <c r="O37" s="357">
        <v>30382.06</v>
      </c>
      <c r="P37" s="349">
        <f t="shared" si="5"/>
        <v>13563.419642857141</v>
      </c>
      <c r="Q37" s="314"/>
      <c r="R37" s="368"/>
      <c r="S37" s="369"/>
      <c r="T37" s="369"/>
      <c r="U37" s="370"/>
      <c r="V37" s="303"/>
      <c r="W37" s="368"/>
      <c r="X37" s="369"/>
      <c r="Y37" s="369"/>
      <c r="Z37" s="370"/>
      <c r="AA37" s="303"/>
      <c r="AB37" s="343" t="s">
        <v>118</v>
      </c>
      <c r="AC37" s="303"/>
      <c r="AD37" s="303"/>
      <c r="AE37" s="303"/>
    </row>
    <row r="38" spans="1:31" x14ac:dyDescent="0.25">
      <c r="A38" s="303"/>
      <c r="B38" s="343" t="s">
        <v>119</v>
      </c>
      <c r="C38" s="396">
        <v>1.2323999999999999</v>
      </c>
      <c r="D38" s="397">
        <f t="shared" si="0"/>
        <v>3250.8983767118748</v>
      </c>
      <c r="E38" s="398">
        <v>3933.5870358213683</v>
      </c>
      <c r="F38" s="391">
        <f t="shared" si="1"/>
        <v>3191.8103179335999</v>
      </c>
      <c r="G38" s="314"/>
      <c r="H38" s="419"/>
      <c r="I38" s="420"/>
      <c r="J38" s="420"/>
      <c r="K38" s="418"/>
      <c r="L38" s="314"/>
      <c r="M38" s="399">
        <v>3.6840000000000002</v>
      </c>
      <c r="N38" s="369">
        <f t="shared" si="4"/>
        <v>28079.528925619838</v>
      </c>
      <c r="O38" s="357">
        <v>33976.230000000003</v>
      </c>
      <c r="P38" s="349">
        <f t="shared" si="5"/>
        <v>9222.646579804561</v>
      </c>
      <c r="Q38" s="314"/>
      <c r="R38" s="368"/>
      <c r="S38" s="369"/>
      <c r="T38" s="369"/>
      <c r="U38" s="370"/>
      <c r="V38" s="303"/>
      <c r="W38" s="368"/>
      <c r="X38" s="369"/>
      <c r="Y38" s="369"/>
      <c r="Z38" s="370"/>
      <c r="AA38" s="303"/>
      <c r="AB38" s="343" t="s">
        <v>119</v>
      </c>
      <c r="AC38" s="303"/>
      <c r="AD38" s="303"/>
      <c r="AE38" s="303"/>
    </row>
    <row r="39" spans="1:31" x14ac:dyDescent="0.25">
      <c r="A39" s="303"/>
      <c r="B39" s="343" t="s">
        <v>120</v>
      </c>
      <c r="C39" s="396">
        <v>2.3040600000000002</v>
      </c>
      <c r="D39" s="397">
        <f t="shared" si="0"/>
        <v>5144.2582586920244</v>
      </c>
      <c r="E39" s="398">
        <v>6224.5524930173497</v>
      </c>
      <c r="F39" s="391">
        <f t="shared" si="1"/>
        <v>2701.5583331238549</v>
      </c>
      <c r="G39" s="314"/>
      <c r="H39" s="419"/>
      <c r="I39" s="420"/>
      <c r="J39" s="420"/>
      <c r="K39" s="418"/>
      <c r="L39" s="314"/>
      <c r="M39" s="399">
        <v>7.9180000000000001</v>
      </c>
      <c r="N39" s="369">
        <f t="shared" si="4"/>
        <v>36846.561983471074</v>
      </c>
      <c r="O39" s="357">
        <v>44584.34</v>
      </c>
      <c r="P39" s="349">
        <f t="shared" si="5"/>
        <v>5630.7577671129065</v>
      </c>
      <c r="Q39" s="314"/>
      <c r="R39" s="368"/>
      <c r="S39" s="369"/>
      <c r="T39" s="369"/>
      <c r="U39" s="370"/>
      <c r="V39" s="303"/>
      <c r="W39" s="368"/>
      <c r="X39" s="369"/>
      <c r="Y39" s="369"/>
      <c r="Z39" s="370"/>
      <c r="AA39" s="303"/>
      <c r="AB39" s="343" t="s">
        <v>120</v>
      </c>
      <c r="AC39" s="303"/>
      <c r="AD39" s="303"/>
      <c r="AE39" s="303"/>
    </row>
    <row r="40" spans="1:31" x14ac:dyDescent="0.25">
      <c r="A40" s="303"/>
      <c r="B40" s="343" t="s">
        <v>121</v>
      </c>
      <c r="C40" s="396">
        <v>10.43792</v>
      </c>
      <c r="D40" s="397">
        <f t="shared" si="0"/>
        <v>19514.790152803085</v>
      </c>
      <c r="E40" s="398">
        <v>23612.896084891734</v>
      </c>
      <c r="F40" s="391">
        <f t="shared" si="1"/>
        <v>2262.2223666105638</v>
      </c>
      <c r="G40" s="314"/>
      <c r="H40" s="419"/>
      <c r="I40" s="420"/>
      <c r="J40" s="420"/>
      <c r="K40" s="418"/>
      <c r="L40" s="314"/>
      <c r="M40" s="399">
        <v>35.491</v>
      </c>
      <c r="N40" s="369">
        <f t="shared" si="4"/>
        <v>92888.991735537187</v>
      </c>
      <c r="O40" s="357">
        <v>112395.68</v>
      </c>
      <c r="P40" s="349">
        <f t="shared" si="5"/>
        <v>3166.8783635287818</v>
      </c>
      <c r="Q40" s="314"/>
      <c r="R40" s="368"/>
      <c r="S40" s="369"/>
      <c r="T40" s="369"/>
      <c r="U40" s="370"/>
      <c r="V40" s="303"/>
      <c r="W40" s="368"/>
      <c r="X40" s="369"/>
      <c r="Y40" s="369"/>
      <c r="Z40" s="370"/>
      <c r="AA40" s="303"/>
      <c r="AB40" s="343" t="s">
        <v>121</v>
      </c>
      <c r="AC40" s="303"/>
      <c r="AD40" s="303"/>
      <c r="AE40" s="303"/>
    </row>
    <row r="41" spans="1:31" x14ac:dyDescent="0.25">
      <c r="A41" s="303"/>
      <c r="B41" s="343" t="s">
        <v>122</v>
      </c>
      <c r="C41" s="396">
        <v>18.271730000000002</v>
      </c>
      <c r="D41" s="397">
        <f t="shared" si="0"/>
        <v>33355.20742792292</v>
      </c>
      <c r="E41" s="398">
        <v>40359.80098778673</v>
      </c>
      <c r="F41" s="391">
        <f t="shared" si="1"/>
        <v>2208.865881215776</v>
      </c>
      <c r="G41" s="314"/>
      <c r="H41" s="419"/>
      <c r="I41" s="420"/>
      <c r="J41" s="420"/>
      <c r="K41" s="418"/>
      <c r="L41" s="314"/>
      <c r="M41" s="399">
        <v>58.779000000000003</v>
      </c>
      <c r="N41" s="369">
        <f t="shared" si="4"/>
        <v>110574.17355371901</v>
      </c>
      <c r="O41" s="357">
        <v>133794.75</v>
      </c>
      <c r="P41" s="349">
        <f t="shared" si="5"/>
        <v>2276.2338590312866</v>
      </c>
      <c r="Q41" s="314"/>
      <c r="R41" s="368"/>
      <c r="S41" s="369"/>
      <c r="T41" s="369"/>
      <c r="U41" s="370"/>
      <c r="V41" s="303"/>
      <c r="W41" s="368"/>
      <c r="X41" s="369"/>
      <c r="Y41" s="369"/>
      <c r="Z41" s="370"/>
      <c r="AA41" s="303"/>
      <c r="AB41" s="343" t="s">
        <v>122</v>
      </c>
      <c r="AC41" s="303"/>
      <c r="AD41" s="303"/>
      <c r="AE41" s="303"/>
    </row>
    <row r="42" spans="1:31" x14ac:dyDescent="0.25">
      <c r="A42" s="303"/>
      <c r="B42" s="343" t="s">
        <v>123</v>
      </c>
      <c r="C42" s="404">
        <v>25.730460000000001</v>
      </c>
      <c r="D42" s="405">
        <f t="shared" si="0"/>
        <v>46532.950511103969</v>
      </c>
      <c r="E42" s="421">
        <v>56304.8701184358</v>
      </c>
      <c r="F42" s="391">
        <f t="shared" si="1"/>
        <v>2188.2574240194617</v>
      </c>
      <c r="G42" s="314"/>
      <c r="H42" s="419"/>
      <c r="I42" s="420"/>
      <c r="J42" s="420"/>
      <c r="K42" s="418"/>
      <c r="L42" s="314"/>
      <c r="M42" s="407">
        <v>55.563000000000002</v>
      </c>
      <c r="N42" s="422">
        <f t="shared" si="4"/>
        <v>106408.26446280992</v>
      </c>
      <c r="O42" s="363">
        <v>128754</v>
      </c>
      <c r="P42" s="349">
        <f t="shared" si="5"/>
        <v>2317.2614869607473</v>
      </c>
      <c r="Q42" s="314"/>
      <c r="R42" s="423"/>
      <c r="S42" s="422"/>
      <c r="T42" s="422"/>
      <c r="U42" s="424"/>
      <c r="V42" s="303"/>
      <c r="W42" s="423"/>
      <c r="X42" s="422"/>
      <c r="Y42" s="422"/>
      <c r="Z42" s="424"/>
      <c r="AA42" s="303"/>
      <c r="AB42" s="343" t="s">
        <v>123</v>
      </c>
      <c r="AC42" s="303"/>
      <c r="AD42" s="303"/>
      <c r="AE42" s="303"/>
    </row>
    <row r="44" spans="1:31" x14ac:dyDescent="0.25">
      <c r="B44" s="313">
        <v>2019</v>
      </c>
      <c r="C44" s="430">
        <f>SUM(C7:C18)</f>
        <v>119.51487999999999</v>
      </c>
      <c r="D44" s="430">
        <f>SUM(D7:D18)</f>
        <v>102489.00826446281</v>
      </c>
      <c r="E44" s="430">
        <f>SUM(E7:E18)</f>
        <v>124011.70000000001</v>
      </c>
      <c r="F44" s="430">
        <f>E44/C44</f>
        <v>1037.6256077904277</v>
      </c>
      <c r="G44" s="431"/>
      <c r="H44" s="430">
        <f>SUM(H7:H18)</f>
        <v>433.27700000000004</v>
      </c>
      <c r="I44" s="430">
        <f>SUM(I7:I18)</f>
        <v>870581.37190082634</v>
      </c>
      <c r="J44" s="430">
        <f>SUM(J7:J18)</f>
        <v>1053403.46</v>
      </c>
      <c r="K44" s="430">
        <f>J44/H44</f>
        <v>2431.2471236645374</v>
      </c>
      <c r="R44" s="127">
        <f>SUM(R7:R18)</f>
        <v>923</v>
      </c>
      <c r="S44" s="127">
        <f>SUM(S7:S18)</f>
        <v>79977.95</v>
      </c>
      <c r="T44" s="127">
        <f>SUM(T7:T18)</f>
        <v>91974.642499999987</v>
      </c>
      <c r="U44" s="127">
        <f>T44/R44</f>
        <v>99.64749999999998</v>
      </c>
      <c r="W44" s="127">
        <f>SUM(W7:W18)</f>
        <v>215</v>
      </c>
      <c r="X44" s="127">
        <f>SUM(X7:X18)</f>
        <v>18629.75</v>
      </c>
      <c r="Y44" s="127">
        <f>SUM(Y7:Y18)</f>
        <v>21424.212500000001</v>
      </c>
      <c r="Z44" s="127">
        <f>Y44/W44</f>
        <v>99.647500000000008</v>
      </c>
    </row>
    <row r="45" spans="1:31" x14ac:dyDescent="0.25">
      <c r="B45" s="313">
        <v>2020</v>
      </c>
      <c r="C45" s="430">
        <f>SUM(C19:C30)</f>
        <v>88.504779999999997</v>
      </c>
      <c r="D45" s="430">
        <f>SUM(D19:D30)</f>
        <v>67524.764049586782</v>
      </c>
      <c r="E45" s="430">
        <f>SUM(E19:E30)</f>
        <v>81704.964500000002</v>
      </c>
      <c r="F45" s="430">
        <f>E45/C45</f>
        <v>923.1700762376903</v>
      </c>
      <c r="G45" s="431"/>
      <c r="H45" s="430">
        <f>SUM(H19:H25,M25:M30)</f>
        <v>286.274</v>
      </c>
      <c r="I45" s="430">
        <f>SUM(I19:I25,N25:N30)</f>
        <v>857150.47933884303</v>
      </c>
      <c r="J45" s="430">
        <f>SUM(J19:J25,O25:O30)</f>
        <v>1037152.08</v>
      </c>
      <c r="K45" s="430">
        <f>J45/H45</f>
        <v>3622.9349504321035</v>
      </c>
      <c r="R45" s="127">
        <f>SUM(R19:R30)</f>
        <v>370</v>
      </c>
      <c r="S45" s="127">
        <f>SUM(S19:S30)</f>
        <v>34537.300000000003</v>
      </c>
      <c r="T45" s="127">
        <f>SUM(T19:T30)</f>
        <v>37991.03</v>
      </c>
      <c r="U45" s="127">
        <f>T45/R45</f>
        <v>102.67845945945946</v>
      </c>
      <c r="W45" s="127">
        <f>SUM(W19:W30)</f>
        <v>71</v>
      </c>
      <c r="X45" s="127">
        <f>SUM(X19:X30)</f>
        <v>7188.72</v>
      </c>
      <c r="Y45" s="127">
        <f>SUM(Y19:Y30)</f>
        <v>7907.5920000000006</v>
      </c>
      <c r="Z45" s="127">
        <f>Y45/W45</f>
        <v>111.37453521126761</v>
      </c>
    </row>
    <row r="46" spans="1:31" x14ac:dyDescent="0.25">
      <c r="B46" s="313">
        <v>2021</v>
      </c>
      <c r="C46" s="430">
        <f>SUM(C31:C42)</f>
        <v>99.104330000000004</v>
      </c>
      <c r="D46" s="430">
        <f>SUM(D31:D42)</f>
        <v>141677.01393894907</v>
      </c>
      <c r="E46" s="430">
        <f>SUM(E31:E42)</f>
        <v>171429.18686612835</v>
      </c>
      <c r="F46" s="430">
        <f>E46/C46</f>
        <v>1729.7850342777995</v>
      </c>
      <c r="G46" s="431"/>
      <c r="H46" s="430">
        <f>SUM(M31:M42)</f>
        <v>356.44899537037037</v>
      </c>
      <c r="I46" s="430">
        <f>SUM(N31:N42)</f>
        <v>913039.21487603302</v>
      </c>
      <c r="J46" s="430">
        <f>SUM(O31:O42)</f>
        <v>1104777.45</v>
      </c>
      <c r="K46" s="430">
        <f>J46/H46</f>
        <v>3099.3984114110763</v>
      </c>
      <c r="R46" s="127"/>
      <c r="S46" s="127"/>
      <c r="T46" s="127"/>
      <c r="U46" s="127"/>
      <c r="W46" s="127">
        <f>SUM(W31:W42)</f>
        <v>10</v>
      </c>
      <c r="X46" s="127">
        <f>SUM(X31:X42)</f>
        <v>970.4</v>
      </c>
      <c r="Y46" s="127">
        <f>SUM(Y31:Y42)</f>
        <v>1067.44</v>
      </c>
      <c r="Z46" s="127">
        <f>Y46/W46</f>
        <v>106.744</v>
      </c>
    </row>
    <row r="47" spans="1:31" x14ac:dyDescent="0.25">
      <c r="C47" s="431"/>
      <c r="D47" s="431"/>
      <c r="E47" s="431"/>
      <c r="F47" s="431"/>
      <c r="G47" s="431"/>
      <c r="H47" s="431"/>
      <c r="I47" s="431"/>
      <c r="J47" s="431"/>
      <c r="K47" s="431"/>
    </row>
    <row r="48" spans="1:31" x14ac:dyDescent="0.25">
      <c r="B48" s="332" t="s">
        <v>161</v>
      </c>
      <c r="C48" s="432">
        <f>C44</f>
        <v>119.51487999999999</v>
      </c>
      <c r="D48" s="433"/>
      <c r="E48" s="432">
        <f>F48*C48</f>
        <v>351449.58635576197</v>
      </c>
      <c r="F48" s="432">
        <f>F46*1.7</f>
        <v>2940.6345582722588</v>
      </c>
      <c r="G48" s="433"/>
      <c r="H48" s="432">
        <f>H44</f>
        <v>433.27700000000004</v>
      </c>
      <c r="I48" s="433"/>
      <c r="J48" s="432">
        <f>K48*H48</f>
        <v>2282926.677351627</v>
      </c>
      <c r="K48" s="432">
        <f>K46*1.7</f>
        <v>5268.9772993988299</v>
      </c>
      <c r="L48" s="334"/>
      <c r="M48" s="334"/>
      <c r="N48" s="334"/>
      <c r="O48" s="334"/>
      <c r="P48" s="334"/>
      <c r="Q48" s="334"/>
      <c r="R48" s="333">
        <f>R44</f>
        <v>923</v>
      </c>
      <c r="S48" s="332"/>
      <c r="T48" s="333">
        <f>U48*R48</f>
        <v>118229.65439999998</v>
      </c>
      <c r="U48" s="340">
        <f>Z46*1.2</f>
        <v>128.09279999999998</v>
      </c>
      <c r="V48" s="334"/>
      <c r="W48" s="333">
        <f>W44</f>
        <v>215</v>
      </c>
      <c r="X48" s="332"/>
      <c r="Y48" s="333">
        <f>Z48*W48</f>
        <v>27539.951999999997</v>
      </c>
      <c r="Z48" s="333">
        <f>Z46*1.2</f>
        <v>128.09279999999998</v>
      </c>
    </row>
    <row r="49" spans="3:26" x14ac:dyDescent="0.25">
      <c r="C49" s="434">
        <v>2019</v>
      </c>
      <c r="D49" s="431"/>
      <c r="E49" s="431"/>
      <c r="F49" s="431" t="s">
        <v>168</v>
      </c>
      <c r="G49" s="431"/>
      <c r="H49" s="434">
        <v>2019</v>
      </c>
      <c r="I49" s="431"/>
      <c r="J49" s="431"/>
      <c r="K49" s="431" t="s">
        <v>168</v>
      </c>
      <c r="R49" s="328">
        <v>2019</v>
      </c>
      <c r="U49" t="s">
        <v>169</v>
      </c>
      <c r="W49" s="328">
        <v>2019</v>
      </c>
      <c r="Z49" t="s">
        <v>169</v>
      </c>
    </row>
    <row r="51" spans="3:26" x14ac:dyDescent="0.25">
      <c r="F51" s="329" t="s">
        <v>195</v>
      </c>
    </row>
  </sheetData>
  <mergeCells count="44">
    <mergeCell ref="Y7:Y12"/>
    <mergeCell ref="Z7:Z12"/>
    <mergeCell ref="R13:R18"/>
    <mergeCell ref="S13:S18"/>
    <mergeCell ref="T13:T18"/>
    <mergeCell ref="U13:U18"/>
    <mergeCell ref="W13:W18"/>
    <mergeCell ref="X13:X18"/>
    <mergeCell ref="Y13:Y18"/>
    <mergeCell ref="Z13:Z18"/>
    <mergeCell ref="R7:R12"/>
    <mergeCell ref="S7:S12"/>
    <mergeCell ref="T7:T12"/>
    <mergeCell ref="U7:U12"/>
    <mergeCell ref="W7:W12"/>
    <mergeCell ref="X7:X12"/>
    <mergeCell ref="Y19:Y22"/>
    <mergeCell ref="Z19:Z22"/>
    <mergeCell ref="R23:R28"/>
    <mergeCell ref="S23:S28"/>
    <mergeCell ref="T23:T28"/>
    <mergeCell ref="U23:U28"/>
    <mergeCell ref="W23:W28"/>
    <mergeCell ref="X23:X28"/>
    <mergeCell ref="Y23:Y28"/>
    <mergeCell ref="Z23:Z28"/>
    <mergeCell ref="R19:R22"/>
    <mergeCell ref="S19:S22"/>
    <mergeCell ref="T19:T22"/>
    <mergeCell ref="U19:U22"/>
    <mergeCell ref="W19:W22"/>
    <mergeCell ref="X19:X22"/>
    <mergeCell ref="R29:R30"/>
    <mergeCell ref="S29:S30"/>
    <mergeCell ref="T29:T30"/>
    <mergeCell ref="U29:U30"/>
    <mergeCell ref="W29:W30"/>
    <mergeCell ref="Y29:Y30"/>
    <mergeCell ref="Z29:Z30"/>
    <mergeCell ref="W31:W32"/>
    <mergeCell ref="X31:X32"/>
    <mergeCell ref="Y31:Y32"/>
    <mergeCell ref="Z31:Z32"/>
    <mergeCell ref="X29:X30"/>
  </mergeCells>
  <pageMargins left="0.7" right="0.7" top="0.78740157499999996" bottom="0.78740157499999996" header="0.3" footer="0.3"/>
  <pageSetup paperSize="9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51"/>
  <sheetViews>
    <sheetView zoomScale="70" zoomScaleNormal="70" workbookViewId="0">
      <selection activeCell="K50" sqref="K50"/>
    </sheetView>
  </sheetViews>
  <sheetFormatPr defaultRowHeight="15" x14ac:dyDescent="0.25"/>
  <cols>
    <col min="3" max="3" width="9.28515625" bestFit="1" customWidth="1"/>
    <col min="4" max="4" width="11" customWidth="1"/>
    <col min="5" max="5" width="10.7109375" customWidth="1"/>
    <col min="6" max="6" width="12.140625" customWidth="1"/>
    <col min="8" max="12" width="9.28515625" bestFit="1" customWidth="1"/>
    <col min="13" max="13" width="9.42578125" bestFit="1" customWidth="1"/>
    <col min="14" max="14" width="9.28515625" bestFit="1" customWidth="1"/>
    <col min="15" max="15" width="9.42578125" bestFit="1" customWidth="1"/>
    <col min="16" max="16" width="12" customWidth="1"/>
    <col min="17" max="17" width="9.28515625" bestFit="1" customWidth="1"/>
    <col min="18" max="27" width="9.28515625" customWidth="1"/>
    <col min="28" max="28" width="14.85546875" bestFit="1" customWidth="1"/>
  </cols>
  <sheetData>
    <row r="1" spans="1:28" ht="26.25" x14ac:dyDescent="0.4">
      <c r="B1" s="341" t="s">
        <v>192</v>
      </c>
    </row>
    <row r="2" spans="1:28" ht="26.25" x14ac:dyDescent="0.4">
      <c r="B2" s="341"/>
    </row>
    <row r="3" spans="1:28" x14ac:dyDescent="0.25">
      <c r="A3" s="303"/>
      <c r="B3" s="303"/>
      <c r="C3" s="577" t="s">
        <v>193</v>
      </c>
      <c r="D3" s="577"/>
      <c r="E3" s="577"/>
      <c r="F3" s="577"/>
      <c r="G3" s="303"/>
      <c r="H3" s="303"/>
      <c r="I3" s="303"/>
      <c r="J3" s="303"/>
      <c r="K3" s="303"/>
      <c r="L3" s="303"/>
      <c r="M3" s="577" t="s">
        <v>194</v>
      </c>
      <c r="N3" s="577"/>
      <c r="O3" s="577"/>
      <c r="P3" s="577"/>
      <c r="Q3" s="577"/>
      <c r="R3" s="577"/>
      <c r="S3" s="577"/>
      <c r="T3" s="577"/>
      <c r="U3" s="577"/>
      <c r="V3" s="303"/>
      <c r="W3" s="303"/>
      <c r="X3" s="303"/>
      <c r="Y3" s="303"/>
      <c r="Z3" s="303"/>
      <c r="AA3" s="303"/>
      <c r="AB3" s="303"/>
    </row>
    <row r="4" spans="1:28" x14ac:dyDescent="0.25">
      <c r="A4" s="303"/>
      <c r="B4" s="303"/>
      <c r="C4" s="305" t="s">
        <v>41</v>
      </c>
      <c r="D4" s="305"/>
      <c r="E4" s="304"/>
      <c r="F4" s="304"/>
      <c r="G4" s="304"/>
      <c r="H4" s="306" t="s">
        <v>42</v>
      </c>
      <c r="I4" s="306"/>
      <c r="J4" s="306"/>
      <c r="K4" s="303"/>
      <c r="L4" s="303"/>
      <c r="M4" s="306" t="s">
        <v>176</v>
      </c>
      <c r="N4" s="303"/>
      <c r="O4" s="303"/>
      <c r="P4" s="303"/>
      <c r="Q4" s="303"/>
      <c r="R4" s="306" t="s">
        <v>176</v>
      </c>
      <c r="S4" s="303"/>
      <c r="T4" s="303"/>
      <c r="U4" s="303"/>
      <c r="V4" s="303"/>
      <c r="W4" s="303"/>
      <c r="X4" s="303"/>
      <c r="Y4" s="303"/>
      <c r="Z4" s="303"/>
    </row>
    <row r="5" spans="1:28" x14ac:dyDescent="0.25">
      <c r="A5" s="303"/>
      <c r="B5" s="303"/>
      <c r="C5" s="303" t="s">
        <v>187</v>
      </c>
      <c r="D5" s="304"/>
      <c r="E5" s="304"/>
      <c r="F5" s="304"/>
      <c r="G5" s="304"/>
      <c r="H5" s="303" t="s">
        <v>188</v>
      </c>
      <c r="I5" s="303"/>
      <c r="J5" s="303"/>
      <c r="K5" s="303"/>
      <c r="L5" s="303"/>
      <c r="M5" s="303" t="s">
        <v>190</v>
      </c>
      <c r="N5" s="303"/>
      <c r="O5" s="303"/>
      <c r="P5" s="303"/>
      <c r="Q5" s="303"/>
      <c r="R5" s="303" t="s">
        <v>191</v>
      </c>
      <c r="S5" s="303"/>
      <c r="T5" s="303"/>
      <c r="U5" s="303"/>
      <c r="V5" s="303"/>
      <c r="W5" s="303"/>
      <c r="X5" s="303"/>
      <c r="Y5" s="303"/>
      <c r="Z5" s="303"/>
    </row>
    <row r="6" spans="1:28" x14ac:dyDescent="0.25">
      <c r="A6" s="303"/>
      <c r="B6" s="303"/>
      <c r="C6" s="303"/>
      <c r="D6" s="304"/>
      <c r="E6" s="304"/>
      <c r="F6" s="304"/>
      <c r="G6" s="304"/>
      <c r="H6" s="303" t="s">
        <v>189</v>
      </c>
      <c r="I6" s="303"/>
      <c r="J6" s="303"/>
      <c r="K6" s="303"/>
      <c r="L6" s="303"/>
      <c r="M6" s="303"/>
      <c r="N6" s="303"/>
      <c r="O6" s="303"/>
      <c r="P6" s="303"/>
      <c r="Q6" s="303"/>
      <c r="R6" s="303"/>
      <c r="S6" s="303"/>
      <c r="T6" s="303"/>
      <c r="U6" s="303"/>
      <c r="V6" s="303"/>
      <c r="W6" s="303"/>
      <c r="X6" s="303"/>
      <c r="Y6" s="303"/>
      <c r="Z6" s="303"/>
    </row>
    <row r="7" spans="1:28" x14ac:dyDescent="0.25">
      <c r="A7" s="303"/>
      <c r="B7" s="303"/>
      <c r="C7" s="307" t="s">
        <v>93</v>
      </c>
      <c r="D7" s="307" t="s">
        <v>3</v>
      </c>
      <c r="E7" s="307" t="s">
        <v>4</v>
      </c>
      <c r="F7" s="307" t="s">
        <v>94</v>
      </c>
      <c r="G7" s="303"/>
      <c r="H7" s="308" t="s">
        <v>181</v>
      </c>
      <c r="I7" s="308" t="s">
        <v>3</v>
      </c>
      <c r="J7" s="308" t="s">
        <v>4</v>
      </c>
      <c r="K7" s="308" t="s">
        <v>94</v>
      </c>
      <c r="L7" s="303"/>
      <c r="M7" s="309" t="s">
        <v>1</v>
      </c>
      <c r="N7" s="309" t="s">
        <v>3</v>
      </c>
      <c r="O7" s="309" t="s">
        <v>4</v>
      </c>
      <c r="P7" s="309" t="s">
        <v>153</v>
      </c>
      <c r="Q7" s="303"/>
      <c r="R7" s="309" t="s">
        <v>1</v>
      </c>
      <c r="S7" s="309" t="s">
        <v>3</v>
      </c>
      <c r="T7" s="309" t="s">
        <v>4</v>
      </c>
      <c r="U7" s="309" t="s">
        <v>153</v>
      </c>
      <c r="V7" s="303"/>
      <c r="W7" s="303"/>
      <c r="X7" s="303"/>
      <c r="Y7" s="303"/>
      <c r="Z7" s="303"/>
    </row>
    <row r="8" spans="1:28" x14ac:dyDescent="0.25">
      <c r="A8" s="303"/>
      <c r="B8" s="303"/>
      <c r="C8" s="387"/>
      <c r="D8" s="387"/>
      <c r="E8" s="387"/>
      <c r="F8" s="387"/>
      <c r="G8" s="303"/>
      <c r="H8" s="342"/>
      <c r="I8" s="342"/>
      <c r="J8" s="342"/>
      <c r="K8" s="342"/>
      <c r="L8" s="303"/>
      <c r="M8" s="342"/>
      <c r="N8" s="342"/>
      <c r="O8" s="342"/>
      <c r="P8" s="342"/>
      <c r="Q8" s="303"/>
      <c r="R8" s="342"/>
      <c r="S8" s="342"/>
      <c r="T8" s="342"/>
      <c r="U8" s="342"/>
      <c r="V8" s="303"/>
      <c r="W8" s="303"/>
      <c r="X8" s="303"/>
      <c r="Y8" s="303"/>
      <c r="Z8" s="303"/>
    </row>
    <row r="9" spans="1:28" x14ac:dyDescent="0.25">
      <c r="A9" s="303">
        <v>2019</v>
      </c>
      <c r="B9" s="343" t="s">
        <v>112</v>
      </c>
      <c r="C9" s="388"/>
      <c r="D9" s="389">
        <f>E9/1.21</f>
        <v>0</v>
      </c>
      <c r="E9" s="390"/>
      <c r="F9" s="391" t="e">
        <f>E9/C9</f>
        <v>#DIV/0!</v>
      </c>
      <c r="G9" s="467">
        <f>H9/'02 SOŠ a SOU Jílové'!H7</f>
        <v>0.17399999999999999</v>
      </c>
      <c r="H9" s="392">
        <v>15.746129999999999</v>
      </c>
      <c r="I9" s="347">
        <f>J9/1.21</f>
        <v>24305.642975206611</v>
      </c>
      <c r="J9" s="348">
        <v>29409.827999999998</v>
      </c>
      <c r="K9" s="349">
        <f>J9/H9</f>
        <v>1867.7495994253825</v>
      </c>
      <c r="L9" s="314"/>
      <c r="M9" s="568"/>
      <c r="N9" s="571"/>
      <c r="O9" s="571">
        <f>N9*1.15</f>
        <v>0</v>
      </c>
      <c r="P9" s="574" t="e">
        <f>O9/M9</f>
        <v>#DIV/0!</v>
      </c>
      <c r="Q9" s="303"/>
      <c r="R9" s="568"/>
      <c r="S9" s="571"/>
      <c r="T9" s="571">
        <f>S9*1.15</f>
        <v>0</v>
      </c>
      <c r="U9" s="574" t="e">
        <f>T9/R9</f>
        <v>#DIV/0!</v>
      </c>
      <c r="V9" s="303"/>
      <c r="W9" s="343" t="s">
        <v>112</v>
      </c>
      <c r="X9" s="303">
        <v>2019</v>
      </c>
      <c r="Y9" s="303"/>
      <c r="Z9" s="303"/>
    </row>
    <row r="10" spans="1:28" x14ac:dyDescent="0.25">
      <c r="A10" s="303"/>
      <c r="B10" s="343" t="s">
        <v>113</v>
      </c>
      <c r="C10" s="396"/>
      <c r="D10" s="397">
        <f t="shared" ref="D10:D44" si="0">E10/1.21</f>
        <v>0</v>
      </c>
      <c r="E10" s="398"/>
      <c r="F10" s="391" t="e">
        <f t="shared" ref="F10:F44" si="1">E10/C10</f>
        <v>#DIV/0!</v>
      </c>
      <c r="G10" s="467">
        <f>H10/'02 SOŠ a SOU Jílové'!H8</f>
        <v>0.17399999999999999</v>
      </c>
      <c r="H10" s="399">
        <v>9.6999779999999998</v>
      </c>
      <c r="I10" s="356">
        <f t="shared" ref="I10:I32" si="2">J10/1.21</f>
        <v>17490.163636363639</v>
      </c>
      <c r="J10" s="357">
        <v>21163.098000000002</v>
      </c>
      <c r="K10" s="349">
        <f t="shared" ref="K10:K32" si="3">J10/H10</f>
        <v>2181.7676287513232</v>
      </c>
      <c r="L10" s="314"/>
      <c r="M10" s="569"/>
      <c r="N10" s="572"/>
      <c r="O10" s="572"/>
      <c r="P10" s="575"/>
      <c r="Q10" s="303"/>
      <c r="R10" s="569"/>
      <c r="S10" s="572"/>
      <c r="T10" s="572"/>
      <c r="U10" s="575"/>
      <c r="V10" s="303"/>
      <c r="W10" s="343" t="s">
        <v>113</v>
      </c>
      <c r="X10" s="303"/>
      <c r="Y10" s="303"/>
      <c r="Z10" s="303"/>
    </row>
    <row r="11" spans="1:28" x14ac:dyDescent="0.25">
      <c r="A11" s="303"/>
      <c r="B11" s="343" t="s">
        <v>114</v>
      </c>
      <c r="C11" s="396"/>
      <c r="D11" s="397">
        <f t="shared" si="0"/>
        <v>0</v>
      </c>
      <c r="E11" s="398"/>
      <c r="F11" s="391" t="e">
        <f t="shared" si="1"/>
        <v>#DIV/0!</v>
      </c>
      <c r="G11" s="467">
        <f>H11/'02 SOŠ a SOU Jílové'!H9</f>
        <v>0.17399999999999996</v>
      </c>
      <c r="H11" s="399">
        <v>9.057917999999999</v>
      </c>
      <c r="I11" s="356">
        <f t="shared" si="2"/>
        <v>18902.583471074377</v>
      </c>
      <c r="J11" s="357">
        <v>22872.125999999997</v>
      </c>
      <c r="K11" s="349">
        <f t="shared" si="3"/>
        <v>2525.0974892905851</v>
      </c>
      <c r="L11" s="314"/>
      <c r="M11" s="569"/>
      <c r="N11" s="572"/>
      <c r="O11" s="572"/>
      <c r="P11" s="575"/>
      <c r="Q11" s="303"/>
      <c r="R11" s="569"/>
      <c r="S11" s="572"/>
      <c r="T11" s="572"/>
      <c r="U11" s="575"/>
      <c r="V11" s="303"/>
      <c r="W11" s="343" t="s">
        <v>114</v>
      </c>
      <c r="X11" s="303"/>
      <c r="Y11" s="303"/>
      <c r="Z11" s="303"/>
    </row>
    <row r="12" spans="1:28" x14ac:dyDescent="0.25">
      <c r="A12" s="303"/>
      <c r="B12" s="343" t="s">
        <v>115</v>
      </c>
      <c r="C12" s="396"/>
      <c r="D12" s="397">
        <f t="shared" si="0"/>
        <v>0</v>
      </c>
      <c r="E12" s="398"/>
      <c r="F12" s="391" t="e">
        <f t="shared" si="1"/>
        <v>#DIV/0!</v>
      </c>
      <c r="G12" s="467">
        <f>H12/'02 SOŠ a SOU Jílové'!H10</f>
        <v>0.17399999999999996</v>
      </c>
      <c r="H12" s="399">
        <v>5.7707099999999985</v>
      </c>
      <c r="I12" s="356">
        <f t="shared" si="2"/>
        <v>12627.654545454543</v>
      </c>
      <c r="J12" s="357">
        <v>15279.461999999996</v>
      </c>
      <c r="K12" s="349">
        <f t="shared" si="3"/>
        <v>2647.7611940298507</v>
      </c>
      <c r="L12" s="314"/>
      <c r="M12" s="569"/>
      <c r="N12" s="572"/>
      <c r="O12" s="572"/>
      <c r="P12" s="575"/>
      <c r="Q12" s="303"/>
      <c r="R12" s="569"/>
      <c r="S12" s="572"/>
      <c r="T12" s="572"/>
      <c r="U12" s="575"/>
      <c r="V12" s="303"/>
      <c r="W12" s="343" t="s">
        <v>115</v>
      </c>
      <c r="X12" s="303"/>
      <c r="Y12" s="303"/>
      <c r="Z12" s="303"/>
    </row>
    <row r="13" spans="1:28" x14ac:dyDescent="0.25">
      <c r="A13" s="303"/>
      <c r="B13" s="343" t="s">
        <v>116</v>
      </c>
      <c r="C13" s="396"/>
      <c r="D13" s="397">
        <f t="shared" si="0"/>
        <v>0</v>
      </c>
      <c r="E13" s="398"/>
      <c r="F13" s="391" t="e">
        <f t="shared" si="1"/>
        <v>#DIV/0!</v>
      </c>
      <c r="G13" s="467">
        <f>H13/'02 SOŠ a SOU Jílové'!H11</f>
        <v>0.17399999999999999</v>
      </c>
      <c r="H13" s="399">
        <v>4.6103039999999993</v>
      </c>
      <c r="I13" s="356">
        <f t="shared" si="2"/>
        <v>10710.919438016528</v>
      </c>
      <c r="J13" s="357">
        <v>12960.212519999999</v>
      </c>
      <c r="K13" s="349">
        <f t="shared" si="3"/>
        <v>2811.1405495169083</v>
      </c>
      <c r="L13" s="314"/>
      <c r="M13" s="569"/>
      <c r="N13" s="572"/>
      <c r="O13" s="572"/>
      <c r="P13" s="575"/>
      <c r="Q13" s="303"/>
      <c r="R13" s="569"/>
      <c r="S13" s="572"/>
      <c r="T13" s="572"/>
      <c r="U13" s="575"/>
      <c r="V13" s="303"/>
      <c r="W13" s="343" t="s">
        <v>116</v>
      </c>
      <c r="X13" s="303"/>
      <c r="Y13" s="303"/>
      <c r="Z13" s="303"/>
    </row>
    <row r="14" spans="1:28" x14ac:dyDescent="0.25">
      <c r="A14" s="303"/>
      <c r="B14" s="343" t="s">
        <v>117</v>
      </c>
      <c r="C14" s="396"/>
      <c r="D14" s="397">
        <f t="shared" si="0"/>
        <v>0</v>
      </c>
      <c r="E14" s="403"/>
      <c r="F14" s="391" t="e">
        <f t="shared" si="1"/>
        <v>#DIV/0!</v>
      </c>
      <c r="G14" s="467">
        <f>H14/'02 SOŠ a SOU Jílové'!H12</f>
        <v>0.17399999999999999</v>
      </c>
      <c r="H14" s="399">
        <v>1.40418</v>
      </c>
      <c r="I14" s="356">
        <f t="shared" si="2"/>
        <v>5453.8214876033062</v>
      </c>
      <c r="J14" s="357">
        <v>6599.1239999999998</v>
      </c>
      <c r="K14" s="349">
        <f t="shared" si="3"/>
        <v>4699.628252788104</v>
      </c>
      <c r="L14" s="314"/>
      <c r="M14" s="570"/>
      <c r="N14" s="573"/>
      <c r="O14" s="573"/>
      <c r="P14" s="575"/>
      <c r="Q14" s="303"/>
      <c r="R14" s="570"/>
      <c r="S14" s="573"/>
      <c r="T14" s="573"/>
      <c r="U14" s="576"/>
      <c r="V14" s="303"/>
      <c r="W14" s="343" t="s">
        <v>117</v>
      </c>
      <c r="X14" s="303"/>
      <c r="Y14" s="303"/>
      <c r="Z14" s="303"/>
    </row>
    <row r="15" spans="1:28" x14ac:dyDescent="0.25">
      <c r="A15" s="303"/>
      <c r="B15" s="343" t="s">
        <v>118</v>
      </c>
      <c r="C15" s="396"/>
      <c r="D15" s="397">
        <f t="shared" si="0"/>
        <v>0</v>
      </c>
      <c r="E15" s="403"/>
      <c r="F15" s="391" t="e">
        <f t="shared" si="1"/>
        <v>#DIV/0!</v>
      </c>
      <c r="G15" s="467">
        <f>H15/'02 SOŠ a SOU Jílové'!H13</f>
        <v>0.17399999999999999</v>
      </c>
      <c r="H15" s="399">
        <v>0.454488</v>
      </c>
      <c r="I15" s="356">
        <f t="shared" si="2"/>
        <v>4072.0673553719012</v>
      </c>
      <c r="J15" s="357">
        <v>4927.2015000000001</v>
      </c>
      <c r="K15" s="349">
        <f t="shared" si="3"/>
        <v>10841.213629402757</v>
      </c>
      <c r="L15" s="314"/>
      <c r="M15" s="568"/>
      <c r="N15" s="571"/>
      <c r="O15" s="571">
        <f>N15*1.15</f>
        <v>0</v>
      </c>
      <c r="P15" s="574" t="e">
        <f>O15/M15</f>
        <v>#DIV/0!</v>
      </c>
      <c r="Q15" s="303"/>
      <c r="R15" s="568"/>
      <c r="S15" s="571"/>
      <c r="T15" s="571">
        <f>S15*1.15</f>
        <v>0</v>
      </c>
      <c r="U15" s="574" t="e">
        <f>T15/R15</f>
        <v>#DIV/0!</v>
      </c>
      <c r="V15" s="303"/>
      <c r="W15" s="343" t="s">
        <v>118</v>
      </c>
      <c r="X15" s="303"/>
      <c r="Y15" s="303"/>
      <c r="Z15" s="303"/>
    </row>
    <row r="16" spans="1:28" x14ac:dyDescent="0.25">
      <c r="A16" s="303"/>
      <c r="B16" s="343" t="s">
        <v>119</v>
      </c>
      <c r="C16" s="396"/>
      <c r="D16" s="397">
        <f t="shared" si="0"/>
        <v>0</v>
      </c>
      <c r="E16" s="403"/>
      <c r="F16" s="391" t="e">
        <f t="shared" si="1"/>
        <v>#DIV/0!</v>
      </c>
      <c r="G16" s="467">
        <f>H16/'02 SOŠ a SOU Jílové'!H14</f>
        <v>0.17399999999999999</v>
      </c>
      <c r="H16" s="399">
        <v>0.53278799999999993</v>
      </c>
      <c r="I16" s="356">
        <f t="shared" si="2"/>
        <v>4198.213041322314</v>
      </c>
      <c r="J16" s="357">
        <v>5079.8377799999998</v>
      </c>
      <c r="K16" s="349">
        <f t="shared" si="3"/>
        <v>9534.4448073154817</v>
      </c>
      <c r="L16" s="314"/>
      <c r="M16" s="569"/>
      <c r="N16" s="572"/>
      <c r="O16" s="572"/>
      <c r="P16" s="575"/>
      <c r="Q16" s="303"/>
      <c r="R16" s="569"/>
      <c r="S16" s="572"/>
      <c r="T16" s="572"/>
      <c r="U16" s="575"/>
      <c r="V16" s="303"/>
      <c r="W16" s="343" t="s">
        <v>119</v>
      </c>
      <c r="X16" s="303"/>
      <c r="Y16" s="303"/>
      <c r="Z16" s="303"/>
    </row>
    <row r="17" spans="1:26" x14ac:dyDescent="0.25">
      <c r="A17" s="303"/>
      <c r="B17" s="343" t="s">
        <v>120</v>
      </c>
      <c r="C17" s="396"/>
      <c r="D17" s="397">
        <f t="shared" si="0"/>
        <v>0</v>
      </c>
      <c r="E17" s="403"/>
      <c r="F17" s="391" t="e">
        <f t="shared" si="1"/>
        <v>#DIV/0!</v>
      </c>
      <c r="G17" s="467">
        <f>H17/'02 SOŠ a SOU Jílové'!H15</f>
        <v>0.17399999999999999</v>
      </c>
      <c r="H17" s="399">
        <v>3.2203919999999995</v>
      </c>
      <c r="I17" s="356">
        <f t="shared" si="2"/>
        <v>8485.5068925619835</v>
      </c>
      <c r="J17" s="357">
        <v>10267.46334</v>
      </c>
      <c r="K17" s="349">
        <f t="shared" si="3"/>
        <v>3188.2650745623519</v>
      </c>
      <c r="L17" s="314"/>
      <c r="M17" s="569"/>
      <c r="N17" s="572"/>
      <c r="O17" s="572"/>
      <c r="P17" s="575"/>
      <c r="Q17" s="303"/>
      <c r="R17" s="569"/>
      <c r="S17" s="572"/>
      <c r="T17" s="572"/>
      <c r="U17" s="575"/>
      <c r="V17" s="303"/>
      <c r="W17" s="343" t="s">
        <v>120</v>
      </c>
      <c r="X17" s="303"/>
      <c r="Y17" s="303"/>
      <c r="Z17" s="303"/>
    </row>
    <row r="18" spans="1:26" x14ac:dyDescent="0.25">
      <c r="A18" s="303"/>
      <c r="B18" s="343" t="s">
        <v>121</v>
      </c>
      <c r="C18" s="396"/>
      <c r="D18" s="397">
        <f t="shared" si="0"/>
        <v>0</v>
      </c>
      <c r="E18" s="403"/>
      <c r="F18" s="391" t="e">
        <f t="shared" si="1"/>
        <v>#DIV/0!</v>
      </c>
      <c r="G18" s="467">
        <f>H18/'02 SOŠ a SOU Jílové'!H16</f>
        <v>0.17399999999999999</v>
      </c>
      <c r="H18" s="399">
        <v>6.5709359999999997</v>
      </c>
      <c r="I18" s="356">
        <f t="shared" si="2"/>
        <v>11495.419289256199</v>
      </c>
      <c r="J18" s="357">
        <v>13909.457339999999</v>
      </c>
      <c r="K18" s="349">
        <f t="shared" si="3"/>
        <v>2116.8152208452493</v>
      </c>
      <c r="L18" s="314"/>
      <c r="M18" s="569"/>
      <c r="N18" s="572"/>
      <c r="O18" s="572"/>
      <c r="P18" s="575"/>
      <c r="Q18" s="303"/>
      <c r="R18" s="569"/>
      <c r="S18" s="572"/>
      <c r="T18" s="572"/>
      <c r="U18" s="575"/>
      <c r="V18" s="303"/>
      <c r="W18" s="343" t="s">
        <v>121</v>
      </c>
      <c r="X18" s="303"/>
      <c r="Y18" s="303"/>
      <c r="Z18" s="303"/>
    </row>
    <row r="19" spans="1:26" x14ac:dyDescent="0.25">
      <c r="A19" s="303"/>
      <c r="B19" s="343" t="s">
        <v>122</v>
      </c>
      <c r="C19" s="396"/>
      <c r="D19" s="397">
        <f t="shared" si="0"/>
        <v>0</v>
      </c>
      <c r="E19" s="403"/>
      <c r="F19" s="391" t="e">
        <f t="shared" si="1"/>
        <v>#DIV/0!</v>
      </c>
      <c r="G19" s="467">
        <f>H19/'02 SOŠ a SOU Jílové'!H17</f>
        <v>0.17399999999999999</v>
      </c>
      <c r="H19" s="399">
        <v>9.2108639999999991</v>
      </c>
      <c r="I19" s="356">
        <f t="shared" si="2"/>
        <v>16886.573454545451</v>
      </c>
      <c r="J19" s="357">
        <v>20432.753879999997</v>
      </c>
      <c r="K19" s="349">
        <f t="shared" si="3"/>
        <v>2218.3319480126943</v>
      </c>
      <c r="L19" s="314"/>
      <c r="M19" s="569"/>
      <c r="N19" s="572"/>
      <c r="O19" s="572"/>
      <c r="P19" s="575"/>
      <c r="Q19" s="303"/>
      <c r="R19" s="569"/>
      <c r="S19" s="572"/>
      <c r="T19" s="572"/>
      <c r="U19" s="575"/>
      <c r="V19" s="303"/>
      <c r="W19" s="343" t="s">
        <v>122</v>
      </c>
      <c r="X19" s="303"/>
      <c r="Y19" s="303"/>
      <c r="Z19" s="303"/>
    </row>
    <row r="20" spans="1:26" x14ac:dyDescent="0.25">
      <c r="A20" s="303"/>
      <c r="B20" s="343" t="s">
        <v>123</v>
      </c>
      <c r="C20" s="404"/>
      <c r="D20" s="405">
        <f t="shared" si="0"/>
        <v>0</v>
      </c>
      <c r="E20" s="406"/>
      <c r="F20" s="391" t="e">
        <f t="shared" si="1"/>
        <v>#DIV/0!</v>
      </c>
      <c r="G20" s="467">
        <f>H20/'02 SOŠ a SOU Jílové'!H18</f>
        <v>0.17399999999999999</v>
      </c>
      <c r="H20" s="407">
        <v>9.1115099999999991</v>
      </c>
      <c r="I20" s="362">
        <f t="shared" si="2"/>
        <v>16852.593123966941</v>
      </c>
      <c r="J20" s="363">
        <v>20391.63768</v>
      </c>
      <c r="K20" s="349">
        <f t="shared" si="3"/>
        <v>2238.0085935262105</v>
      </c>
      <c r="L20" s="314"/>
      <c r="M20" s="570"/>
      <c r="N20" s="573"/>
      <c r="O20" s="573"/>
      <c r="P20" s="576"/>
      <c r="Q20" s="303"/>
      <c r="R20" s="570"/>
      <c r="S20" s="573"/>
      <c r="T20" s="573"/>
      <c r="U20" s="576"/>
      <c r="V20" s="303"/>
      <c r="W20" s="343" t="s">
        <v>123</v>
      </c>
      <c r="X20" s="303"/>
      <c r="Y20" s="303"/>
      <c r="Z20" s="303"/>
    </row>
    <row r="21" spans="1:26" x14ac:dyDescent="0.25">
      <c r="A21" s="303">
        <v>2020</v>
      </c>
      <c r="B21" s="343" t="s">
        <v>112</v>
      </c>
      <c r="C21" s="388"/>
      <c r="D21" s="389">
        <f t="shared" si="0"/>
        <v>0</v>
      </c>
      <c r="E21" s="408"/>
      <c r="F21" s="391" t="e">
        <f t="shared" si="1"/>
        <v>#DIV/0!</v>
      </c>
      <c r="G21" s="467">
        <f>H21/'02 SOŠ a SOU Jílové'!H19</f>
        <v>0.17399999999999999</v>
      </c>
      <c r="H21" s="392">
        <v>13.059918</v>
      </c>
      <c r="I21" s="347">
        <f t="shared" si="2"/>
        <v>30250.857719008261</v>
      </c>
      <c r="J21" s="348">
        <v>36603.537839999997</v>
      </c>
      <c r="K21" s="349">
        <f t="shared" si="3"/>
        <v>2802.7387185738835</v>
      </c>
      <c r="L21" s="314"/>
      <c r="M21" s="568"/>
      <c r="N21" s="571"/>
      <c r="O21" s="571">
        <f>N21*1.1</f>
        <v>0</v>
      </c>
      <c r="P21" s="574" t="e">
        <f>O21/M21</f>
        <v>#DIV/0!</v>
      </c>
      <c r="Q21" s="409"/>
      <c r="R21" s="568"/>
      <c r="S21" s="571"/>
      <c r="T21" s="571">
        <f>S21*1.1</f>
        <v>0</v>
      </c>
      <c r="U21" s="574" t="e">
        <f>T21/R21</f>
        <v>#DIV/0!</v>
      </c>
      <c r="V21" s="303"/>
      <c r="W21" s="343" t="s">
        <v>112</v>
      </c>
      <c r="X21" s="303">
        <v>2020</v>
      </c>
      <c r="Y21" s="303"/>
      <c r="Z21" s="303"/>
    </row>
    <row r="22" spans="1:26" x14ac:dyDescent="0.25">
      <c r="A22" s="303"/>
      <c r="B22" s="343" t="s">
        <v>113</v>
      </c>
      <c r="C22" s="396"/>
      <c r="D22" s="397">
        <f t="shared" si="0"/>
        <v>0</v>
      </c>
      <c r="E22" s="403"/>
      <c r="F22" s="391" t="e">
        <f t="shared" si="1"/>
        <v>#DIV/0!</v>
      </c>
      <c r="G22" s="467">
        <f>H22/'02 SOŠ a SOU Jílové'!H20</f>
        <v>0.17400000000000002</v>
      </c>
      <c r="H22" s="399">
        <v>9.430104</v>
      </c>
      <c r="I22" s="356">
        <f t="shared" si="2"/>
        <v>23705.847719008267</v>
      </c>
      <c r="J22" s="357">
        <v>28684.075740000004</v>
      </c>
      <c r="K22" s="349">
        <f t="shared" si="3"/>
        <v>3041.7560336556207</v>
      </c>
      <c r="L22" s="314"/>
      <c r="M22" s="569"/>
      <c r="N22" s="572"/>
      <c r="O22" s="572"/>
      <c r="P22" s="575"/>
      <c r="Q22" s="409"/>
      <c r="R22" s="569"/>
      <c r="S22" s="572"/>
      <c r="T22" s="572"/>
      <c r="U22" s="575"/>
      <c r="V22" s="303"/>
      <c r="W22" s="343" t="s">
        <v>113</v>
      </c>
      <c r="X22" s="303"/>
      <c r="Y22" s="303"/>
      <c r="Z22" s="303"/>
    </row>
    <row r="23" spans="1:26" x14ac:dyDescent="0.25">
      <c r="A23" s="303"/>
      <c r="B23" s="343" t="s">
        <v>114</v>
      </c>
      <c r="C23" s="396"/>
      <c r="D23" s="397">
        <f t="shared" si="0"/>
        <v>0</v>
      </c>
      <c r="E23" s="403"/>
      <c r="F23" s="391" t="e">
        <f t="shared" si="1"/>
        <v>#DIV/0!</v>
      </c>
      <c r="G23" s="467">
        <f>H23/'02 SOŠ a SOU Jílové'!H21</f>
        <v>0.17399999999999996</v>
      </c>
      <c r="H23" s="399">
        <v>3.7704059999999995</v>
      </c>
      <c r="I23" s="356">
        <f t="shared" si="2"/>
        <v>12061.790727272724</v>
      </c>
      <c r="J23" s="357">
        <v>14594.766779999996</v>
      </c>
      <c r="K23" s="349">
        <f t="shared" si="3"/>
        <v>3870.8740597166457</v>
      </c>
      <c r="L23" s="314"/>
      <c r="M23" s="569"/>
      <c r="N23" s="572"/>
      <c r="O23" s="572"/>
      <c r="P23" s="575"/>
      <c r="Q23" s="409"/>
      <c r="R23" s="569"/>
      <c r="S23" s="572"/>
      <c r="T23" s="572"/>
      <c r="U23" s="575"/>
      <c r="V23" s="303"/>
      <c r="W23" s="343" t="s">
        <v>114</v>
      </c>
      <c r="X23" s="303"/>
      <c r="Y23" s="303"/>
      <c r="Z23" s="303"/>
    </row>
    <row r="24" spans="1:26" x14ac:dyDescent="0.25">
      <c r="A24" s="303"/>
      <c r="B24" s="343" t="s">
        <v>115</v>
      </c>
      <c r="C24" s="396"/>
      <c r="D24" s="397">
        <f t="shared" si="0"/>
        <v>0</v>
      </c>
      <c r="E24" s="403"/>
      <c r="F24" s="391" t="e">
        <f t="shared" si="1"/>
        <v>#DIV/0!</v>
      </c>
      <c r="G24" s="467">
        <f>H24/'02 SOŠ a SOU Jílové'!H22</f>
        <v>0.17399999999999996</v>
      </c>
      <c r="H24" s="399">
        <v>1.0681859999999999</v>
      </c>
      <c r="I24" s="356">
        <f t="shared" si="2"/>
        <v>6285.4537685950409</v>
      </c>
      <c r="J24" s="357">
        <v>7605.3990599999988</v>
      </c>
      <c r="K24" s="349">
        <f t="shared" si="3"/>
        <v>7119.9201824401371</v>
      </c>
      <c r="L24" s="314"/>
      <c r="M24" s="570"/>
      <c r="N24" s="573"/>
      <c r="O24" s="573"/>
      <c r="P24" s="576"/>
      <c r="Q24" s="409"/>
      <c r="R24" s="570"/>
      <c r="S24" s="573"/>
      <c r="T24" s="573"/>
      <c r="U24" s="576"/>
      <c r="V24" s="303"/>
      <c r="W24" s="343" t="s">
        <v>115</v>
      </c>
      <c r="X24" s="303"/>
      <c r="Y24" s="303"/>
      <c r="Z24" s="303"/>
    </row>
    <row r="25" spans="1:26" x14ac:dyDescent="0.25">
      <c r="A25" s="303"/>
      <c r="B25" s="343" t="s">
        <v>116</v>
      </c>
      <c r="C25" s="410"/>
      <c r="D25" s="397">
        <f t="shared" si="0"/>
        <v>0</v>
      </c>
      <c r="E25" s="403"/>
      <c r="F25" s="391" t="e">
        <f t="shared" si="1"/>
        <v>#DIV/0!</v>
      </c>
      <c r="G25" s="467">
        <f>H25/'02 SOŠ a SOU Jílové'!H23</f>
        <v>0.17400000000000002</v>
      </c>
      <c r="H25" s="399">
        <v>0.63249</v>
      </c>
      <c r="I25" s="356">
        <f t="shared" si="2"/>
        <v>4860.9934214876039</v>
      </c>
      <c r="J25" s="357">
        <v>5881.8020400000005</v>
      </c>
      <c r="K25" s="349">
        <f t="shared" si="3"/>
        <v>9299.4387895460804</v>
      </c>
      <c r="L25" s="314"/>
      <c r="M25" s="568"/>
      <c r="N25" s="571"/>
      <c r="O25" s="571">
        <f>N25*1.1</f>
        <v>0</v>
      </c>
      <c r="P25" s="574" t="e">
        <f>O25/M25</f>
        <v>#DIV/0!</v>
      </c>
      <c r="Q25" s="303"/>
      <c r="R25" s="568"/>
      <c r="S25" s="571"/>
      <c r="T25" s="571">
        <f>S25*1.1</f>
        <v>0</v>
      </c>
      <c r="U25" s="574" t="e">
        <f>T25/R25</f>
        <v>#DIV/0!</v>
      </c>
      <c r="V25" s="303"/>
      <c r="W25" s="343" t="s">
        <v>116</v>
      </c>
      <c r="X25" s="303"/>
      <c r="Y25" s="303"/>
      <c r="Z25" s="303"/>
    </row>
    <row r="26" spans="1:26" x14ac:dyDescent="0.25">
      <c r="A26" s="303"/>
      <c r="B26" s="343" t="s">
        <v>117</v>
      </c>
      <c r="C26" s="396"/>
      <c r="D26" s="397">
        <f t="shared" si="0"/>
        <v>0</v>
      </c>
      <c r="E26" s="403"/>
      <c r="F26" s="391" t="e">
        <f t="shared" si="1"/>
        <v>#DIV/0!</v>
      </c>
      <c r="G26" s="467">
        <f>H26/'02 SOŠ a SOU Jílové'!H24</f>
        <v>0.17400000000000002</v>
      </c>
      <c r="H26" s="399">
        <v>0.81240599999999996</v>
      </c>
      <c r="I26" s="356">
        <f t="shared" si="2"/>
        <v>5264.9883471074381</v>
      </c>
      <c r="J26" s="357">
        <v>6370.6359000000002</v>
      </c>
      <c r="K26" s="349">
        <f t="shared" si="3"/>
        <v>7841.6898693510393</v>
      </c>
      <c r="L26" s="314"/>
      <c r="M26" s="569"/>
      <c r="N26" s="572"/>
      <c r="O26" s="572"/>
      <c r="P26" s="575"/>
      <c r="Q26" s="303"/>
      <c r="R26" s="569"/>
      <c r="S26" s="572"/>
      <c r="T26" s="572"/>
      <c r="U26" s="575"/>
      <c r="V26" s="303"/>
      <c r="W26" s="343" t="s">
        <v>117</v>
      </c>
      <c r="X26" s="303"/>
      <c r="Y26" s="303"/>
      <c r="Z26" s="303"/>
    </row>
    <row r="27" spans="1:26" x14ac:dyDescent="0.25">
      <c r="A27" s="303"/>
      <c r="B27" s="343" t="s">
        <v>118</v>
      </c>
      <c r="C27" s="396"/>
      <c r="D27" s="397">
        <f t="shared" si="0"/>
        <v>0</v>
      </c>
      <c r="E27" s="403"/>
      <c r="F27" s="391" t="e">
        <f t="shared" si="1"/>
        <v>#DIV/0!</v>
      </c>
      <c r="G27" s="467">
        <f>H27/('02 SOŠ a SOU Jílové'!H25+'02 SOŠ a SOU Jílové'!M25)</f>
        <v>0.17400000000000002</v>
      </c>
      <c r="H27" s="425">
        <v>0.34869600000000001</v>
      </c>
      <c r="I27" s="426">
        <f t="shared" si="2"/>
        <v>4547.0140165289258</v>
      </c>
      <c r="J27" s="427">
        <v>5501.8869599999998</v>
      </c>
      <c r="K27" s="349">
        <f t="shared" si="3"/>
        <v>15778.463073852294</v>
      </c>
      <c r="L27" s="314"/>
      <c r="M27" s="569"/>
      <c r="N27" s="572"/>
      <c r="O27" s="572"/>
      <c r="P27" s="575"/>
      <c r="Q27" s="303"/>
      <c r="R27" s="569"/>
      <c r="S27" s="572"/>
      <c r="T27" s="572"/>
      <c r="U27" s="575"/>
      <c r="V27" s="303"/>
      <c r="W27" s="343" t="s">
        <v>118</v>
      </c>
      <c r="X27" s="303"/>
      <c r="Y27" s="303"/>
      <c r="Z27" s="303"/>
    </row>
    <row r="28" spans="1:26" x14ac:dyDescent="0.25">
      <c r="A28" s="303"/>
      <c r="B28" s="343" t="s">
        <v>119</v>
      </c>
      <c r="C28" s="396"/>
      <c r="D28" s="397">
        <f t="shared" si="0"/>
        <v>0</v>
      </c>
      <c r="E28" s="403"/>
      <c r="F28" s="391" t="e">
        <f t="shared" si="1"/>
        <v>#DIV/0!</v>
      </c>
      <c r="G28" s="467">
        <f>H28/'02 SOŠ a SOU Jílové'!M26</f>
        <v>0.17400000000000002</v>
      </c>
      <c r="H28" s="399">
        <v>0.49520400000000003</v>
      </c>
      <c r="I28" s="382">
        <f t="shared" si="2"/>
        <v>4757.4360991735539</v>
      </c>
      <c r="J28" s="357">
        <v>5756.4976799999995</v>
      </c>
      <c r="K28" s="349">
        <f t="shared" si="3"/>
        <v>11624.497540407589</v>
      </c>
      <c r="L28" s="314"/>
      <c r="M28" s="569"/>
      <c r="N28" s="572"/>
      <c r="O28" s="572"/>
      <c r="P28" s="575"/>
      <c r="Q28" s="303"/>
      <c r="R28" s="569"/>
      <c r="S28" s="572"/>
      <c r="T28" s="572"/>
      <c r="U28" s="575"/>
      <c r="V28" s="303"/>
      <c r="W28" s="343" t="s">
        <v>119</v>
      </c>
      <c r="X28" s="303"/>
      <c r="Y28" s="303"/>
      <c r="Z28" s="303"/>
    </row>
    <row r="29" spans="1:26" x14ac:dyDescent="0.25">
      <c r="A29" s="303"/>
      <c r="B29" s="343" t="s">
        <v>120</v>
      </c>
      <c r="C29" s="396"/>
      <c r="D29" s="397">
        <f t="shared" si="0"/>
        <v>0</v>
      </c>
      <c r="E29" s="403"/>
      <c r="F29" s="391" t="e">
        <f t="shared" si="1"/>
        <v>#DIV/0!</v>
      </c>
      <c r="G29" s="467">
        <f>H29/'02 SOŠ a SOU Jílové'!M27</f>
        <v>0.17400000000000002</v>
      </c>
      <c r="H29" s="399">
        <v>2.1826560000000002</v>
      </c>
      <c r="I29" s="382">
        <f t="shared" si="2"/>
        <v>8374.4100495867769</v>
      </c>
      <c r="J29" s="357">
        <v>10133.03616</v>
      </c>
      <c r="K29" s="349">
        <f t="shared" si="3"/>
        <v>4642.525510204081</v>
      </c>
      <c r="L29" s="314"/>
      <c r="M29" s="569"/>
      <c r="N29" s="572"/>
      <c r="O29" s="572"/>
      <c r="P29" s="575"/>
      <c r="Q29" s="303"/>
      <c r="R29" s="569"/>
      <c r="S29" s="572"/>
      <c r="T29" s="572"/>
      <c r="U29" s="575"/>
      <c r="V29" s="303"/>
      <c r="W29" s="343" t="s">
        <v>120</v>
      </c>
      <c r="X29" s="303"/>
      <c r="Y29" s="303"/>
      <c r="Z29" s="303"/>
    </row>
    <row r="30" spans="1:26" x14ac:dyDescent="0.25">
      <c r="A30" s="303"/>
      <c r="B30" s="343" t="s">
        <v>121</v>
      </c>
      <c r="C30" s="396"/>
      <c r="D30" s="397">
        <f t="shared" si="0"/>
        <v>0</v>
      </c>
      <c r="E30" s="403"/>
      <c r="F30" s="391" t="e">
        <f t="shared" si="1"/>
        <v>#DIV/0!</v>
      </c>
      <c r="G30" s="467">
        <f>H30/'02 SOŠ a SOU Jílové'!M28</f>
        <v>0.17399999999999999</v>
      </c>
      <c r="H30" s="399">
        <v>4.139634</v>
      </c>
      <c r="I30" s="382">
        <f t="shared" si="2"/>
        <v>12521.249950413223</v>
      </c>
      <c r="J30" s="357">
        <v>15150.712439999999</v>
      </c>
      <c r="K30" s="349">
        <f t="shared" si="3"/>
        <v>3659.9159345971166</v>
      </c>
      <c r="L30" s="314"/>
      <c r="M30" s="570"/>
      <c r="N30" s="573"/>
      <c r="O30" s="573"/>
      <c r="P30" s="576"/>
      <c r="Q30" s="303"/>
      <c r="R30" s="570"/>
      <c r="S30" s="573"/>
      <c r="T30" s="573"/>
      <c r="U30" s="576"/>
      <c r="V30" s="303"/>
      <c r="W30" s="343" t="s">
        <v>121</v>
      </c>
      <c r="X30" s="303"/>
      <c r="Y30" s="303"/>
      <c r="Z30" s="303"/>
    </row>
    <row r="31" spans="1:26" x14ac:dyDescent="0.25">
      <c r="A31" s="303"/>
      <c r="B31" s="343" t="s">
        <v>122</v>
      </c>
      <c r="C31" s="396"/>
      <c r="D31" s="397">
        <f t="shared" si="0"/>
        <v>0</v>
      </c>
      <c r="E31" s="403"/>
      <c r="F31" s="391" t="e">
        <f t="shared" si="1"/>
        <v>#DIV/0!</v>
      </c>
      <c r="G31" s="467">
        <f>H31/'02 SOŠ a SOU Jílové'!M29</f>
        <v>0.17399999999999999</v>
      </c>
      <c r="H31" s="399">
        <v>6.0158759999999996</v>
      </c>
      <c r="I31" s="382">
        <f t="shared" si="2"/>
        <v>16507.643157024791</v>
      </c>
      <c r="J31" s="357">
        <v>19974.248219999998</v>
      </c>
      <c r="K31" s="349">
        <f t="shared" si="3"/>
        <v>3320.2559726962454</v>
      </c>
      <c r="L31" s="314"/>
      <c r="M31" s="568"/>
      <c r="N31" s="571"/>
      <c r="O31" s="571">
        <f>N31*1.1</f>
        <v>0</v>
      </c>
      <c r="P31" s="574" t="e">
        <f>O31/M31</f>
        <v>#DIV/0!</v>
      </c>
      <c r="Q31" s="303"/>
      <c r="R31" s="568"/>
      <c r="S31" s="571"/>
      <c r="T31" s="571">
        <f>S31*1.1</f>
        <v>0</v>
      </c>
      <c r="U31" s="574" t="e">
        <f>T31/R31</f>
        <v>#DIV/0!</v>
      </c>
      <c r="V31" s="303"/>
      <c r="W31" s="343" t="s">
        <v>122</v>
      </c>
      <c r="X31" s="303"/>
      <c r="Y31" s="303"/>
      <c r="Z31" s="303"/>
    </row>
    <row r="32" spans="1:26" x14ac:dyDescent="0.25">
      <c r="A32" s="303"/>
      <c r="B32" s="343" t="s">
        <v>123</v>
      </c>
      <c r="C32" s="404"/>
      <c r="D32" s="405">
        <f t="shared" si="0"/>
        <v>0</v>
      </c>
      <c r="E32" s="406"/>
      <c r="F32" s="391" t="e">
        <f t="shared" si="1"/>
        <v>#DIV/0!</v>
      </c>
      <c r="G32" s="467">
        <f>H32/'02 SOŠ a SOU Jílové'!M30</f>
        <v>0.17399999999999999</v>
      </c>
      <c r="H32" s="407">
        <v>7.8560999999999996</v>
      </c>
      <c r="I32" s="375">
        <f t="shared" si="2"/>
        <v>20006.498429752064</v>
      </c>
      <c r="J32" s="363">
        <v>24207.863099999999</v>
      </c>
      <c r="K32" s="349">
        <f t="shared" si="3"/>
        <v>3081.4097452934661</v>
      </c>
      <c r="L32" s="314"/>
      <c r="M32" s="570"/>
      <c r="N32" s="573"/>
      <c r="O32" s="573"/>
      <c r="P32" s="576"/>
      <c r="Q32" s="303"/>
      <c r="R32" s="570"/>
      <c r="S32" s="573"/>
      <c r="T32" s="573"/>
      <c r="U32" s="576"/>
      <c r="V32" s="303"/>
      <c r="W32" s="343" t="s">
        <v>123</v>
      </c>
      <c r="X32" s="303"/>
      <c r="Y32" s="303"/>
      <c r="Z32" s="303"/>
    </row>
    <row r="33" spans="1:26" x14ac:dyDescent="0.25">
      <c r="A33" s="303">
        <v>2021</v>
      </c>
      <c r="B33" s="343" t="s">
        <v>112</v>
      </c>
      <c r="C33" s="388"/>
      <c r="D33" s="389">
        <f t="shared" si="0"/>
        <v>0</v>
      </c>
      <c r="E33" s="408"/>
      <c r="F33" s="391" t="e">
        <f t="shared" si="1"/>
        <v>#DIV/0!</v>
      </c>
      <c r="G33" s="314"/>
      <c r="H33" s="392"/>
      <c r="I33" s="384"/>
      <c r="J33" s="348"/>
      <c r="K33" s="349"/>
      <c r="L33" s="314"/>
      <c r="M33" s="368"/>
      <c r="N33" s="369"/>
      <c r="O33" s="369"/>
      <c r="P33" s="370"/>
      <c r="Q33" s="303"/>
      <c r="R33" s="568"/>
      <c r="S33" s="571"/>
      <c r="T33" s="571">
        <f>S33*1.1</f>
        <v>0</v>
      </c>
      <c r="U33" s="574" t="e">
        <f>T33/R33</f>
        <v>#DIV/0!</v>
      </c>
      <c r="V33" s="303"/>
      <c r="W33" s="343" t="s">
        <v>112</v>
      </c>
      <c r="X33" s="303">
        <v>2021</v>
      </c>
      <c r="Y33" s="303"/>
      <c r="Z33" s="303"/>
    </row>
    <row r="34" spans="1:26" x14ac:dyDescent="0.25">
      <c r="A34" s="303"/>
      <c r="B34" s="343" t="s">
        <v>113</v>
      </c>
      <c r="C34" s="396"/>
      <c r="D34" s="397">
        <f t="shared" si="0"/>
        <v>0</v>
      </c>
      <c r="E34" s="403"/>
      <c r="F34" s="391" t="e">
        <f t="shared" si="1"/>
        <v>#DIV/0!</v>
      </c>
      <c r="G34" s="314"/>
      <c r="H34" s="399"/>
      <c r="I34" s="382"/>
      <c r="J34" s="357"/>
      <c r="K34" s="349"/>
      <c r="L34" s="314"/>
      <c r="M34" s="368"/>
      <c r="N34" s="369"/>
      <c r="O34" s="369"/>
      <c r="P34" s="370"/>
      <c r="Q34" s="303"/>
      <c r="R34" s="570"/>
      <c r="S34" s="573"/>
      <c r="T34" s="573"/>
      <c r="U34" s="576"/>
      <c r="V34" s="303"/>
      <c r="W34" s="343" t="s">
        <v>113</v>
      </c>
      <c r="X34" s="303"/>
      <c r="Y34" s="303"/>
      <c r="Z34" s="303"/>
    </row>
    <row r="35" spans="1:26" x14ac:dyDescent="0.25">
      <c r="A35" s="303"/>
      <c r="B35" s="343" t="s">
        <v>114</v>
      </c>
      <c r="C35" s="396"/>
      <c r="D35" s="397">
        <f t="shared" si="0"/>
        <v>0</v>
      </c>
      <c r="E35" s="403"/>
      <c r="F35" s="391" t="e">
        <f t="shared" si="1"/>
        <v>#DIV/0!</v>
      </c>
      <c r="G35" s="314"/>
      <c r="H35" s="399"/>
      <c r="I35" s="382"/>
      <c r="J35" s="357"/>
      <c r="K35" s="349"/>
      <c r="L35" s="314"/>
      <c r="M35" s="368"/>
      <c r="N35" s="369"/>
      <c r="O35" s="369"/>
      <c r="P35" s="370"/>
      <c r="Q35" s="303"/>
      <c r="R35" s="368"/>
      <c r="S35" s="369"/>
      <c r="T35" s="369"/>
      <c r="U35" s="370"/>
      <c r="V35" s="303"/>
      <c r="W35" s="343" t="s">
        <v>114</v>
      </c>
      <c r="X35" s="303"/>
      <c r="Y35" s="303"/>
      <c r="Z35" s="303"/>
    </row>
    <row r="36" spans="1:26" x14ac:dyDescent="0.25">
      <c r="A36" s="303"/>
      <c r="B36" s="343" t="s">
        <v>115</v>
      </c>
      <c r="C36" s="396"/>
      <c r="D36" s="397">
        <f t="shared" si="0"/>
        <v>0</v>
      </c>
      <c r="E36" s="403"/>
      <c r="F36" s="391" t="e">
        <f t="shared" si="1"/>
        <v>#DIV/0!</v>
      </c>
      <c r="G36" s="314"/>
      <c r="H36" s="399"/>
      <c r="I36" s="382"/>
      <c r="J36" s="357"/>
      <c r="K36" s="349"/>
      <c r="L36" s="314"/>
      <c r="M36" s="368"/>
      <c r="N36" s="369"/>
      <c r="O36" s="369"/>
      <c r="P36" s="370"/>
      <c r="Q36" s="303"/>
      <c r="R36" s="368"/>
      <c r="S36" s="369"/>
      <c r="T36" s="369"/>
      <c r="U36" s="370"/>
      <c r="V36" s="303"/>
      <c r="W36" s="343" t="s">
        <v>115</v>
      </c>
      <c r="X36" s="303"/>
      <c r="Y36" s="303"/>
      <c r="Z36" s="303"/>
    </row>
    <row r="37" spans="1:26" x14ac:dyDescent="0.25">
      <c r="A37" s="303"/>
      <c r="B37" s="343" t="s">
        <v>116</v>
      </c>
      <c r="C37" s="396"/>
      <c r="D37" s="397">
        <f t="shared" si="0"/>
        <v>0</v>
      </c>
      <c r="E37" s="403"/>
      <c r="F37" s="391" t="e">
        <f t="shared" si="1"/>
        <v>#DIV/0!</v>
      </c>
      <c r="G37" s="314"/>
      <c r="H37" s="399"/>
      <c r="I37" s="382"/>
      <c r="J37" s="357"/>
      <c r="K37" s="349"/>
      <c r="L37" s="314"/>
      <c r="M37" s="368"/>
      <c r="N37" s="369"/>
      <c r="O37" s="369"/>
      <c r="P37" s="370"/>
      <c r="Q37" s="303"/>
      <c r="R37" s="368"/>
      <c r="S37" s="369"/>
      <c r="T37" s="369"/>
      <c r="U37" s="370"/>
      <c r="V37" s="303"/>
      <c r="W37" s="343" t="s">
        <v>116</v>
      </c>
      <c r="X37" s="303"/>
      <c r="Y37" s="303"/>
      <c r="Z37" s="303"/>
    </row>
    <row r="38" spans="1:26" x14ac:dyDescent="0.25">
      <c r="A38" s="303"/>
      <c r="B38" s="343" t="s">
        <v>117</v>
      </c>
      <c r="C38" s="396"/>
      <c r="D38" s="397">
        <f t="shared" si="0"/>
        <v>0</v>
      </c>
      <c r="E38" s="398"/>
      <c r="F38" s="391" t="e">
        <f t="shared" si="1"/>
        <v>#DIV/0!</v>
      </c>
      <c r="G38" s="314"/>
      <c r="H38" s="399"/>
      <c r="I38" s="382"/>
      <c r="J38" s="357"/>
      <c r="K38" s="349"/>
      <c r="L38" s="314"/>
      <c r="M38" s="368"/>
      <c r="N38" s="369"/>
      <c r="O38" s="369"/>
      <c r="P38" s="370"/>
      <c r="Q38" s="303"/>
      <c r="R38" s="368"/>
      <c r="S38" s="369"/>
      <c r="T38" s="369"/>
      <c r="U38" s="370"/>
      <c r="V38" s="303"/>
      <c r="W38" s="343" t="s">
        <v>117</v>
      </c>
      <c r="X38" s="303"/>
      <c r="Y38" s="303"/>
      <c r="Z38" s="303"/>
    </row>
    <row r="39" spans="1:26" x14ac:dyDescent="0.25">
      <c r="A39" s="303"/>
      <c r="B39" s="343" t="s">
        <v>118</v>
      </c>
      <c r="C39" s="396"/>
      <c r="D39" s="397">
        <f t="shared" si="0"/>
        <v>0</v>
      </c>
      <c r="E39" s="398"/>
      <c r="F39" s="391" t="e">
        <f t="shared" si="1"/>
        <v>#DIV/0!</v>
      </c>
      <c r="G39" s="314"/>
      <c r="H39" s="399"/>
      <c r="I39" s="382"/>
      <c r="J39" s="357"/>
      <c r="K39" s="349"/>
      <c r="L39" s="314"/>
      <c r="M39" s="368"/>
      <c r="N39" s="369"/>
      <c r="O39" s="369"/>
      <c r="P39" s="370"/>
      <c r="Q39" s="303"/>
      <c r="R39" s="368"/>
      <c r="S39" s="369"/>
      <c r="T39" s="369"/>
      <c r="U39" s="370"/>
      <c r="V39" s="303"/>
      <c r="W39" s="343" t="s">
        <v>118</v>
      </c>
      <c r="X39" s="303"/>
      <c r="Y39" s="303"/>
      <c r="Z39" s="303"/>
    </row>
    <row r="40" spans="1:26" x14ac:dyDescent="0.25">
      <c r="A40" s="303"/>
      <c r="B40" s="343" t="s">
        <v>119</v>
      </c>
      <c r="C40" s="396"/>
      <c r="D40" s="397">
        <f t="shared" si="0"/>
        <v>0</v>
      </c>
      <c r="E40" s="398"/>
      <c r="F40" s="391" t="e">
        <f t="shared" si="1"/>
        <v>#DIV/0!</v>
      </c>
      <c r="G40" s="314"/>
      <c r="H40" s="399"/>
      <c r="I40" s="382"/>
      <c r="J40" s="357"/>
      <c r="K40" s="349"/>
      <c r="L40" s="314"/>
      <c r="M40" s="368"/>
      <c r="N40" s="369"/>
      <c r="O40" s="369"/>
      <c r="P40" s="370"/>
      <c r="Q40" s="303"/>
      <c r="R40" s="368"/>
      <c r="S40" s="369"/>
      <c r="T40" s="369"/>
      <c r="U40" s="370"/>
      <c r="V40" s="303"/>
      <c r="W40" s="343" t="s">
        <v>119</v>
      </c>
      <c r="X40" s="303"/>
      <c r="Y40" s="303"/>
      <c r="Z40" s="303"/>
    </row>
    <row r="41" spans="1:26" x14ac:dyDescent="0.25">
      <c r="A41" s="303"/>
      <c r="B41" s="343" t="s">
        <v>120</v>
      </c>
      <c r="C41" s="396"/>
      <c r="D41" s="397">
        <f t="shared" si="0"/>
        <v>0</v>
      </c>
      <c r="E41" s="398"/>
      <c r="F41" s="391" t="e">
        <f t="shared" si="1"/>
        <v>#DIV/0!</v>
      </c>
      <c r="G41" s="314"/>
      <c r="H41" s="399"/>
      <c r="I41" s="382"/>
      <c r="J41" s="357"/>
      <c r="K41" s="349"/>
      <c r="L41" s="314"/>
      <c r="M41" s="368"/>
      <c r="N41" s="369"/>
      <c r="O41" s="369"/>
      <c r="P41" s="370"/>
      <c r="Q41" s="303"/>
      <c r="R41" s="368"/>
      <c r="S41" s="369"/>
      <c r="T41" s="369"/>
      <c r="U41" s="370"/>
      <c r="V41" s="303"/>
      <c r="W41" s="343" t="s">
        <v>120</v>
      </c>
      <c r="X41" s="303"/>
      <c r="Y41" s="303"/>
      <c r="Z41" s="303"/>
    </row>
    <row r="42" spans="1:26" x14ac:dyDescent="0.25">
      <c r="A42" s="303"/>
      <c r="B42" s="343" t="s">
        <v>121</v>
      </c>
      <c r="C42" s="396"/>
      <c r="D42" s="397">
        <f t="shared" si="0"/>
        <v>0</v>
      </c>
      <c r="E42" s="398"/>
      <c r="F42" s="391" t="e">
        <f t="shared" si="1"/>
        <v>#DIV/0!</v>
      </c>
      <c r="G42" s="314"/>
      <c r="H42" s="399"/>
      <c r="I42" s="382"/>
      <c r="J42" s="357"/>
      <c r="K42" s="349"/>
      <c r="L42" s="314"/>
      <c r="M42" s="368"/>
      <c r="N42" s="369"/>
      <c r="O42" s="369"/>
      <c r="P42" s="370"/>
      <c r="Q42" s="303"/>
      <c r="R42" s="368"/>
      <c r="S42" s="369"/>
      <c r="T42" s="369"/>
      <c r="U42" s="370"/>
      <c r="V42" s="303"/>
      <c r="W42" s="343" t="s">
        <v>121</v>
      </c>
      <c r="X42" s="303"/>
      <c r="Y42" s="303"/>
      <c r="Z42" s="303"/>
    </row>
    <row r="43" spans="1:26" x14ac:dyDescent="0.25">
      <c r="A43" s="303"/>
      <c r="B43" s="343" t="s">
        <v>122</v>
      </c>
      <c r="C43" s="396"/>
      <c r="D43" s="397">
        <f t="shared" si="0"/>
        <v>0</v>
      </c>
      <c r="E43" s="398"/>
      <c r="F43" s="391" t="e">
        <f t="shared" si="1"/>
        <v>#DIV/0!</v>
      </c>
      <c r="G43" s="314"/>
      <c r="H43" s="399"/>
      <c r="I43" s="382"/>
      <c r="J43" s="357"/>
      <c r="K43" s="349"/>
      <c r="L43" s="314"/>
      <c r="M43" s="368"/>
      <c r="N43" s="369"/>
      <c r="O43" s="369"/>
      <c r="P43" s="370"/>
      <c r="Q43" s="303"/>
      <c r="R43" s="368"/>
      <c r="S43" s="369"/>
      <c r="T43" s="369"/>
      <c r="U43" s="370"/>
      <c r="V43" s="303"/>
      <c r="W43" s="343" t="s">
        <v>122</v>
      </c>
      <c r="X43" s="303"/>
      <c r="Y43" s="303"/>
      <c r="Z43" s="303"/>
    </row>
    <row r="44" spans="1:26" x14ac:dyDescent="0.25">
      <c r="A44" s="303"/>
      <c r="B44" s="343" t="s">
        <v>123</v>
      </c>
      <c r="C44" s="404"/>
      <c r="D44" s="405">
        <f t="shared" si="0"/>
        <v>0</v>
      </c>
      <c r="E44" s="421"/>
      <c r="F44" s="391" t="e">
        <f t="shared" si="1"/>
        <v>#DIV/0!</v>
      </c>
      <c r="G44" s="314"/>
      <c r="H44" s="407"/>
      <c r="I44" s="375"/>
      <c r="J44" s="363"/>
      <c r="K44" s="349"/>
      <c r="L44" s="314"/>
      <c r="M44" s="423"/>
      <c r="N44" s="422"/>
      <c r="O44" s="422"/>
      <c r="P44" s="424"/>
      <c r="Q44" s="303"/>
      <c r="R44" s="423"/>
      <c r="S44" s="422"/>
      <c r="T44" s="422"/>
      <c r="U44" s="424"/>
      <c r="V44" s="303"/>
      <c r="W44" s="343" t="s">
        <v>123</v>
      </c>
      <c r="X44" s="303"/>
      <c r="Y44" s="303"/>
      <c r="Z44" s="303"/>
    </row>
    <row r="46" spans="1:26" x14ac:dyDescent="0.25">
      <c r="B46" s="313">
        <v>2019</v>
      </c>
      <c r="C46" s="430">
        <f>SUM(C9:C20)</f>
        <v>0</v>
      </c>
      <c r="D46" s="430">
        <f>SUM(D9:D20)</f>
        <v>0</v>
      </c>
      <c r="E46" s="430">
        <f>SUM(E9:E20)</f>
        <v>0</v>
      </c>
      <c r="F46" s="430" t="e">
        <f>E46/C46</f>
        <v>#DIV/0!</v>
      </c>
      <c r="H46" s="127">
        <f>SUM(H9:H20)</f>
        <v>75.390197999999984</v>
      </c>
      <c r="I46" s="127">
        <f>SUM(I9:I20)</f>
        <v>151481.1587107438</v>
      </c>
      <c r="J46" s="127">
        <f>SUM(J9:J20)</f>
        <v>183292.20204</v>
      </c>
      <c r="K46" s="127">
        <f>J46/H46</f>
        <v>2431.2471236645383</v>
      </c>
      <c r="M46" s="430">
        <f>SUM(M9:M20)</f>
        <v>0</v>
      </c>
      <c r="N46" s="430">
        <f>SUM(N9:N20)</f>
        <v>0</v>
      </c>
      <c r="O46" s="430">
        <f>SUM(O9:O20)</f>
        <v>0</v>
      </c>
      <c r="P46" s="430" t="e">
        <f>O46/M46</f>
        <v>#DIV/0!</v>
      </c>
      <c r="Q46" s="431"/>
      <c r="R46" s="430">
        <f>SUM(R9:R20)</f>
        <v>0</v>
      </c>
      <c r="S46" s="430">
        <f>SUM(S9:S20)</f>
        <v>0</v>
      </c>
      <c r="T46" s="430">
        <f>SUM(T9:T20)</f>
        <v>0</v>
      </c>
      <c r="U46" s="430" t="e">
        <f>T46/R46</f>
        <v>#DIV/0!</v>
      </c>
    </row>
    <row r="47" spans="1:26" x14ac:dyDescent="0.25">
      <c r="B47" s="313">
        <v>2020</v>
      </c>
      <c r="C47" s="430">
        <f>SUM(C21:C32)</f>
        <v>0</v>
      </c>
      <c r="D47" s="430">
        <f>SUM(D21:D32)</f>
        <v>0</v>
      </c>
      <c r="E47" s="430">
        <f>SUM(E21:E32)</f>
        <v>0</v>
      </c>
      <c r="F47" s="430" t="e">
        <f>E47/C47</f>
        <v>#DIV/0!</v>
      </c>
      <c r="H47" s="127">
        <f>SUM(H21:H32)</f>
        <v>49.811675999999999</v>
      </c>
      <c r="I47" s="127">
        <f>SUM(I21:I32)</f>
        <v>149144.18340495866</v>
      </c>
      <c r="J47" s="127">
        <f>SUM(J21:J32)</f>
        <v>180464.46191999997</v>
      </c>
      <c r="K47" s="127">
        <f>J47/H47</f>
        <v>3622.9349504321031</v>
      </c>
      <c r="M47" s="430">
        <f>SUM(M21:M32)</f>
        <v>0</v>
      </c>
      <c r="N47" s="430">
        <f>SUM(N21:N32)</f>
        <v>0</v>
      </c>
      <c r="O47" s="430">
        <f>SUM(O21:O32)</f>
        <v>0</v>
      </c>
      <c r="P47" s="430" t="e">
        <f t="shared" ref="P47:P48" si="4">O47/M47</f>
        <v>#DIV/0!</v>
      </c>
      <c r="Q47" s="431"/>
      <c r="R47" s="430">
        <f>SUM(R21:R32)</f>
        <v>0</v>
      </c>
      <c r="S47" s="430">
        <f>SUM(S21:S32)</f>
        <v>0</v>
      </c>
      <c r="T47" s="430">
        <f>SUM(T21:T32)</f>
        <v>0</v>
      </c>
      <c r="U47" s="430" t="e">
        <f>T47/R47</f>
        <v>#DIV/0!</v>
      </c>
    </row>
    <row r="48" spans="1:26" x14ac:dyDescent="0.25">
      <c r="B48" s="313">
        <v>2021</v>
      </c>
      <c r="C48" s="430">
        <f>SUM(C33:C44)</f>
        <v>0</v>
      </c>
      <c r="D48" s="430">
        <f>SUM(D33:D44)</f>
        <v>0</v>
      </c>
      <c r="E48" s="430">
        <f>SUM(E33:E44)</f>
        <v>0</v>
      </c>
      <c r="F48" s="430" t="e">
        <f>E48/C48</f>
        <v>#DIV/0!</v>
      </c>
      <c r="H48" s="127">
        <f>SUM(H33:H44)</f>
        <v>0</v>
      </c>
      <c r="I48" s="127">
        <f>SUM(I33:I44)</f>
        <v>0</v>
      </c>
      <c r="J48" s="127">
        <f>SUM(J33:J44)</f>
        <v>0</v>
      </c>
      <c r="K48" s="127" t="e">
        <f>J48/H48</f>
        <v>#DIV/0!</v>
      </c>
      <c r="M48" s="430">
        <f>SUM(M33:M44)</f>
        <v>0</v>
      </c>
      <c r="N48" s="430">
        <f>SUM(N33:N44)</f>
        <v>0</v>
      </c>
      <c r="O48" s="430">
        <f>SUM(O33:O44)</f>
        <v>0</v>
      </c>
      <c r="P48" s="430" t="e">
        <f t="shared" si="4"/>
        <v>#DIV/0!</v>
      </c>
      <c r="Q48" s="431"/>
      <c r="R48" s="430">
        <f>SUM(R33:R44)</f>
        <v>0</v>
      </c>
      <c r="S48" s="430">
        <f>SUM(S33:S44)</f>
        <v>0</v>
      </c>
      <c r="T48" s="430">
        <f>SUM(T33:T44)</f>
        <v>0</v>
      </c>
      <c r="U48" s="430" t="e">
        <f>T48/R48</f>
        <v>#DIV/0!</v>
      </c>
    </row>
    <row r="49" spans="2:22" x14ac:dyDescent="0.25">
      <c r="C49" s="431"/>
      <c r="D49" s="431"/>
      <c r="E49" s="431"/>
      <c r="F49" s="431"/>
      <c r="M49" s="431"/>
      <c r="N49" s="431"/>
      <c r="O49" s="431"/>
      <c r="P49" s="431"/>
      <c r="Q49" s="431"/>
      <c r="R49" s="431"/>
      <c r="S49" s="431"/>
      <c r="T49" s="431"/>
      <c r="U49" s="431"/>
    </row>
    <row r="50" spans="2:22" x14ac:dyDescent="0.25">
      <c r="B50" s="330" t="s">
        <v>161</v>
      </c>
      <c r="C50" s="435">
        <f>C46</f>
        <v>0</v>
      </c>
      <c r="D50" s="436"/>
      <c r="E50" s="435" t="e">
        <f>F50*C50</f>
        <v>#DIV/0!</v>
      </c>
      <c r="F50" s="435" t="e">
        <f>F48*1.7</f>
        <v>#DIV/0!</v>
      </c>
      <c r="G50" s="428"/>
      <c r="H50" s="331">
        <f>H46</f>
        <v>75.390197999999984</v>
      </c>
      <c r="I50" s="330"/>
      <c r="J50" s="331">
        <f>K50*H50</f>
        <v>311596.74346800003</v>
      </c>
      <c r="K50" s="429">
        <f>K46*1.7</f>
        <v>4133.1201102297155</v>
      </c>
      <c r="L50" s="428"/>
      <c r="M50" s="433"/>
      <c r="N50" s="433"/>
      <c r="O50" s="433"/>
      <c r="P50" s="433"/>
      <c r="Q50" s="433"/>
      <c r="R50" s="435">
        <f>R46</f>
        <v>0</v>
      </c>
      <c r="S50" s="436"/>
      <c r="T50" s="435" t="e">
        <f>U50*R50</f>
        <v>#DIV/0!</v>
      </c>
      <c r="U50" s="435" t="e">
        <f>U48*1.2</f>
        <v>#DIV/0!</v>
      </c>
      <c r="V50" s="428"/>
    </row>
    <row r="51" spans="2:22" x14ac:dyDescent="0.25">
      <c r="C51" s="434">
        <v>2019</v>
      </c>
      <c r="D51" s="431"/>
      <c r="E51" s="431"/>
      <c r="F51" s="431" t="s">
        <v>168</v>
      </c>
      <c r="H51" s="328">
        <v>2019</v>
      </c>
      <c r="K51" s="437" t="s">
        <v>196</v>
      </c>
      <c r="M51" s="431"/>
      <c r="N51" s="431"/>
      <c r="O51" s="431"/>
      <c r="P51" s="431"/>
      <c r="Q51" s="431"/>
      <c r="R51" s="434">
        <v>2019</v>
      </c>
      <c r="S51" s="431"/>
      <c r="T51" s="431"/>
      <c r="U51" s="431" t="s">
        <v>169</v>
      </c>
    </row>
  </sheetData>
  <mergeCells count="46">
    <mergeCell ref="C3:F3"/>
    <mergeCell ref="M3:U3"/>
    <mergeCell ref="M9:M14"/>
    <mergeCell ref="N9:N14"/>
    <mergeCell ref="O9:O14"/>
    <mergeCell ref="P9:P14"/>
    <mergeCell ref="R9:R14"/>
    <mergeCell ref="S9:S14"/>
    <mergeCell ref="T9:T14"/>
    <mergeCell ref="U9:U14"/>
    <mergeCell ref="T15:T20"/>
    <mergeCell ref="U15:U20"/>
    <mergeCell ref="M21:M24"/>
    <mergeCell ref="N21:N24"/>
    <mergeCell ref="O21:O24"/>
    <mergeCell ref="P21:P24"/>
    <mergeCell ref="R21:R24"/>
    <mergeCell ref="S21:S24"/>
    <mergeCell ref="T21:T24"/>
    <mergeCell ref="U21:U24"/>
    <mergeCell ref="M15:M20"/>
    <mergeCell ref="N15:N20"/>
    <mergeCell ref="O15:O20"/>
    <mergeCell ref="P15:P20"/>
    <mergeCell ref="R15:R20"/>
    <mergeCell ref="S15:S20"/>
    <mergeCell ref="M25:M30"/>
    <mergeCell ref="N25:N30"/>
    <mergeCell ref="O25:O30"/>
    <mergeCell ref="P25:P30"/>
    <mergeCell ref="R25:R30"/>
    <mergeCell ref="M31:M32"/>
    <mergeCell ref="N31:N32"/>
    <mergeCell ref="O31:O32"/>
    <mergeCell ref="P31:P32"/>
    <mergeCell ref="R31:R32"/>
    <mergeCell ref="R33:R34"/>
    <mergeCell ref="S33:S34"/>
    <mergeCell ref="T33:T34"/>
    <mergeCell ref="U33:U34"/>
    <mergeCell ref="T25:T30"/>
    <mergeCell ref="U25:U30"/>
    <mergeCell ref="S31:S32"/>
    <mergeCell ref="T31:T32"/>
    <mergeCell ref="U31:U32"/>
    <mergeCell ref="S25:S30"/>
  </mergeCells>
  <pageMargins left="0.7" right="0.7" top="0.78740157499999996" bottom="0.78740157499999996" header="0.3" footer="0.3"/>
  <pageSetup paperSize="9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49"/>
  <sheetViews>
    <sheetView topLeftCell="A16" zoomScale="70" zoomScaleNormal="70" workbookViewId="0">
      <selection activeCell="E48" sqref="E48"/>
    </sheetView>
  </sheetViews>
  <sheetFormatPr defaultRowHeight="15" x14ac:dyDescent="0.25"/>
  <cols>
    <col min="3" max="3" width="9.28515625" bestFit="1" customWidth="1"/>
    <col min="4" max="4" width="9.28515625" customWidth="1"/>
    <col min="5" max="5" width="11" customWidth="1"/>
    <col min="6" max="6" width="10.7109375" customWidth="1"/>
    <col min="7" max="7" width="12.140625" customWidth="1"/>
    <col min="9" max="9" width="9.28515625" bestFit="1" customWidth="1"/>
    <col min="11" max="13" width="9.28515625" bestFit="1" customWidth="1"/>
    <col min="14" max="18" width="9.28515625" customWidth="1"/>
    <col min="19" max="19" width="14.85546875" bestFit="1" customWidth="1"/>
  </cols>
  <sheetData>
    <row r="1" spans="1:24" ht="26.25" x14ac:dyDescent="0.4">
      <c r="B1" s="341" t="s">
        <v>183</v>
      </c>
    </row>
    <row r="2" spans="1:24" x14ac:dyDescent="0.25">
      <c r="A2" s="303"/>
      <c r="B2" s="303"/>
      <c r="C2" s="304"/>
      <c r="D2" s="304"/>
      <c r="E2" s="304"/>
      <c r="F2" s="304"/>
      <c r="G2" s="304"/>
      <c r="H2" s="303"/>
      <c r="I2" s="303"/>
      <c r="J2" s="303"/>
      <c r="K2" s="303"/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W2" s="303"/>
      <c r="X2" s="303"/>
    </row>
    <row r="3" spans="1:24" x14ac:dyDescent="0.25">
      <c r="A3" s="303"/>
      <c r="B3" s="303"/>
      <c r="C3" s="304"/>
      <c r="D3" s="304"/>
      <c r="E3" s="306" t="s">
        <v>42</v>
      </c>
      <c r="F3" s="306"/>
      <c r="G3" s="306"/>
      <c r="H3" s="303"/>
      <c r="I3" s="303"/>
      <c r="J3" s="306" t="s">
        <v>176</v>
      </c>
      <c r="K3" s="303"/>
      <c r="L3" s="303"/>
      <c r="M3" s="303"/>
      <c r="N3" s="303"/>
      <c r="O3" s="303"/>
      <c r="P3" s="303"/>
      <c r="Q3" s="303"/>
      <c r="R3" s="303"/>
    </row>
    <row r="4" spans="1:24" x14ac:dyDescent="0.25">
      <c r="A4" s="303"/>
      <c r="B4" s="303"/>
      <c r="C4" s="304"/>
      <c r="D4" s="304"/>
      <c r="E4" s="303" t="s">
        <v>184</v>
      </c>
      <c r="F4" s="303"/>
      <c r="G4" s="303"/>
      <c r="H4" s="303"/>
      <c r="I4" s="303"/>
      <c r="J4" s="303" t="s">
        <v>185</v>
      </c>
      <c r="K4" s="303"/>
      <c r="L4" s="303"/>
      <c r="M4" s="303"/>
      <c r="N4" s="303"/>
      <c r="O4" s="303"/>
      <c r="P4" s="303"/>
      <c r="Q4" s="303"/>
      <c r="R4" s="303"/>
    </row>
    <row r="5" spans="1:24" x14ac:dyDescent="0.25">
      <c r="A5" s="303"/>
      <c r="B5" s="303"/>
      <c r="C5" s="308" t="s">
        <v>179</v>
      </c>
      <c r="D5" s="308" t="s">
        <v>180</v>
      </c>
      <c r="E5" s="308" t="s">
        <v>181</v>
      </c>
      <c r="F5" s="308" t="s">
        <v>3</v>
      </c>
      <c r="G5" s="308" t="s">
        <v>4</v>
      </c>
      <c r="H5" s="308" t="s">
        <v>94</v>
      </c>
      <c r="I5" s="303"/>
      <c r="J5" s="309" t="s">
        <v>1</v>
      </c>
      <c r="K5" s="309" t="s">
        <v>3</v>
      </c>
      <c r="L5" s="309" t="s">
        <v>4</v>
      </c>
      <c r="M5" s="309" t="s">
        <v>153</v>
      </c>
      <c r="N5" s="303"/>
      <c r="O5" s="303"/>
      <c r="P5" s="303"/>
      <c r="Q5" s="303"/>
      <c r="R5" s="303"/>
    </row>
    <row r="6" spans="1:24" x14ac:dyDescent="0.25">
      <c r="A6" s="303"/>
      <c r="B6" s="303"/>
      <c r="C6" s="303"/>
      <c r="D6" s="303"/>
      <c r="E6" s="342"/>
      <c r="F6" s="342"/>
      <c r="G6" s="342"/>
      <c r="H6" s="342"/>
      <c r="I6" s="303"/>
      <c r="J6" s="342"/>
      <c r="K6" s="342"/>
      <c r="L6" s="342"/>
      <c r="M6" s="342"/>
      <c r="N6" s="303"/>
      <c r="O6" s="303"/>
      <c r="P6" s="303"/>
      <c r="Q6" s="303"/>
      <c r="R6" s="303"/>
    </row>
    <row r="7" spans="1:24" x14ac:dyDescent="0.25">
      <c r="A7" s="303">
        <v>2019</v>
      </c>
      <c r="B7" s="343" t="s">
        <v>112</v>
      </c>
      <c r="C7" s="344">
        <v>5.5880000000000001</v>
      </c>
      <c r="D7" s="345">
        <v>31.657</v>
      </c>
      <c r="E7" s="346">
        <f>C7+D7</f>
        <v>37.244999999999997</v>
      </c>
      <c r="F7" s="347">
        <f>G7/1.21</f>
        <v>83086.776859504142</v>
      </c>
      <c r="G7" s="348">
        <v>100535</v>
      </c>
      <c r="H7" s="349">
        <f>G7/E7</f>
        <v>2699.2884951000137</v>
      </c>
      <c r="I7" s="314"/>
      <c r="J7" s="568">
        <v>125</v>
      </c>
      <c r="K7" s="571">
        <f>6633.75+4197.5</f>
        <v>10831.25</v>
      </c>
      <c r="L7" s="571">
        <f>K7*1.15</f>
        <v>12455.937499999998</v>
      </c>
      <c r="M7" s="574">
        <f>L7/J7</f>
        <v>99.64749999999998</v>
      </c>
      <c r="N7" s="303"/>
      <c r="O7" s="343" t="s">
        <v>112</v>
      </c>
      <c r="P7" s="303">
        <v>2019</v>
      </c>
      <c r="Q7" s="303"/>
      <c r="R7" s="303"/>
    </row>
    <row r="8" spans="1:24" x14ac:dyDescent="0.25">
      <c r="A8" s="303"/>
      <c r="B8" s="343" t="s">
        <v>113</v>
      </c>
      <c r="C8" s="353">
        <v>4.3780000000000001</v>
      </c>
      <c r="D8" s="354">
        <v>25.661999999999999</v>
      </c>
      <c r="E8" s="355">
        <f t="shared" ref="E8:E18" si="0">C8+D8</f>
        <v>30.04</v>
      </c>
      <c r="F8" s="356">
        <f t="shared" ref="F8:F42" si="1">G8/1.21</f>
        <v>69312.396694214884</v>
      </c>
      <c r="G8" s="357">
        <v>83868</v>
      </c>
      <c r="H8" s="349">
        <f t="shared" ref="H8:H42" si="2">G8/E8</f>
        <v>2791.8774966711053</v>
      </c>
      <c r="I8" s="314"/>
      <c r="J8" s="569"/>
      <c r="K8" s="572"/>
      <c r="L8" s="572"/>
      <c r="M8" s="575"/>
      <c r="N8" s="303"/>
      <c r="O8" s="343" t="s">
        <v>113</v>
      </c>
      <c r="P8" s="303"/>
      <c r="Q8" s="303"/>
      <c r="R8" s="303"/>
    </row>
    <row r="9" spans="1:24" x14ac:dyDescent="0.25">
      <c r="A9" s="303"/>
      <c r="B9" s="343" t="s">
        <v>114</v>
      </c>
      <c r="C9" s="353">
        <v>3.9279999999999999</v>
      </c>
      <c r="D9" s="354">
        <v>22.283999999999999</v>
      </c>
      <c r="E9" s="355">
        <f t="shared" si="0"/>
        <v>26.212</v>
      </c>
      <c r="F9" s="356">
        <f t="shared" si="1"/>
        <v>61308.264462809922</v>
      </c>
      <c r="G9" s="357">
        <v>74183</v>
      </c>
      <c r="H9" s="349">
        <f t="shared" si="2"/>
        <v>2830.1159774149246</v>
      </c>
      <c r="I9" s="314"/>
      <c r="J9" s="569"/>
      <c r="K9" s="572"/>
      <c r="L9" s="572"/>
      <c r="M9" s="575"/>
      <c r="N9" s="303"/>
      <c r="O9" s="343" t="s">
        <v>114</v>
      </c>
      <c r="P9" s="303"/>
      <c r="Q9" s="303"/>
      <c r="R9" s="303"/>
    </row>
    <row r="10" spans="1:24" x14ac:dyDescent="0.25">
      <c r="A10" s="303"/>
      <c r="B10" s="343" t="s">
        <v>115</v>
      </c>
      <c r="C10" s="353">
        <v>2.6619999999999999</v>
      </c>
      <c r="D10" s="358">
        <v>14.343</v>
      </c>
      <c r="E10" s="355">
        <f t="shared" si="0"/>
        <v>17.004999999999999</v>
      </c>
      <c r="F10" s="356">
        <f t="shared" si="1"/>
        <v>41615.702479338841</v>
      </c>
      <c r="G10" s="357">
        <v>50355</v>
      </c>
      <c r="H10" s="349">
        <f t="shared" si="2"/>
        <v>2961.1878859159074</v>
      </c>
      <c r="I10" s="314"/>
      <c r="J10" s="569"/>
      <c r="K10" s="572"/>
      <c r="L10" s="572"/>
      <c r="M10" s="575"/>
      <c r="N10" s="303"/>
      <c r="O10" s="343" t="s">
        <v>115</v>
      </c>
      <c r="P10" s="303"/>
      <c r="Q10" s="303"/>
      <c r="R10" s="303"/>
    </row>
    <row r="11" spans="1:24" x14ac:dyDescent="0.25">
      <c r="A11" s="303"/>
      <c r="B11" s="343" t="s">
        <v>116</v>
      </c>
      <c r="C11" s="353">
        <v>2.5310000000000001</v>
      </c>
      <c r="D11" s="358">
        <v>8.6199999999999992</v>
      </c>
      <c r="E11" s="355">
        <f t="shared" si="0"/>
        <v>11.151</v>
      </c>
      <c r="F11" s="356">
        <f t="shared" si="1"/>
        <v>30717.892561983474</v>
      </c>
      <c r="G11" s="357">
        <v>37168.65</v>
      </c>
      <c r="H11" s="349">
        <f t="shared" si="2"/>
        <v>3333.2122679580307</v>
      </c>
      <c r="I11" s="314"/>
      <c r="J11" s="570"/>
      <c r="K11" s="573"/>
      <c r="L11" s="573"/>
      <c r="M11" s="576"/>
      <c r="N11" s="303"/>
      <c r="O11" s="343" t="s">
        <v>116</v>
      </c>
      <c r="P11" s="303"/>
      <c r="Q11" s="303"/>
      <c r="R11" s="303"/>
    </row>
    <row r="12" spans="1:24" x14ac:dyDescent="0.25">
      <c r="A12" s="303"/>
      <c r="B12" s="343" t="s">
        <v>117</v>
      </c>
      <c r="C12" s="353">
        <v>1.4359999999999999</v>
      </c>
      <c r="D12" s="354">
        <v>0.83899999999999997</v>
      </c>
      <c r="E12" s="355">
        <f t="shared" si="0"/>
        <v>2.2749999999999999</v>
      </c>
      <c r="F12" s="356">
        <f t="shared" si="1"/>
        <v>12035.537190082645</v>
      </c>
      <c r="G12" s="357">
        <v>14563</v>
      </c>
      <c r="H12" s="349">
        <f t="shared" si="2"/>
        <v>6401.3186813186812</v>
      </c>
      <c r="I12" s="314"/>
      <c r="J12" s="568">
        <v>168</v>
      </c>
      <c r="K12" s="571">
        <f>8915.76+5641.44</f>
        <v>14557.2</v>
      </c>
      <c r="L12" s="571">
        <f>K12*1.15</f>
        <v>16740.78</v>
      </c>
      <c r="M12" s="574">
        <f>L12/J12</f>
        <v>99.647499999999994</v>
      </c>
      <c r="N12" s="303"/>
      <c r="O12" s="343" t="s">
        <v>117</v>
      </c>
      <c r="P12" s="303"/>
      <c r="Q12" s="303"/>
      <c r="R12" s="303"/>
    </row>
    <row r="13" spans="1:24" x14ac:dyDescent="0.25">
      <c r="A13" s="303"/>
      <c r="B13" s="343" t="s">
        <v>118</v>
      </c>
      <c r="C13" s="353">
        <v>1.3220000000000001</v>
      </c>
      <c r="D13" s="354">
        <v>0.47099999999999997</v>
      </c>
      <c r="E13" s="355">
        <f t="shared" si="0"/>
        <v>1.7930000000000001</v>
      </c>
      <c r="F13" s="356">
        <f t="shared" si="1"/>
        <v>11368.595041322315</v>
      </c>
      <c r="G13" s="357">
        <v>13756</v>
      </c>
      <c r="H13" s="349">
        <f t="shared" si="2"/>
        <v>7672.0580033463466</v>
      </c>
      <c r="I13" s="314"/>
      <c r="J13" s="569"/>
      <c r="K13" s="572"/>
      <c r="L13" s="572"/>
      <c r="M13" s="575"/>
      <c r="N13" s="303"/>
      <c r="O13" s="343" t="s">
        <v>118</v>
      </c>
      <c r="P13" s="303"/>
      <c r="Q13" s="303"/>
      <c r="R13" s="303"/>
    </row>
    <row r="14" spans="1:24" x14ac:dyDescent="0.25">
      <c r="A14" s="303"/>
      <c r="B14" s="343" t="s">
        <v>119</v>
      </c>
      <c r="C14" s="353">
        <v>1.44</v>
      </c>
      <c r="D14" s="354">
        <v>0.46100000000000002</v>
      </c>
      <c r="E14" s="355">
        <f t="shared" si="0"/>
        <v>1.901</v>
      </c>
      <c r="F14" s="356">
        <f t="shared" si="1"/>
        <v>13585.123966942148</v>
      </c>
      <c r="G14" s="357">
        <v>16438</v>
      </c>
      <c r="H14" s="349">
        <f t="shared" si="2"/>
        <v>8647.027880063124</v>
      </c>
      <c r="I14" s="314"/>
      <c r="J14" s="569"/>
      <c r="K14" s="572"/>
      <c r="L14" s="572"/>
      <c r="M14" s="575"/>
      <c r="N14" s="303"/>
      <c r="O14" s="343" t="s">
        <v>119</v>
      </c>
      <c r="P14" s="303"/>
      <c r="Q14" s="303"/>
      <c r="R14" s="303"/>
    </row>
    <row r="15" spans="1:24" x14ac:dyDescent="0.25">
      <c r="A15" s="303"/>
      <c r="B15" s="343" t="s">
        <v>120</v>
      </c>
      <c r="C15" s="353">
        <v>1.29</v>
      </c>
      <c r="D15" s="354">
        <v>2.0369999999999999</v>
      </c>
      <c r="E15" s="355">
        <f t="shared" si="0"/>
        <v>3.327</v>
      </c>
      <c r="F15" s="356">
        <f t="shared" si="1"/>
        <v>32055.371900826449</v>
      </c>
      <c r="G15" s="357">
        <v>38787</v>
      </c>
      <c r="H15" s="349">
        <f t="shared" si="2"/>
        <v>11658.250676284941</v>
      </c>
      <c r="I15" s="314"/>
      <c r="J15" s="569"/>
      <c r="K15" s="572"/>
      <c r="L15" s="572"/>
      <c r="M15" s="575"/>
      <c r="N15" s="303"/>
      <c r="O15" s="343" t="s">
        <v>120</v>
      </c>
      <c r="P15" s="303"/>
      <c r="Q15" s="303"/>
      <c r="R15" s="303"/>
    </row>
    <row r="16" spans="1:24" x14ac:dyDescent="0.25">
      <c r="A16" s="303"/>
      <c r="B16" s="343" t="s">
        <v>121</v>
      </c>
      <c r="C16" s="353">
        <v>2.3559999999999999</v>
      </c>
      <c r="D16" s="354">
        <v>9.7680000000000007</v>
      </c>
      <c r="E16" s="355">
        <f t="shared" si="0"/>
        <v>12.124000000000001</v>
      </c>
      <c r="F16" s="356">
        <f t="shared" si="1"/>
        <v>32055.371900826449</v>
      </c>
      <c r="G16" s="357">
        <v>38787</v>
      </c>
      <c r="H16" s="349">
        <f t="shared" si="2"/>
        <v>3199.1916859122402</v>
      </c>
      <c r="I16" s="314"/>
      <c r="J16" s="570"/>
      <c r="K16" s="573"/>
      <c r="L16" s="573"/>
      <c r="M16" s="576"/>
      <c r="N16" s="303"/>
      <c r="O16" s="343" t="s">
        <v>121</v>
      </c>
      <c r="P16" s="303"/>
      <c r="Q16" s="303"/>
      <c r="R16" s="303"/>
    </row>
    <row r="17" spans="1:18" x14ac:dyDescent="0.25">
      <c r="A17" s="303"/>
      <c r="B17" s="343" t="s">
        <v>122</v>
      </c>
      <c r="C17" s="353">
        <v>3.419</v>
      </c>
      <c r="D17" s="354">
        <v>21.253</v>
      </c>
      <c r="E17" s="355">
        <f t="shared" si="0"/>
        <v>24.672000000000001</v>
      </c>
      <c r="F17" s="356">
        <f t="shared" si="1"/>
        <v>57298.347107438021</v>
      </c>
      <c r="G17" s="357">
        <v>69331</v>
      </c>
      <c r="H17" s="349">
        <f t="shared" si="2"/>
        <v>2810.1086251621268</v>
      </c>
      <c r="I17" s="314"/>
      <c r="J17" s="568">
        <v>41</v>
      </c>
      <c r="K17" s="571">
        <f>2175.87+1376.78</f>
        <v>3552.6499999999996</v>
      </c>
      <c r="L17" s="571">
        <f>K17*1.15</f>
        <v>4085.5474999999992</v>
      </c>
      <c r="M17" s="574">
        <f>L17/J17</f>
        <v>99.64749999999998</v>
      </c>
      <c r="N17" s="303"/>
      <c r="O17" s="343" t="s">
        <v>122</v>
      </c>
      <c r="P17" s="303"/>
      <c r="Q17" s="303"/>
      <c r="R17" s="303"/>
    </row>
    <row r="18" spans="1:18" x14ac:dyDescent="0.25">
      <c r="A18" s="303"/>
      <c r="B18" s="343" t="s">
        <v>123</v>
      </c>
      <c r="C18" s="359">
        <v>3.2040000000000002</v>
      </c>
      <c r="D18" s="360">
        <v>25.172000000000001</v>
      </c>
      <c r="E18" s="361">
        <f t="shared" si="0"/>
        <v>28.376000000000001</v>
      </c>
      <c r="F18" s="362">
        <f t="shared" si="1"/>
        <v>62990.909090909096</v>
      </c>
      <c r="G18" s="363">
        <v>76219</v>
      </c>
      <c r="H18" s="349">
        <f t="shared" si="2"/>
        <v>2686.0374964758948</v>
      </c>
      <c r="I18" s="314"/>
      <c r="J18" s="570"/>
      <c r="K18" s="573"/>
      <c r="L18" s="573"/>
      <c r="M18" s="576"/>
      <c r="N18" s="303"/>
      <c r="O18" s="343" t="s">
        <v>123</v>
      </c>
      <c r="P18" s="303"/>
      <c r="Q18" s="303"/>
      <c r="R18" s="303"/>
    </row>
    <row r="19" spans="1:18" x14ac:dyDescent="0.25">
      <c r="A19" s="303">
        <v>2020</v>
      </c>
      <c r="B19" s="343" t="s">
        <v>112</v>
      </c>
      <c r="C19" s="344">
        <v>3.2879999999999998</v>
      </c>
      <c r="D19" s="345">
        <v>28.818000000000001</v>
      </c>
      <c r="E19" s="346">
        <f>C19+D19</f>
        <v>32.106000000000002</v>
      </c>
      <c r="F19" s="347">
        <f t="shared" si="1"/>
        <v>72244.123966942148</v>
      </c>
      <c r="G19" s="348">
        <v>87415.39</v>
      </c>
      <c r="H19" s="349">
        <f t="shared" si="2"/>
        <v>2722.7119541518719</v>
      </c>
      <c r="I19" s="314"/>
      <c r="J19" s="568">
        <f>100+6</f>
        <v>106</v>
      </c>
      <c r="K19" s="571">
        <f>5594+350.88+3506+219.9</f>
        <v>9670.7800000000007</v>
      </c>
      <c r="L19" s="571">
        <f>K19*1.1</f>
        <v>10637.858000000002</v>
      </c>
      <c r="M19" s="574">
        <f>L19/J19</f>
        <v>100.35715094339625</v>
      </c>
      <c r="N19" s="364"/>
      <c r="O19" s="343" t="s">
        <v>112</v>
      </c>
      <c r="P19" s="303">
        <v>2020</v>
      </c>
      <c r="Q19" s="303"/>
      <c r="R19" s="303"/>
    </row>
    <row r="20" spans="1:18" x14ac:dyDescent="0.25">
      <c r="A20" s="303"/>
      <c r="B20" s="343" t="s">
        <v>113</v>
      </c>
      <c r="C20" s="353">
        <v>3.9359999999999999</v>
      </c>
      <c r="D20" s="354">
        <v>25.652000000000001</v>
      </c>
      <c r="E20" s="355">
        <f t="shared" ref="E20:E30" si="3">C20+D20</f>
        <v>29.588000000000001</v>
      </c>
      <c r="F20" s="356">
        <f t="shared" si="1"/>
        <v>69675.206611570247</v>
      </c>
      <c r="G20" s="381">
        <v>84307</v>
      </c>
      <c r="H20" s="349">
        <f t="shared" si="2"/>
        <v>2849.3646072732186</v>
      </c>
      <c r="I20" s="314"/>
      <c r="J20" s="569"/>
      <c r="K20" s="572"/>
      <c r="L20" s="572"/>
      <c r="M20" s="575"/>
      <c r="N20" s="364"/>
      <c r="O20" s="343" t="s">
        <v>113</v>
      </c>
      <c r="P20" s="303"/>
      <c r="Q20" s="303"/>
      <c r="R20" s="303"/>
    </row>
    <row r="21" spans="1:18" x14ac:dyDescent="0.25">
      <c r="A21" s="303"/>
      <c r="B21" s="343" t="s">
        <v>114</v>
      </c>
      <c r="C21" s="353">
        <v>2.3039999999999998</v>
      </c>
      <c r="D21" s="354">
        <v>20.457000000000001</v>
      </c>
      <c r="E21" s="355">
        <f t="shared" si="3"/>
        <v>22.760999999999999</v>
      </c>
      <c r="F21" s="356">
        <f t="shared" si="1"/>
        <v>54569.421487603307</v>
      </c>
      <c r="G21" s="381">
        <v>66029</v>
      </c>
      <c r="H21" s="349">
        <f t="shared" si="2"/>
        <v>2900.9709590967004</v>
      </c>
      <c r="I21" s="314"/>
      <c r="J21" s="569"/>
      <c r="K21" s="572"/>
      <c r="L21" s="572"/>
      <c r="M21" s="575"/>
      <c r="N21" s="364"/>
      <c r="O21" s="343" t="s">
        <v>114</v>
      </c>
      <c r="P21" s="303"/>
      <c r="Q21" s="303"/>
      <c r="R21" s="303"/>
    </row>
    <row r="22" spans="1:18" x14ac:dyDescent="0.25">
      <c r="A22" s="303"/>
      <c r="B22" s="343" t="s">
        <v>115</v>
      </c>
      <c r="C22" s="353">
        <v>1.091</v>
      </c>
      <c r="D22" s="358">
        <v>10.930999999999999</v>
      </c>
      <c r="E22" s="355">
        <f t="shared" si="3"/>
        <v>12.021999999999998</v>
      </c>
      <c r="F22" s="356">
        <f t="shared" si="1"/>
        <v>24990.082644628099</v>
      </c>
      <c r="G22" s="381">
        <v>30238</v>
      </c>
      <c r="H22" s="349">
        <f t="shared" si="2"/>
        <v>2515.2220928298125</v>
      </c>
      <c r="I22" s="314"/>
      <c r="J22" s="570"/>
      <c r="K22" s="573"/>
      <c r="L22" s="573"/>
      <c r="M22" s="576"/>
      <c r="N22" s="364"/>
      <c r="O22" s="343" t="s">
        <v>115</v>
      </c>
      <c r="P22" s="303"/>
      <c r="Q22" s="303"/>
      <c r="R22" s="303"/>
    </row>
    <row r="23" spans="1:18" x14ac:dyDescent="0.25">
      <c r="A23" s="303"/>
      <c r="B23" s="343" t="s">
        <v>116</v>
      </c>
      <c r="C23" s="353">
        <v>1.595</v>
      </c>
      <c r="D23" s="354">
        <v>6.1029999999999998</v>
      </c>
      <c r="E23" s="355">
        <f t="shared" si="3"/>
        <v>7.6979999999999995</v>
      </c>
      <c r="F23" s="356">
        <f t="shared" si="1"/>
        <v>22450.413223140498</v>
      </c>
      <c r="G23" s="381">
        <v>27165</v>
      </c>
      <c r="H23" s="349">
        <f t="shared" si="2"/>
        <v>3528.83865939205</v>
      </c>
      <c r="I23" s="314"/>
      <c r="J23" s="568">
        <v>242</v>
      </c>
      <c r="K23" s="571">
        <f>14152.16+8869.3</f>
        <v>23021.46</v>
      </c>
      <c r="L23" s="571">
        <f>K23*1.1</f>
        <v>25323.606</v>
      </c>
      <c r="M23" s="574">
        <f>L23/J23</f>
        <v>104.643</v>
      </c>
      <c r="N23" s="303"/>
      <c r="O23" s="343" t="s">
        <v>116</v>
      </c>
      <c r="P23" s="303"/>
      <c r="Q23" s="303"/>
      <c r="R23" s="303"/>
    </row>
    <row r="24" spans="1:18" x14ac:dyDescent="0.25">
      <c r="A24" s="303"/>
      <c r="B24" s="343" t="s">
        <v>117</v>
      </c>
      <c r="C24" s="353">
        <v>1.1890000000000001</v>
      </c>
      <c r="D24" s="354">
        <v>2.1680000000000001</v>
      </c>
      <c r="E24" s="355">
        <f t="shared" si="3"/>
        <v>3.3570000000000002</v>
      </c>
      <c r="F24" s="356">
        <f t="shared" si="1"/>
        <v>12785.950413223141</v>
      </c>
      <c r="G24" s="381">
        <v>15471</v>
      </c>
      <c r="H24" s="349">
        <f t="shared" si="2"/>
        <v>4608.5790884718499</v>
      </c>
      <c r="I24" s="314"/>
      <c r="J24" s="569"/>
      <c r="K24" s="572"/>
      <c r="L24" s="572"/>
      <c r="M24" s="575"/>
      <c r="N24" s="303"/>
      <c r="O24" s="343" t="s">
        <v>117</v>
      </c>
      <c r="P24" s="303"/>
      <c r="Q24" s="303"/>
      <c r="R24" s="303"/>
    </row>
    <row r="25" spans="1:18" x14ac:dyDescent="0.25">
      <c r="A25" s="303"/>
      <c r="B25" s="343" t="s">
        <v>118</v>
      </c>
      <c r="C25" s="353">
        <v>1.333</v>
      </c>
      <c r="D25" s="354">
        <v>0.434</v>
      </c>
      <c r="E25" s="355">
        <f t="shared" si="3"/>
        <v>1.7669999999999999</v>
      </c>
      <c r="F25" s="356">
        <f t="shared" si="1"/>
        <v>9838.8429752066113</v>
      </c>
      <c r="G25" s="381">
        <v>11905</v>
      </c>
      <c r="H25" s="349">
        <f t="shared" si="2"/>
        <v>6737.4080362195818</v>
      </c>
      <c r="I25" s="314"/>
      <c r="J25" s="569"/>
      <c r="K25" s="572"/>
      <c r="L25" s="572"/>
      <c r="M25" s="575"/>
      <c r="N25" s="303"/>
      <c r="O25" s="343" t="s">
        <v>118</v>
      </c>
      <c r="P25" s="303"/>
      <c r="Q25" s="303"/>
      <c r="R25" s="303"/>
    </row>
    <row r="26" spans="1:18" x14ac:dyDescent="0.25">
      <c r="A26" s="303"/>
      <c r="B26" s="343" t="s">
        <v>119</v>
      </c>
      <c r="C26" s="353">
        <v>1.304</v>
      </c>
      <c r="D26" s="354">
        <v>0.46899999999999997</v>
      </c>
      <c r="E26" s="355">
        <f t="shared" si="3"/>
        <v>1.7730000000000001</v>
      </c>
      <c r="F26" s="382">
        <f t="shared" si="1"/>
        <v>9791.7355371900831</v>
      </c>
      <c r="G26" s="381">
        <v>11848</v>
      </c>
      <c r="H26" s="349">
        <f t="shared" si="2"/>
        <v>6682.4591088550478</v>
      </c>
      <c r="I26" s="314"/>
      <c r="J26" s="569"/>
      <c r="K26" s="572"/>
      <c r="L26" s="572"/>
      <c r="M26" s="575"/>
      <c r="N26" s="303"/>
      <c r="O26" s="343" t="s">
        <v>119</v>
      </c>
      <c r="P26" s="303"/>
      <c r="Q26" s="303"/>
      <c r="R26" s="303"/>
    </row>
    <row r="27" spans="1:18" x14ac:dyDescent="0.25">
      <c r="A27" s="303"/>
      <c r="B27" s="343" t="s">
        <v>120</v>
      </c>
      <c r="C27" s="353">
        <v>1.306</v>
      </c>
      <c r="D27" s="354">
        <v>0.94499999999999995</v>
      </c>
      <c r="E27" s="355">
        <f t="shared" si="3"/>
        <v>2.2509999999999999</v>
      </c>
      <c r="F27" s="382">
        <f t="shared" si="1"/>
        <v>10769.421487603306</v>
      </c>
      <c r="G27" s="381">
        <v>13031</v>
      </c>
      <c r="H27" s="349">
        <f t="shared" si="2"/>
        <v>5788.9826743669482</v>
      </c>
      <c r="I27" s="314"/>
      <c r="J27" s="569"/>
      <c r="K27" s="572"/>
      <c r="L27" s="572"/>
      <c r="M27" s="575"/>
      <c r="N27" s="303"/>
      <c r="O27" s="343" t="s">
        <v>120</v>
      </c>
      <c r="P27" s="303"/>
      <c r="Q27" s="303"/>
      <c r="R27" s="303"/>
    </row>
    <row r="28" spans="1:18" x14ac:dyDescent="0.25">
      <c r="A28" s="303"/>
      <c r="B28" s="343" t="s">
        <v>121</v>
      </c>
      <c r="C28" s="353">
        <v>1.446</v>
      </c>
      <c r="D28" s="354">
        <v>11.815</v>
      </c>
      <c r="E28" s="355">
        <f t="shared" si="3"/>
        <v>13.260999999999999</v>
      </c>
      <c r="F28" s="382">
        <f t="shared" si="1"/>
        <v>33480.165289256198</v>
      </c>
      <c r="G28" s="381">
        <v>40511</v>
      </c>
      <c r="H28" s="349">
        <f t="shared" si="2"/>
        <v>3054.897820677174</v>
      </c>
      <c r="I28" s="314"/>
      <c r="J28" s="570"/>
      <c r="K28" s="573"/>
      <c r="L28" s="573"/>
      <c r="M28" s="576"/>
      <c r="N28" s="303"/>
      <c r="O28" s="343" t="s">
        <v>121</v>
      </c>
      <c r="P28" s="303"/>
      <c r="Q28" s="303"/>
      <c r="R28" s="303"/>
    </row>
    <row r="29" spans="1:18" x14ac:dyDescent="0.25">
      <c r="A29" s="303"/>
      <c r="B29" s="343" t="s">
        <v>122</v>
      </c>
      <c r="C29" s="353">
        <v>1.7969999999999999</v>
      </c>
      <c r="D29" s="354">
        <v>18.440999999999999</v>
      </c>
      <c r="E29" s="355">
        <f t="shared" si="3"/>
        <v>20.238</v>
      </c>
      <c r="F29" s="382">
        <f t="shared" si="1"/>
        <v>48403.305785123972</v>
      </c>
      <c r="G29" s="381">
        <v>58568</v>
      </c>
      <c r="H29" s="349">
        <f t="shared" si="2"/>
        <v>2893.9618539381363</v>
      </c>
      <c r="I29" s="314"/>
      <c r="J29" s="568">
        <v>21</v>
      </c>
      <c r="K29" s="571">
        <f>1228.08+769.56</f>
        <v>1997.6399999999999</v>
      </c>
      <c r="L29" s="571">
        <f>K29*1.1</f>
        <v>2197.404</v>
      </c>
      <c r="M29" s="574">
        <f>L29/J29</f>
        <v>104.63828571428571</v>
      </c>
      <c r="N29" s="303"/>
      <c r="O29" s="343" t="s">
        <v>122</v>
      </c>
      <c r="P29" s="303"/>
      <c r="Q29" s="303"/>
      <c r="R29" s="303"/>
    </row>
    <row r="30" spans="1:18" x14ac:dyDescent="0.25">
      <c r="A30" s="303"/>
      <c r="B30" s="343" t="s">
        <v>123</v>
      </c>
      <c r="C30" s="359">
        <v>3.0139999999999998</v>
      </c>
      <c r="D30" s="360">
        <v>24.457999999999998</v>
      </c>
      <c r="E30" s="361">
        <f t="shared" si="3"/>
        <v>27.471999999999998</v>
      </c>
      <c r="F30" s="375">
        <f t="shared" si="1"/>
        <v>64545.454545454544</v>
      </c>
      <c r="G30" s="383">
        <v>78100</v>
      </c>
      <c r="H30" s="349">
        <f t="shared" si="2"/>
        <v>2842.8945835760051</v>
      </c>
      <c r="I30" s="314"/>
      <c r="J30" s="570"/>
      <c r="K30" s="573"/>
      <c r="L30" s="573"/>
      <c r="M30" s="576"/>
      <c r="N30" s="303"/>
      <c r="O30" s="343" t="s">
        <v>123</v>
      </c>
      <c r="P30" s="303"/>
      <c r="Q30" s="303"/>
      <c r="R30" s="303"/>
    </row>
    <row r="31" spans="1:18" x14ac:dyDescent="0.25">
      <c r="A31" s="303">
        <v>2021</v>
      </c>
      <c r="B31" s="343" t="s">
        <v>112</v>
      </c>
      <c r="C31" s="344">
        <v>2.3460000000000001</v>
      </c>
      <c r="D31" s="345">
        <v>26.568000000000001</v>
      </c>
      <c r="E31" s="346">
        <f>C31+D31</f>
        <v>28.914000000000001</v>
      </c>
      <c r="F31" s="384">
        <f t="shared" si="1"/>
        <v>62128.099173553717</v>
      </c>
      <c r="G31" s="385">
        <v>75175</v>
      </c>
      <c r="H31" s="349">
        <f t="shared" si="2"/>
        <v>2599.9515805492147</v>
      </c>
      <c r="I31" s="314"/>
      <c r="J31" s="568">
        <v>45</v>
      </c>
      <c r="K31" s="571">
        <f>2684.25+1682.55</f>
        <v>4366.8</v>
      </c>
      <c r="L31" s="571">
        <f>K31*1.1</f>
        <v>4803.4800000000005</v>
      </c>
      <c r="M31" s="574">
        <f>L31/J31</f>
        <v>106.74400000000001</v>
      </c>
      <c r="N31" s="303"/>
      <c r="O31" s="343" t="s">
        <v>112</v>
      </c>
      <c r="P31" s="303">
        <v>2021</v>
      </c>
      <c r="Q31" s="303"/>
      <c r="R31" s="303"/>
    </row>
    <row r="32" spans="1:18" x14ac:dyDescent="0.25">
      <c r="A32" s="303"/>
      <c r="B32" s="343" t="s">
        <v>113</v>
      </c>
      <c r="C32" s="353">
        <v>1.8</v>
      </c>
      <c r="D32" s="354">
        <v>26.079000000000001</v>
      </c>
      <c r="E32" s="355">
        <f t="shared" ref="E32:E42" si="4">C32+D32</f>
        <v>27.879000000000001</v>
      </c>
      <c r="F32" s="382">
        <f t="shared" si="1"/>
        <v>59229.752066115703</v>
      </c>
      <c r="G32" s="381">
        <v>71668</v>
      </c>
      <c r="H32" s="349">
        <f t="shared" si="2"/>
        <v>2570.6804404749091</v>
      </c>
      <c r="I32" s="314"/>
      <c r="J32" s="569"/>
      <c r="K32" s="572"/>
      <c r="L32" s="572"/>
      <c r="M32" s="575"/>
      <c r="N32" s="303"/>
      <c r="O32" s="343" t="s">
        <v>113</v>
      </c>
      <c r="P32" s="303"/>
      <c r="Q32" s="303"/>
      <c r="R32" s="303"/>
    </row>
    <row r="33" spans="1:18" x14ac:dyDescent="0.25">
      <c r="A33" s="303"/>
      <c r="B33" s="343" t="s">
        <v>114</v>
      </c>
      <c r="C33" s="353">
        <v>1.1100000000000001</v>
      </c>
      <c r="D33" s="354">
        <v>20.452999999999999</v>
      </c>
      <c r="E33" s="355">
        <f t="shared" si="4"/>
        <v>21.562999999999999</v>
      </c>
      <c r="F33" s="382">
        <f t="shared" si="1"/>
        <v>46080.165289256198</v>
      </c>
      <c r="G33" s="381">
        <v>55757</v>
      </c>
      <c r="H33" s="349">
        <f t="shared" si="2"/>
        <v>2585.7719241292957</v>
      </c>
      <c r="I33" s="314"/>
      <c r="J33" s="570"/>
      <c r="K33" s="573"/>
      <c r="L33" s="573"/>
      <c r="M33" s="576"/>
      <c r="N33" s="303"/>
      <c r="O33" s="343" t="s">
        <v>114</v>
      </c>
      <c r="P33" s="303"/>
      <c r="Q33" s="303"/>
      <c r="R33" s="303"/>
    </row>
    <row r="34" spans="1:18" x14ac:dyDescent="0.25">
      <c r="A34" s="303"/>
      <c r="B34" s="343" t="s">
        <v>115</v>
      </c>
      <c r="C34" s="353">
        <v>0.93500000000000005</v>
      </c>
      <c r="D34" s="354">
        <v>13.065</v>
      </c>
      <c r="E34" s="371">
        <f>C34+D34</f>
        <v>14</v>
      </c>
      <c r="F34" s="382">
        <f t="shared" si="1"/>
        <v>31558.677685950413</v>
      </c>
      <c r="G34" s="381">
        <v>38186</v>
      </c>
      <c r="H34" s="349">
        <f t="shared" si="2"/>
        <v>2727.5714285714284</v>
      </c>
      <c r="I34" s="314"/>
      <c r="J34" s="568">
        <v>625</v>
      </c>
      <c r="K34" s="571">
        <f>37281.25+23368.75</f>
        <v>60650</v>
      </c>
      <c r="L34" s="571">
        <f>K34*1.1</f>
        <v>66715</v>
      </c>
      <c r="M34" s="574">
        <f>L34/J34</f>
        <v>106.744</v>
      </c>
      <c r="N34" s="303"/>
      <c r="O34" s="343" t="s">
        <v>115</v>
      </c>
      <c r="P34" s="303"/>
      <c r="Q34" s="303"/>
      <c r="R34" s="303"/>
    </row>
    <row r="35" spans="1:18" x14ac:dyDescent="0.25">
      <c r="A35" s="303"/>
      <c r="B35" s="343" t="s">
        <v>116</v>
      </c>
      <c r="C35" s="353">
        <v>1.177</v>
      </c>
      <c r="D35" s="354">
        <v>3.5289999999999999</v>
      </c>
      <c r="E35" s="355">
        <f t="shared" si="4"/>
        <v>4.7059999999999995</v>
      </c>
      <c r="F35" s="382">
        <f t="shared" si="1"/>
        <v>23113.223140495869</v>
      </c>
      <c r="G35" s="381">
        <v>27967</v>
      </c>
      <c r="H35" s="349">
        <f t="shared" si="2"/>
        <v>5942.8389290267751</v>
      </c>
      <c r="I35" s="314"/>
      <c r="J35" s="569"/>
      <c r="K35" s="572"/>
      <c r="L35" s="572"/>
      <c r="M35" s="575"/>
      <c r="N35" s="303"/>
      <c r="O35" s="343" t="s">
        <v>116</v>
      </c>
      <c r="P35" s="303"/>
      <c r="Q35" s="303"/>
      <c r="R35" s="303"/>
    </row>
    <row r="36" spans="1:18" x14ac:dyDescent="0.25">
      <c r="A36" s="303"/>
      <c r="B36" s="343" t="s">
        <v>117</v>
      </c>
      <c r="C36" s="353">
        <v>1.4219999999999999</v>
      </c>
      <c r="D36" s="354">
        <v>1.306</v>
      </c>
      <c r="E36" s="355">
        <f t="shared" si="4"/>
        <v>2.7279999999999998</v>
      </c>
      <c r="F36" s="382">
        <f t="shared" si="1"/>
        <v>11322.314049586777</v>
      </c>
      <c r="G36" s="381">
        <v>13700</v>
      </c>
      <c r="H36" s="349">
        <f t="shared" si="2"/>
        <v>5021.9941348973607</v>
      </c>
      <c r="I36" s="314"/>
      <c r="J36" s="569"/>
      <c r="K36" s="572"/>
      <c r="L36" s="572"/>
      <c r="M36" s="575"/>
      <c r="N36" s="303"/>
      <c r="O36" s="343" t="s">
        <v>117</v>
      </c>
      <c r="P36" s="303"/>
      <c r="Q36" s="303"/>
      <c r="R36" s="303"/>
    </row>
    <row r="37" spans="1:18" x14ac:dyDescent="0.25">
      <c r="A37" s="303"/>
      <c r="B37" s="343" t="s">
        <v>118</v>
      </c>
      <c r="C37" s="353">
        <v>1.3879999999999999</v>
      </c>
      <c r="D37" s="354">
        <v>0.59099999999999997</v>
      </c>
      <c r="E37" s="355">
        <f t="shared" si="4"/>
        <v>1.9789999999999999</v>
      </c>
      <c r="F37" s="382">
        <f t="shared" si="1"/>
        <v>9852.8925619834718</v>
      </c>
      <c r="G37" s="381">
        <v>11922</v>
      </c>
      <c r="H37" s="349">
        <f t="shared" si="2"/>
        <v>6024.2546740778171</v>
      </c>
      <c r="I37" s="314"/>
      <c r="J37" s="569"/>
      <c r="K37" s="572"/>
      <c r="L37" s="572"/>
      <c r="M37" s="575"/>
      <c r="N37" s="303"/>
      <c r="O37" s="343" t="s">
        <v>118</v>
      </c>
      <c r="P37" s="303"/>
      <c r="Q37" s="303"/>
      <c r="R37" s="303"/>
    </row>
    <row r="38" spans="1:18" x14ac:dyDescent="0.25">
      <c r="A38" s="303"/>
      <c r="B38" s="343" t="s">
        <v>119</v>
      </c>
      <c r="C38" s="353">
        <v>1.421</v>
      </c>
      <c r="D38" s="354">
        <v>0.80100000000000005</v>
      </c>
      <c r="E38" s="355">
        <f t="shared" si="4"/>
        <v>2.222</v>
      </c>
      <c r="F38" s="382">
        <f t="shared" si="1"/>
        <v>10371.07438016529</v>
      </c>
      <c r="G38" s="381">
        <v>12549</v>
      </c>
      <c r="H38" s="349">
        <f t="shared" si="2"/>
        <v>5647.6147614761476</v>
      </c>
      <c r="I38" s="314"/>
      <c r="J38" s="569"/>
      <c r="K38" s="572"/>
      <c r="L38" s="572"/>
      <c r="M38" s="575"/>
      <c r="N38" s="303"/>
      <c r="O38" s="343" t="s">
        <v>119</v>
      </c>
      <c r="P38" s="303"/>
      <c r="Q38" s="303"/>
      <c r="R38" s="303"/>
    </row>
    <row r="39" spans="1:18" x14ac:dyDescent="0.25">
      <c r="A39" s="303"/>
      <c r="B39" s="343" t="s">
        <v>120</v>
      </c>
      <c r="C39" s="353">
        <v>1.286</v>
      </c>
      <c r="D39" s="354">
        <v>2.278</v>
      </c>
      <c r="E39" s="355">
        <f t="shared" si="4"/>
        <v>3.5640000000000001</v>
      </c>
      <c r="F39" s="382">
        <f t="shared" si="1"/>
        <v>12635.537190082645</v>
      </c>
      <c r="G39" s="381">
        <v>15289</v>
      </c>
      <c r="H39" s="349">
        <f t="shared" si="2"/>
        <v>4289.842873176206</v>
      </c>
      <c r="I39" s="314"/>
      <c r="J39" s="569"/>
      <c r="K39" s="572"/>
      <c r="L39" s="572"/>
      <c r="M39" s="575"/>
      <c r="N39" s="303"/>
      <c r="O39" s="343" t="s">
        <v>120</v>
      </c>
      <c r="P39" s="303"/>
      <c r="Q39" s="303"/>
      <c r="R39" s="303"/>
    </row>
    <row r="40" spans="1:18" x14ac:dyDescent="0.25">
      <c r="A40" s="303"/>
      <c r="B40" s="343" t="s">
        <v>121</v>
      </c>
      <c r="C40" s="353">
        <v>3.27</v>
      </c>
      <c r="D40" s="354">
        <v>13.295</v>
      </c>
      <c r="E40" s="355">
        <f t="shared" si="4"/>
        <v>16.565000000000001</v>
      </c>
      <c r="F40" s="382">
        <f t="shared" si="1"/>
        <v>40764.462809917357</v>
      </c>
      <c r="G40" s="381">
        <v>49325</v>
      </c>
      <c r="H40" s="349">
        <f t="shared" si="2"/>
        <v>2977.6637488680954</v>
      </c>
      <c r="I40" s="314"/>
      <c r="J40" s="569"/>
      <c r="K40" s="572"/>
      <c r="L40" s="572"/>
      <c r="M40" s="575"/>
      <c r="N40" s="303"/>
      <c r="O40" s="343" t="s">
        <v>121</v>
      </c>
      <c r="P40" s="303"/>
      <c r="Q40" s="303"/>
      <c r="R40" s="303"/>
    </row>
    <row r="41" spans="1:18" x14ac:dyDescent="0.25">
      <c r="A41" s="303"/>
      <c r="B41" s="343" t="s">
        <v>122</v>
      </c>
      <c r="C41" s="353">
        <v>5.0949999999999998</v>
      </c>
      <c r="D41" s="354">
        <v>21.481999999999999</v>
      </c>
      <c r="E41" s="355">
        <f t="shared" si="4"/>
        <v>26.576999999999998</v>
      </c>
      <c r="F41" s="382">
        <f t="shared" si="1"/>
        <v>52053.719008264467</v>
      </c>
      <c r="G41" s="381">
        <v>62985</v>
      </c>
      <c r="H41" s="349">
        <f t="shared" si="2"/>
        <v>2369.9063099672653</v>
      </c>
      <c r="I41" s="314"/>
      <c r="J41" s="570"/>
      <c r="K41" s="573"/>
      <c r="L41" s="573"/>
      <c r="M41" s="576"/>
      <c r="N41" s="303"/>
      <c r="O41" s="343" t="s">
        <v>122</v>
      </c>
      <c r="P41" s="303"/>
      <c r="Q41" s="303"/>
      <c r="R41" s="303"/>
    </row>
    <row r="42" spans="1:18" x14ac:dyDescent="0.25">
      <c r="A42" s="303"/>
      <c r="B42" s="343" t="s">
        <v>123</v>
      </c>
      <c r="C42" s="372">
        <v>4.5289999999999999</v>
      </c>
      <c r="D42" s="373">
        <v>25.594000000000001</v>
      </c>
      <c r="E42" s="361">
        <f t="shared" si="4"/>
        <v>30.123000000000001</v>
      </c>
      <c r="F42" s="375">
        <f t="shared" si="1"/>
        <v>56119.008264462813</v>
      </c>
      <c r="G42" s="383">
        <v>67904</v>
      </c>
      <c r="H42" s="349">
        <f t="shared" si="2"/>
        <v>2254.2243468446036</v>
      </c>
      <c r="I42" s="314"/>
      <c r="J42" s="374">
        <v>35</v>
      </c>
      <c r="K42" s="375">
        <f>2087.75+1308.65</f>
        <v>3396.4</v>
      </c>
      <c r="L42" s="375">
        <f>K42*1.1</f>
        <v>3736.0400000000004</v>
      </c>
      <c r="M42" s="376">
        <f>L42/J42</f>
        <v>106.74400000000001</v>
      </c>
      <c r="N42" s="303"/>
      <c r="O42" s="343" t="s">
        <v>123</v>
      </c>
      <c r="P42" s="303"/>
      <c r="Q42" s="303"/>
      <c r="R42" s="303"/>
    </row>
    <row r="44" spans="1:18" x14ac:dyDescent="0.25">
      <c r="B44" s="313">
        <v>2019</v>
      </c>
      <c r="E44" s="127">
        <f>SUM(E7:E18)</f>
        <v>196.12100000000001</v>
      </c>
      <c r="F44" s="127">
        <f>SUM(F7:F18)</f>
        <v>507430.28925619839</v>
      </c>
      <c r="G44" s="127">
        <f>SUM(G7:G18)</f>
        <v>613990.65</v>
      </c>
      <c r="H44" s="127">
        <f>G44/E44</f>
        <v>3130.6726459685601</v>
      </c>
      <c r="J44" s="127">
        <f>SUM(J7:J18)</f>
        <v>334</v>
      </c>
      <c r="K44" s="127">
        <f>SUM(K7:K18)</f>
        <v>28941.1</v>
      </c>
      <c r="L44" s="127">
        <f>SUM(L7:L18)</f>
        <v>33282.264999999999</v>
      </c>
      <c r="M44" s="324">
        <f>L44/J44</f>
        <v>99.647499999999994</v>
      </c>
    </row>
    <row r="45" spans="1:18" x14ac:dyDescent="0.25">
      <c r="B45" s="313">
        <v>2020</v>
      </c>
      <c r="E45" s="127">
        <f>SUM(E19:E30)</f>
        <v>174.29400000000001</v>
      </c>
      <c r="F45" s="127">
        <f>SUM(F19:F30)</f>
        <v>433544.12396694213</v>
      </c>
      <c r="G45" s="127">
        <f>SUM(G19:G30)</f>
        <v>524588.39</v>
      </c>
      <c r="H45" s="127">
        <f>G45/E45</f>
        <v>3009.7902968547396</v>
      </c>
      <c r="J45" s="127">
        <f>SUM(J19:J30)</f>
        <v>369</v>
      </c>
      <c r="K45" s="127">
        <f>SUM(K19:K30)</f>
        <v>34689.879999999997</v>
      </c>
      <c r="L45" s="127">
        <f>SUM(L19:L30)</f>
        <v>38158.868000000002</v>
      </c>
      <c r="M45" s="324">
        <f>L45/J45</f>
        <v>103.41156639566397</v>
      </c>
    </row>
    <row r="46" spans="1:18" x14ac:dyDescent="0.25">
      <c r="B46" s="313">
        <v>2021</v>
      </c>
      <c r="E46" s="127">
        <f>SUM(E31:E42)</f>
        <v>180.82</v>
      </c>
      <c r="F46" s="127">
        <f>SUM(F31:F42)</f>
        <v>415228.92561983468</v>
      </c>
      <c r="G46" s="127">
        <f>SUM(G31:G42)</f>
        <v>502427</v>
      </c>
      <c r="H46" s="127">
        <f>G46/E46</f>
        <v>2778.603030638204</v>
      </c>
      <c r="J46" s="127">
        <f>SUM(J31:J42)</f>
        <v>705</v>
      </c>
      <c r="K46" s="127">
        <f>SUM(K31:K42)</f>
        <v>68413.2</v>
      </c>
      <c r="L46" s="127">
        <f>SUM(L31:L42)</f>
        <v>75254.51999999999</v>
      </c>
      <c r="M46" s="324">
        <f>L46/J46</f>
        <v>106.74399999999999</v>
      </c>
    </row>
    <row r="48" spans="1:18" x14ac:dyDescent="0.25">
      <c r="B48" s="332" t="s">
        <v>161</v>
      </c>
      <c r="C48" s="334"/>
      <c r="D48" s="334"/>
      <c r="E48" s="333">
        <f>E44</f>
        <v>196.12100000000001</v>
      </c>
      <c r="F48" s="332"/>
      <c r="G48" s="333">
        <f>H48*E48</f>
        <v>926402.08845205186</v>
      </c>
      <c r="H48" s="333">
        <f>H46*1.7</f>
        <v>4723.6251520849464</v>
      </c>
      <c r="I48" s="334"/>
      <c r="J48" s="333">
        <f>J44</f>
        <v>334</v>
      </c>
      <c r="K48" s="332"/>
      <c r="L48" s="333">
        <f>L44</f>
        <v>33282.264999999999</v>
      </c>
      <c r="M48" s="333">
        <f>M46*1.2</f>
        <v>128.09279999999998</v>
      </c>
    </row>
    <row r="49" spans="5:13" x14ac:dyDescent="0.25">
      <c r="E49" s="328">
        <v>2019</v>
      </c>
      <c r="H49" t="s">
        <v>168</v>
      </c>
      <c r="J49" s="380">
        <v>2019</v>
      </c>
      <c r="K49" s="379"/>
      <c r="L49" s="379"/>
      <c r="M49" s="386" t="s">
        <v>169</v>
      </c>
    </row>
  </sheetData>
  <mergeCells count="32">
    <mergeCell ref="J7:J11"/>
    <mergeCell ref="K7:K11"/>
    <mergeCell ref="L7:L11"/>
    <mergeCell ref="M7:M11"/>
    <mergeCell ref="J12:J16"/>
    <mergeCell ref="K12:K16"/>
    <mergeCell ref="L12:L16"/>
    <mergeCell ref="M12:M16"/>
    <mergeCell ref="J17:J18"/>
    <mergeCell ref="K17:K18"/>
    <mergeCell ref="L17:L18"/>
    <mergeCell ref="M17:M18"/>
    <mergeCell ref="J19:J22"/>
    <mergeCell ref="K19:K22"/>
    <mergeCell ref="L19:L22"/>
    <mergeCell ref="M19:M22"/>
    <mergeCell ref="J23:J28"/>
    <mergeCell ref="K23:K28"/>
    <mergeCell ref="L23:L28"/>
    <mergeCell ref="M23:M28"/>
    <mergeCell ref="J29:J30"/>
    <mergeCell ref="K29:K30"/>
    <mergeCell ref="L29:L30"/>
    <mergeCell ref="M29:M30"/>
    <mergeCell ref="J31:J33"/>
    <mergeCell ref="K31:K33"/>
    <mergeCell ref="L31:L33"/>
    <mergeCell ref="M31:M33"/>
    <mergeCell ref="J34:J41"/>
    <mergeCell ref="K34:K41"/>
    <mergeCell ref="L34:L41"/>
    <mergeCell ref="M34:M41"/>
  </mergeCells>
  <pageMargins left="0.7" right="0.7" top="0.78740157499999996" bottom="0.78740157499999996" header="0.3" footer="0.3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B88"/>
  <sheetViews>
    <sheetView topLeftCell="A40" zoomScale="70" zoomScaleNormal="70" workbookViewId="0">
      <selection activeCell="F88" sqref="F88"/>
    </sheetView>
  </sheetViews>
  <sheetFormatPr defaultRowHeight="15" x14ac:dyDescent="0.25"/>
  <cols>
    <col min="3" max="3" width="9.28515625" bestFit="1" customWidth="1"/>
    <col min="4" max="4" width="11" customWidth="1"/>
    <col min="5" max="6" width="10.7109375" customWidth="1"/>
    <col min="8" max="12" width="9.28515625" bestFit="1" customWidth="1"/>
    <col min="13" max="13" width="10.7109375" customWidth="1"/>
    <col min="15" max="17" width="9.28515625" bestFit="1" customWidth="1"/>
    <col min="18" max="18" width="10.7109375" customWidth="1"/>
    <col min="20" max="22" width="9.28515625" bestFit="1" customWidth="1"/>
    <col min="23" max="23" width="10.7109375" customWidth="1"/>
  </cols>
  <sheetData>
    <row r="2" spans="1:28" x14ac:dyDescent="0.25">
      <c r="A2" s="303"/>
      <c r="B2" s="303"/>
      <c r="C2" s="304"/>
      <c r="D2" s="304"/>
      <c r="E2" s="304"/>
      <c r="F2" s="304"/>
      <c r="G2" s="303"/>
      <c r="H2" s="303"/>
      <c r="I2" s="303"/>
      <c r="J2" s="303"/>
      <c r="K2" s="303"/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W2" s="303"/>
      <c r="X2" s="303"/>
      <c r="Y2" s="303"/>
      <c r="Z2" s="303"/>
      <c r="AA2" s="303"/>
      <c r="AB2" s="303"/>
    </row>
    <row r="3" spans="1:28" x14ac:dyDescent="0.25">
      <c r="A3" s="303"/>
      <c r="B3" s="303"/>
      <c r="C3" s="305" t="s">
        <v>138</v>
      </c>
      <c r="D3" s="305"/>
      <c r="E3" s="304"/>
      <c r="F3" s="304"/>
      <c r="G3" s="304"/>
      <c r="H3" s="306" t="s">
        <v>42</v>
      </c>
      <c r="I3" s="306"/>
      <c r="J3" s="306"/>
      <c r="K3" s="303"/>
      <c r="L3" s="303"/>
      <c r="M3" s="303"/>
      <c r="N3" s="303"/>
      <c r="O3" s="306" t="s">
        <v>43</v>
      </c>
      <c r="P3" s="303"/>
      <c r="Q3" s="303"/>
      <c r="R3" s="303"/>
      <c r="S3" s="303"/>
      <c r="T3" s="306" t="s">
        <v>43</v>
      </c>
      <c r="U3" s="303"/>
      <c r="V3" s="303"/>
      <c r="W3" s="303"/>
      <c r="X3" s="303"/>
      <c r="Y3" s="303"/>
      <c r="Z3" s="303"/>
      <c r="AA3" s="303"/>
      <c r="AB3" s="303"/>
    </row>
    <row r="4" spans="1:28" x14ac:dyDescent="0.25">
      <c r="A4" s="303"/>
      <c r="B4" s="303"/>
      <c r="C4" s="303" t="s">
        <v>146</v>
      </c>
      <c r="D4" s="304"/>
      <c r="E4" s="304"/>
      <c r="F4" s="304"/>
      <c r="G4" s="304"/>
      <c r="H4" s="303" t="s">
        <v>147</v>
      </c>
      <c r="I4" s="303"/>
      <c r="J4" s="303"/>
      <c r="K4" s="303"/>
      <c r="L4" s="303"/>
      <c r="M4" s="303"/>
      <c r="N4" s="303"/>
      <c r="O4" s="303" t="s">
        <v>148</v>
      </c>
      <c r="P4" s="303"/>
      <c r="Q4" s="303"/>
      <c r="R4" s="303"/>
      <c r="S4" s="303"/>
      <c r="T4" s="303" t="s">
        <v>149</v>
      </c>
      <c r="U4" s="303"/>
      <c r="V4" s="303"/>
      <c r="W4" s="303"/>
      <c r="X4" s="303"/>
      <c r="Y4" s="303"/>
      <c r="Z4" s="303"/>
      <c r="AA4" s="303"/>
      <c r="AB4" s="303"/>
    </row>
    <row r="5" spans="1:28" x14ac:dyDescent="0.25">
      <c r="A5" s="303"/>
      <c r="B5" s="303"/>
      <c r="C5" s="307" t="s">
        <v>93</v>
      </c>
      <c r="D5" s="307" t="s">
        <v>3</v>
      </c>
      <c r="E5" s="307" t="s">
        <v>4</v>
      </c>
      <c r="F5" s="307" t="s">
        <v>94</v>
      </c>
      <c r="G5" s="303"/>
      <c r="H5" s="308" t="s">
        <v>150</v>
      </c>
      <c r="I5" s="308" t="s">
        <v>151</v>
      </c>
      <c r="J5" s="308" t="s">
        <v>152</v>
      </c>
      <c r="K5" s="308" t="s">
        <v>3</v>
      </c>
      <c r="L5" s="308" t="s">
        <v>4</v>
      </c>
      <c r="M5" s="308" t="s">
        <v>94</v>
      </c>
      <c r="N5" s="303"/>
      <c r="O5" s="309" t="s">
        <v>1</v>
      </c>
      <c r="P5" s="309" t="s">
        <v>3</v>
      </c>
      <c r="Q5" s="309" t="s">
        <v>4</v>
      </c>
      <c r="R5" s="309" t="s">
        <v>153</v>
      </c>
      <c r="S5" s="303"/>
      <c r="T5" s="309" t="s">
        <v>1</v>
      </c>
      <c r="U5" s="309" t="s">
        <v>3</v>
      </c>
      <c r="V5" s="309" t="s">
        <v>4</v>
      </c>
      <c r="W5" s="309" t="s">
        <v>153</v>
      </c>
      <c r="X5" s="303"/>
      <c r="Y5" s="303"/>
      <c r="Z5" s="303"/>
      <c r="AA5" s="303"/>
      <c r="AB5" s="303"/>
    </row>
    <row r="6" spans="1:28" x14ac:dyDescent="0.25">
      <c r="A6" s="303"/>
      <c r="B6" s="310"/>
      <c r="C6" s="311"/>
      <c r="D6" s="311"/>
      <c r="E6" s="311"/>
      <c r="F6" s="311"/>
      <c r="G6" s="303"/>
      <c r="H6" s="312"/>
      <c r="I6" s="312"/>
      <c r="J6" s="312"/>
      <c r="K6" s="312"/>
      <c r="L6" s="312"/>
      <c r="M6" s="312"/>
      <c r="N6" s="303"/>
      <c r="O6" s="312"/>
      <c r="P6" s="312"/>
      <c r="Q6" s="312"/>
      <c r="R6" s="312"/>
      <c r="S6" s="303"/>
      <c r="T6" s="312"/>
      <c r="U6" s="312"/>
      <c r="V6" s="312"/>
      <c r="W6" s="312"/>
      <c r="X6" s="303"/>
      <c r="Y6" s="303"/>
      <c r="Z6" s="303"/>
      <c r="AA6" s="303"/>
      <c r="AB6" s="303"/>
    </row>
    <row r="7" spans="1:28" x14ac:dyDescent="0.25">
      <c r="A7" s="303">
        <v>2019</v>
      </c>
      <c r="B7" s="313" t="s">
        <v>112</v>
      </c>
      <c r="C7" s="566"/>
      <c r="D7" s="566"/>
      <c r="E7" s="566"/>
      <c r="F7" s="567"/>
      <c r="G7" s="314"/>
      <c r="H7" s="315"/>
      <c r="I7" s="315"/>
      <c r="J7" s="316">
        <f>H7+I7</f>
        <v>0</v>
      </c>
      <c r="K7" s="317"/>
      <c r="L7" s="317"/>
      <c r="M7" s="318"/>
      <c r="N7" s="314"/>
      <c r="O7" s="315"/>
      <c r="P7" s="315"/>
      <c r="Q7" s="315"/>
      <c r="R7" s="318"/>
      <c r="S7" s="314"/>
      <c r="T7" s="315"/>
      <c r="U7" s="315"/>
      <c r="V7" s="315"/>
      <c r="W7" s="318"/>
      <c r="X7" s="303"/>
      <c r="Y7" s="313" t="s">
        <v>112</v>
      </c>
      <c r="Z7" s="303">
        <v>2019</v>
      </c>
      <c r="AA7" s="303"/>
      <c r="AB7" s="303"/>
    </row>
    <row r="8" spans="1:28" x14ac:dyDescent="0.25">
      <c r="A8" s="303"/>
      <c r="B8" s="313" t="s">
        <v>113</v>
      </c>
      <c r="C8" s="566"/>
      <c r="D8" s="566"/>
      <c r="E8" s="566"/>
      <c r="F8" s="567"/>
      <c r="G8" s="314"/>
      <c r="H8" s="315"/>
      <c r="I8" s="315"/>
      <c r="J8" s="316">
        <f t="shared" ref="J8:J42" si="0">H8+I8</f>
        <v>0</v>
      </c>
      <c r="K8" s="317"/>
      <c r="L8" s="317"/>
      <c r="M8" s="318"/>
      <c r="N8" s="314"/>
      <c r="O8" s="315"/>
      <c r="P8" s="315"/>
      <c r="Q8" s="315"/>
      <c r="R8" s="318"/>
      <c r="S8" s="314"/>
      <c r="T8" s="315"/>
      <c r="U8" s="315"/>
      <c r="V8" s="315"/>
      <c r="W8" s="318"/>
      <c r="X8" s="303"/>
      <c r="Y8" s="313" t="s">
        <v>113</v>
      </c>
      <c r="Z8" s="303"/>
      <c r="AA8" s="303"/>
      <c r="AB8" s="303"/>
    </row>
    <row r="9" spans="1:28" x14ac:dyDescent="0.25">
      <c r="A9" s="303"/>
      <c r="B9" s="313" t="s">
        <v>114</v>
      </c>
      <c r="C9" s="566"/>
      <c r="D9" s="566"/>
      <c r="E9" s="566"/>
      <c r="F9" s="567"/>
      <c r="G9" s="314"/>
      <c r="H9" s="315"/>
      <c r="I9" s="315"/>
      <c r="J9" s="316">
        <f t="shared" si="0"/>
        <v>0</v>
      </c>
      <c r="K9" s="317"/>
      <c r="L9" s="317"/>
      <c r="M9" s="318"/>
      <c r="N9" s="314"/>
      <c r="O9" s="315"/>
      <c r="P9" s="315"/>
      <c r="Q9" s="315"/>
      <c r="R9" s="318"/>
      <c r="S9" s="314"/>
      <c r="T9" s="315"/>
      <c r="U9" s="315"/>
      <c r="V9" s="315"/>
      <c r="W9" s="318"/>
      <c r="X9" s="303"/>
      <c r="Y9" s="313" t="s">
        <v>114</v>
      </c>
      <c r="Z9" s="303"/>
      <c r="AA9" s="303"/>
      <c r="AB9" s="303"/>
    </row>
    <row r="10" spans="1:28" x14ac:dyDescent="0.25">
      <c r="A10" s="303"/>
      <c r="B10" s="313" t="s">
        <v>115</v>
      </c>
      <c r="C10" s="566"/>
      <c r="D10" s="566"/>
      <c r="E10" s="566"/>
      <c r="F10" s="567"/>
      <c r="G10" s="314"/>
      <c r="H10" s="315"/>
      <c r="I10" s="315"/>
      <c r="J10" s="316">
        <f t="shared" si="0"/>
        <v>0</v>
      </c>
      <c r="K10" s="317"/>
      <c r="L10" s="317"/>
      <c r="M10" s="318"/>
      <c r="N10" s="314"/>
      <c r="O10" s="315"/>
      <c r="P10" s="315"/>
      <c r="Q10" s="315"/>
      <c r="R10" s="318"/>
      <c r="S10" s="314"/>
      <c r="T10" s="315"/>
      <c r="U10" s="315"/>
      <c r="V10" s="315"/>
      <c r="W10" s="318"/>
      <c r="X10" s="303"/>
      <c r="Y10" s="313" t="s">
        <v>115</v>
      </c>
      <c r="Z10" s="303"/>
      <c r="AA10" s="303"/>
      <c r="AB10" s="303"/>
    </row>
    <row r="11" spans="1:28" x14ac:dyDescent="0.25">
      <c r="A11" s="303"/>
      <c r="B11" s="313" t="s">
        <v>116</v>
      </c>
      <c r="C11" s="566"/>
      <c r="D11" s="566"/>
      <c r="E11" s="566"/>
      <c r="F11" s="567"/>
      <c r="G11" s="314"/>
      <c r="H11" s="315"/>
      <c r="I11" s="315"/>
      <c r="J11" s="316">
        <f t="shared" si="0"/>
        <v>0</v>
      </c>
      <c r="K11" s="317"/>
      <c r="L11" s="317"/>
      <c r="M11" s="318"/>
      <c r="N11" s="314"/>
      <c r="O11" s="315"/>
      <c r="P11" s="315"/>
      <c r="Q11" s="315"/>
      <c r="R11" s="318"/>
      <c r="S11" s="314"/>
      <c r="T11" s="315"/>
      <c r="U11" s="315"/>
      <c r="V11" s="315"/>
      <c r="W11" s="318"/>
      <c r="X11" s="303"/>
      <c r="Y11" s="313" t="s">
        <v>116</v>
      </c>
      <c r="Z11" s="303"/>
      <c r="AA11" s="303"/>
      <c r="AB11" s="303"/>
    </row>
    <row r="12" spans="1:28" x14ac:dyDescent="0.25">
      <c r="A12" s="303"/>
      <c r="B12" s="313" t="s">
        <v>117</v>
      </c>
      <c r="C12" s="566"/>
      <c r="D12" s="566"/>
      <c r="E12" s="566"/>
      <c r="F12" s="567"/>
      <c r="G12" s="314"/>
      <c r="H12" s="315"/>
      <c r="I12" s="315"/>
      <c r="J12" s="316">
        <f t="shared" si="0"/>
        <v>0</v>
      </c>
      <c r="K12" s="317"/>
      <c r="L12" s="317"/>
      <c r="M12" s="318"/>
      <c r="N12" s="314"/>
      <c r="O12" s="315"/>
      <c r="P12" s="315"/>
      <c r="Q12" s="315"/>
      <c r="R12" s="318"/>
      <c r="S12" s="314"/>
      <c r="T12" s="315"/>
      <c r="U12" s="315"/>
      <c r="V12" s="315"/>
      <c r="W12" s="318"/>
      <c r="X12" s="303"/>
      <c r="Y12" s="313" t="s">
        <v>117</v>
      </c>
      <c r="Z12" s="303"/>
      <c r="AA12" s="303"/>
      <c r="AB12" s="303"/>
    </row>
    <row r="13" spans="1:28" x14ac:dyDescent="0.25">
      <c r="A13" s="303"/>
      <c r="B13" s="313" t="s">
        <v>118</v>
      </c>
      <c r="C13" s="566"/>
      <c r="D13" s="566"/>
      <c r="E13" s="566"/>
      <c r="F13" s="567"/>
      <c r="G13" s="314"/>
      <c r="H13" s="315"/>
      <c r="I13" s="315"/>
      <c r="J13" s="316">
        <f t="shared" si="0"/>
        <v>0</v>
      </c>
      <c r="K13" s="317"/>
      <c r="L13" s="317"/>
      <c r="M13" s="318"/>
      <c r="N13" s="314"/>
      <c r="O13" s="315"/>
      <c r="P13" s="315"/>
      <c r="Q13" s="315"/>
      <c r="R13" s="318"/>
      <c r="S13" s="314"/>
      <c r="T13" s="315"/>
      <c r="U13" s="315"/>
      <c r="V13" s="315"/>
      <c r="W13" s="318"/>
      <c r="X13" s="303"/>
      <c r="Y13" s="313" t="s">
        <v>118</v>
      </c>
      <c r="Z13" s="303"/>
      <c r="AA13" s="303"/>
      <c r="AB13" s="303"/>
    </row>
    <row r="14" spans="1:28" x14ac:dyDescent="0.25">
      <c r="A14" s="303"/>
      <c r="B14" s="313" t="s">
        <v>119</v>
      </c>
      <c r="C14" s="566"/>
      <c r="D14" s="566"/>
      <c r="E14" s="566"/>
      <c r="F14" s="567"/>
      <c r="G14" s="314"/>
      <c r="H14" s="315"/>
      <c r="I14" s="315"/>
      <c r="J14" s="316">
        <f t="shared" si="0"/>
        <v>0</v>
      </c>
      <c r="K14" s="317"/>
      <c r="L14" s="317"/>
      <c r="M14" s="318"/>
      <c r="N14" s="314"/>
      <c r="O14" s="315"/>
      <c r="P14" s="315"/>
      <c r="Q14" s="315"/>
      <c r="R14" s="318"/>
      <c r="S14" s="314"/>
      <c r="T14" s="315"/>
      <c r="U14" s="315"/>
      <c r="V14" s="315"/>
      <c r="W14" s="318"/>
      <c r="X14" s="303"/>
      <c r="Y14" s="313" t="s">
        <v>119</v>
      </c>
      <c r="Z14" s="303"/>
      <c r="AA14" s="303"/>
      <c r="AB14" s="303"/>
    </row>
    <row r="15" spans="1:28" x14ac:dyDescent="0.25">
      <c r="A15" s="303"/>
      <c r="B15" s="313" t="s">
        <v>120</v>
      </c>
      <c r="C15" s="566"/>
      <c r="D15" s="566"/>
      <c r="E15" s="566"/>
      <c r="F15" s="567"/>
      <c r="G15" s="314"/>
      <c r="H15" s="315"/>
      <c r="I15" s="315"/>
      <c r="J15" s="316">
        <f t="shared" si="0"/>
        <v>0</v>
      </c>
      <c r="K15" s="317"/>
      <c r="L15" s="317"/>
      <c r="M15" s="318"/>
      <c r="N15" s="314"/>
      <c r="O15" s="315"/>
      <c r="P15" s="315"/>
      <c r="Q15" s="315"/>
      <c r="R15" s="318"/>
      <c r="S15" s="314"/>
      <c r="T15" s="315"/>
      <c r="U15" s="315"/>
      <c r="V15" s="315"/>
      <c r="W15" s="318"/>
      <c r="X15" s="303"/>
      <c r="Y15" s="313" t="s">
        <v>120</v>
      </c>
      <c r="Z15" s="303"/>
      <c r="AA15" s="303"/>
      <c r="AB15" s="303"/>
    </row>
    <row r="16" spans="1:28" x14ac:dyDescent="0.25">
      <c r="A16" s="303"/>
      <c r="B16" s="313" t="s">
        <v>121</v>
      </c>
      <c r="C16" s="566"/>
      <c r="D16" s="566"/>
      <c r="E16" s="566"/>
      <c r="F16" s="567"/>
      <c r="G16" s="314"/>
      <c r="H16" s="315"/>
      <c r="I16" s="315"/>
      <c r="J16" s="316">
        <f t="shared" si="0"/>
        <v>0</v>
      </c>
      <c r="K16" s="317"/>
      <c r="L16" s="317"/>
      <c r="M16" s="318"/>
      <c r="N16" s="314"/>
      <c r="O16" s="315"/>
      <c r="P16" s="315"/>
      <c r="Q16" s="315"/>
      <c r="R16" s="318"/>
      <c r="S16" s="314"/>
      <c r="T16" s="315"/>
      <c r="U16" s="315"/>
      <c r="V16" s="315"/>
      <c r="W16" s="318"/>
      <c r="X16" s="303"/>
      <c r="Y16" s="313" t="s">
        <v>121</v>
      </c>
      <c r="Z16" s="303"/>
      <c r="AA16" s="303"/>
      <c r="AB16" s="303"/>
    </row>
    <row r="17" spans="1:28" x14ac:dyDescent="0.25">
      <c r="A17" s="303"/>
      <c r="B17" s="313" t="s">
        <v>122</v>
      </c>
      <c r="C17" s="566"/>
      <c r="D17" s="566"/>
      <c r="E17" s="566"/>
      <c r="F17" s="567"/>
      <c r="G17" s="314"/>
      <c r="H17" s="315"/>
      <c r="I17" s="315"/>
      <c r="J17" s="316">
        <f t="shared" si="0"/>
        <v>0</v>
      </c>
      <c r="K17" s="317"/>
      <c r="L17" s="317"/>
      <c r="M17" s="318"/>
      <c r="N17" s="314"/>
      <c r="O17" s="315"/>
      <c r="P17" s="315"/>
      <c r="Q17" s="315"/>
      <c r="R17" s="318"/>
      <c r="S17" s="314"/>
      <c r="T17" s="315"/>
      <c r="U17" s="315"/>
      <c r="V17" s="315"/>
      <c r="W17" s="318"/>
      <c r="X17" s="303"/>
      <c r="Y17" s="313" t="s">
        <v>122</v>
      </c>
      <c r="Z17" s="303"/>
      <c r="AA17" s="303"/>
      <c r="AB17" s="303"/>
    </row>
    <row r="18" spans="1:28" x14ac:dyDescent="0.25">
      <c r="A18" s="303"/>
      <c r="B18" s="313" t="s">
        <v>123</v>
      </c>
      <c r="C18" s="566"/>
      <c r="D18" s="566"/>
      <c r="E18" s="566"/>
      <c r="F18" s="567"/>
      <c r="G18" s="314"/>
      <c r="H18" s="315"/>
      <c r="I18" s="315"/>
      <c r="J18" s="316">
        <f t="shared" si="0"/>
        <v>0</v>
      </c>
      <c r="K18" s="317"/>
      <c r="L18" s="317"/>
      <c r="M18" s="318"/>
      <c r="N18" s="314"/>
      <c r="O18" s="315"/>
      <c r="P18" s="315"/>
      <c r="Q18" s="315"/>
      <c r="R18" s="318"/>
      <c r="S18" s="314"/>
      <c r="T18" s="315"/>
      <c r="U18" s="315"/>
      <c r="V18" s="315"/>
      <c r="W18" s="318"/>
      <c r="X18" s="303"/>
      <c r="Y18" s="313" t="s">
        <v>123</v>
      </c>
      <c r="Z18" s="303"/>
      <c r="AA18" s="303"/>
      <c r="AB18" s="303"/>
    </row>
    <row r="19" spans="1:28" x14ac:dyDescent="0.25">
      <c r="A19" s="303">
        <v>2020</v>
      </c>
      <c r="B19" s="313" t="s">
        <v>112</v>
      </c>
      <c r="C19" s="566">
        <f>SUM(C56:C68)*46.4/1000/3.6</f>
        <v>717.08918666666682</v>
      </c>
      <c r="D19" s="566">
        <f>SUM(D56:D68)</f>
        <v>1009910.8299999998</v>
      </c>
      <c r="E19" s="566">
        <f>SUM(E56:E68)</f>
        <v>1221992.1500000001</v>
      </c>
      <c r="F19" s="567">
        <f>+E19/C19</f>
        <v>1704.1006512458171</v>
      </c>
      <c r="G19" s="314"/>
      <c r="H19" s="315">
        <v>7.3959999999999999</v>
      </c>
      <c r="I19" s="315">
        <v>1.4730000000000001</v>
      </c>
      <c r="J19" s="316">
        <f t="shared" si="0"/>
        <v>8.8689999999999998</v>
      </c>
      <c r="K19" s="317">
        <v>30297.52</v>
      </c>
      <c r="L19" s="317">
        <v>36660</v>
      </c>
      <c r="M19" s="318">
        <f>L19/J19</f>
        <v>4133.4987033487432</v>
      </c>
      <c r="N19" s="314"/>
      <c r="O19" s="315">
        <v>292</v>
      </c>
      <c r="P19" s="315">
        <v>19058.84</v>
      </c>
      <c r="Q19" s="315">
        <v>21917</v>
      </c>
      <c r="R19" s="319">
        <f t="shared" ref="R19:R42" si="1">Q19/O19</f>
        <v>75.058219178082197</v>
      </c>
      <c r="S19" s="314"/>
      <c r="T19" s="315">
        <v>98</v>
      </c>
      <c r="U19" s="315">
        <v>6396.46</v>
      </c>
      <c r="V19" s="315">
        <v>7355</v>
      </c>
      <c r="W19" s="319">
        <f t="shared" ref="W19:W42" si="2">V19/T19</f>
        <v>75.051020408163268</v>
      </c>
      <c r="X19" s="303"/>
      <c r="Y19" s="313" t="s">
        <v>112</v>
      </c>
      <c r="Z19" s="303">
        <v>2020</v>
      </c>
      <c r="AA19" s="303"/>
      <c r="AB19" s="303"/>
    </row>
    <row r="20" spans="1:28" x14ac:dyDescent="0.25">
      <c r="A20" s="303"/>
      <c r="B20" s="313" t="s">
        <v>113</v>
      </c>
      <c r="C20" s="566"/>
      <c r="D20" s="566"/>
      <c r="E20" s="566"/>
      <c r="F20" s="567"/>
      <c r="G20" s="314"/>
      <c r="H20" s="315">
        <v>6.5880000000000001</v>
      </c>
      <c r="I20" s="315">
        <v>1.351</v>
      </c>
      <c r="J20" s="316">
        <f t="shared" si="0"/>
        <v>7.9390000000000001</v>
      </c>
      <c r="K20" s="317">
        <v>27781</v>
      </c>
      <c r="L20" s="317">
        <v>33615</v>
      </c>
      <c r="M20" s="318">
        <f t="shared" ref="M20:M42" si="3">L20/J20</f>
        <v>4234.1604736112859</v>
      </c>
      <c r="N20" s="314"/>
      <c r="O20" s="315">
        <v>286</v>
      </c>
      <c r="P20" s="315">
        <v>18667.22</v>
      </c>
      <c r="Q20" s="315">
        <v>21467.300000000003</v>
      </c>
      <c r="R20" s="319">
        <f t="shared" si="1"/>
        <v>75.060489510489518</v>
      </c>
      <c r="S20" s="314"/>
      <c r="T20" s="315">
        <v>85</v>
      </c>
      <c r="U20" s="315">
        <v>5547.95</v>
      </c>
      <c r="V20" s="315">
        <v>6380</v>
      </c>
      <c r="W20" s="319">
        <f t="shared" si="2"/>
        <v>75.058823529411768</v>
      </c>
      <c r="X20" s="303"/>
      <c r="Y20" s="313" t="s">
        <v>113</v>
      </c>
      <c r="Z20" s="303"/>
      <c r="AA20" s="303"/>
      <c r="AB20" s="303"/>
    </row>
    <row r="21" spans="1:28" x14ac:dyDescent="0.25">
      <c r="A21" s="303"/>
      <c r="B21" s="313" t="s">
        <v>114</v>
      </c>
      <c r="C21" s="566"/>
      <c r="D21" s="566"/>
      <c r="E21" s="566"/>
      <c r="F21" s="567"/>
      <c r="G21" s="314"/>
      <c r="H21" s="315">
        <v>7.2119999999999997</v>
      </c>
      <c r="I21" s="315">
        <v>1.423</v>
      </c>
      <c r="J21" s="316">
        <f t="shared" si="0"/>
        <v>8.6349999999999998</v>
      </c>
      <c r="K21" s="317">
        <v>29701.65</v>
      </c>
      <c r="L21" s="317">
        <v>35939</v>
      </c>
      <c r="M21" s="318">
        <f t="shared" si="3"/>
        <v>4162.0150550086855</v>
      </c>
      <c r="N21" s="314"/>
      <c r="O21" s="315">
        <v>288</v>
      </c>
      <c r="P21" s="315">
        <v>18797.760000000002</v>
      </c>
      <c r="Q21" s="315">
        <v>21617</v>
      </c>
      <c r="R21" s="319">
        <f t="shared" si="1"/>
        <v>75.059027777777771</v>
      </c>
      <c r="S21" s="314"/>
      <c r="T21" s="315">
        <v>79</v>
      </c>
      <c r="U21" s="315">
        <v>5156.33</v>
      </c>
      <c r="V21" s="315">
        <v>5929</v>
      </c>
      <c r="W21" s="319">
        <f t="shared" si="2"/>
        <v>75.050632911392398</v>
      </c>
      <c r="X21" s="303"/>
      <c r="Y21" s="313" t="s">
        <v>114</v>
      </c>
      <c r="Z21" s="303"/>
      <c r="AA21" s="303"/>
      <c r="AB21" s="303"/>
    </row>
    <row r="22" spans="1:28" x14ac:dyDescent="0.25">
      <c r="A22" s="303"/>
      <c r="B22" s="313" t="s">
        <v>115</v>
      </c>
      <c r="C22" s="566"/>
      <c r="D22" s="566"/>
      <c r="E22" s="566"/>
      <c r="F22" s="567"/>
      <c r="G22" s="314"/>
      <c r="H22" s="315">
        <v>7.04</v>
      </c>
      <c r="I22" s="315">
        <v>1.3819999999999999</v>
      </c>
      <c r="J22" s="316">
        <f t="shared" si="0"/>
        <v>8.4220000000000006</v>
      </c>
      <c r="K22" s="317">
        <v>29153.72</v>
      </c>
      <c r="L22" s="317">
        <v>35276</v>
      </c>
      <c r="M22" s="318">
        <f t="shared" si="3"/>
        <v>4188.5537876988838</v>
      </c>
      <c r="N22" s="314"/>
      <c r="O22" s="315">
        <v>300</v>
      </c>
      <c r="P22" s="315">
        <v>19581</v>
      </c>
      <c r="Q22" s="315">
        <v>22518</v>
      </c>
      <c r="R22" s="319">
        <f t="shared" si="1"/>
        <v>75.06</v>
      </c>
      <c r="S22" s="314"/>
      <c r="T22" s="315">
        <v>80</v>
      </c>
      <c r="U22" s="315">
        <v>5221.5999999999995</v>
      </c>
      <c r="V22" s="315">
        <v>6004</v>
      </c>
      <c r="W22" s="319">
        <f t="shared" si="2"/>
        <v>75.05</v>
      </c>
      <c r="X22" s="303"/>
      <c r="Y22" s="313" t="s">
        <v>115</v>
      </c>
      <c r="Z22" s="303"/>
      <c r="AA22" s="303"/>
      <c r="AB22" s="303"/>
    </row>
    <row r="23" spans="1:28" x14ac:dyDescent="0.25">
      <c r="A23" s="303"/>
      <c r="B23" s="313" t="s">
        <v>116</v>
      </c>
      <c r="C23" s="566"/>
      <c r="D23" s="566"/>
      <c r="E23" s="566"/>
      <c r="F23" s="567"/>
      <c r="G23" s="314"/>
      <c r="H23" s="315">
        <v>6.78</v>
      </c>
      <c r="I23" s="315">
        <v>1.4430000000000001</v>
      </c>
      <c r="J23" s="316">
        <f t="shared" si="0"/>
        <v>8.2230000000000008</v>
      </c>
      <c r="K23" s="317">
        <v>28514.87</v>
      </c>
      <c r="L23" s="317">
        <v>34503</v>
      </c>
      <c r="M23" s="318">
        <f t="shared" si="3"/>
        <v>4195.913900036483</v>
      </c>
      <c r="N23" s="314"/>
      <c r="O23" s="315">
        <v>298</v>
      </c>
      <c r="P23" s="315">
        <v>19450.46</v>
      </c>
      <c r="Q23" s="315">
        <v>21395</v>
      </c>
      <c r="R23" s="319">
        <f t="shared" si="1"/>
        <v>71.795302013422813</v>
      </c>
      <c r="S23" s="314"/>
      <c r="T23" s="315">
        <v>87</v>
      </c>
      <c r="U23" s="315">
        <v>5678.49</v>
      </c>
      <c r="V23" s="315">
        <v>6246</v>
      </c>
      <c r="W23" s="319">
        <f t="shared" si="2"/>
        <v>71.793103448275858</v>
      </c>
      <c r="X23" s="303"/>
      <c r="Y23" s="313" t="s">
        <v>116</v>
      </c>
      <c r="Z23" s="303"/>
      <c r="AA23" s="303"/>
      <c r="AB23" s="303"/>
    </row>
    <row r="24" spans="1:28" x14ac:dyDescent="0.25">
      <c r="A24" s="303"/>
      <c r="B24" s="313" t="s">
        <v>117</v>
      </c>
      <c r="C24" s="566"/>
      <c r="D24" s="566"/>
      <c r="E24" s="566"/>
      <c r="F24" s="567"/>
      <c r="G24" s="314"/>
      <c r="H24" s="315">
        <v>7.0739999999999998</v>
      </c>
      <c r="I24" s="315">
        <v>1.353</v>
      </c>
      <c r="J24" s="316">
        <f t="shared" si="0"/>
        <v>8.4269999999999996</v>
      </c>
      <c r="K24" s="317">
        <v>29204.959999999999</v>
      </c>
      <c r="L24" s="317">
        <v>35338</v>
      </c>
      <c r="M24" s="318">
        <f t="shared" si="3"/>
        <v>4193.4258929630951</v>
      </c>
      <c r="N24" s="314"/>
      <c r="O24" s="315">
        <v>289</v>
      </c>
      <c r="P24" s="315">
        <v>18863.03</v>
      </c>
      <c r="Q24" s="315">
        <v>20749</v>
      </c>
      <c r="R24" s="319">
        <f t="shared" si="1"/>
        <v>71.79584775086505</v>
      </c>
      <c r="S24" s="314"/>
      <c r="T24" s="315">
        <v>84</v>
      </c>
      <c r="U24" s="315">
        <v>5482.68</v>
      </c>
      <c r="V24" s="315">
        <v>6030</v>
      </c>
      <c r="W24" s="319">
        <f t="shared" si="2"/>
        <v>71.785714285714292</v>
      </c>
      <c r="X24" s="303"/>
      <c r="Y24" s="313" t="s">
        <v>117</v>
      </c>
      <c r="Z24" s="303"/>
      <c r="AA24" s="303"/>
      <c r="AB24" s="303"/>
    </row>
    <row r="25" spans="1:28" x14ac:dyDescent="0.25">
      <c r="A25" s="303"/>
      <c r="B25" s="313" t="s">
        <v>118</v>
      </c>
      <c r="C25" s="566"/>
      <c r="D25" s="566"/>
      <c r="E25" s="566"/>
      <c r="F25" s="567"/>
      <c r="G25" s="314"/>
      <c r="H25" s="315">
        <v>6.819</v>
      </c>
      <c r="I25" s="315">
        <v>1.335</v>
      </c>
      <c r="J25" s="316">
        <f t="shared" si="0"/>
        <v>8.1539999999999999</v>
      </c>
      <c r="K25" s="317">
        <v>28458.68</v>
      </c>
      <c r="L25" s="317">
        <v>34435</v>
      </c>
      <c r="M25" s="318">
        <f t="shared" si="3"/>
        <v>4223.0806965906304</v>
      </c>
      <c r="N25" s="314"/>
      <c r="O25" s="315">
        <v>286</v>
      </c>
      <c r="P25" s="315">
        <v>18667.22</v>
      </c>
      <c r="Q25" s="315">
        <v>20533</v>
      </c>
      <c r="R25" s="319">
        <f t="shared" si="1"/>
        <v>71.793706293706293</v>
      </c>
      <c r="S25" s="314"/>
      <c r="T25" s="315">
        <v>82</v>
      </c>
      <c r="U25" s="315">
        <v>5352.14</v>
      </c>
      <c r="V25" s="315">
        <v>5887</v>
      </c>
      <c r="W25" s="319">
        <f t="shared" si="2"/>
        <v>71.792682926829272</v>
      </c>
      <c r="X25" s="303"/>
      <c r="Y25" s="313" t="s">
        <v>118</v>
      </c>
      <c r="Z25" s="303"/>
      <c r="AA25" s="303"/>
      <c r="AB25" s="303"/>
    </row>
    <row r="26" spans="1:28" x14ac:dyDescent="0.25">
      <c r="A26" s="303"/>
      <c r="B26" s="313" t="s">
        <v>119</v>
      </c>
      <c r="C26" s="566"/>
      <c r="D26" s="566"/>
      <c r="E26" s="566"/>
      <c r="F26" s="567"/>
      <c r="G26" s="314"/>
      <c r="H26" s="315">
        <v>6.8150000000000004</v>
      </c>
      <c r="I26" s="315">
        <v>1.4159999999999999</v>
      </c>
      <c r="J26" s="316">
        <f t="shared" si="0"/>
        <v>8.2309999999999999</v>
      </c>
      <c r="K26" s="317">
        <v>28571.899999999998</v>
      </c>
      <c r="L26" s="317">
        <v>34572</v>
      </c>
      <c r="M26" s="318">
        <f t="shared" si="3"/>
        <v>4200.2186854574175</v>
      </c>
      <c r="N26" s="314"/>
      <c r="O26" s="315">
        <v>287</v>
      </c>
      <c r="P26" s="315">
        <v>18732.489999999998</v>
      </c>
      <c r="Q26" s="315">
        <v>20605</v>
      </c>
      <c r="R26" s="319">
        <f t="shared" si="1"/>
        <v>71.79442508710801</v>
      </c>
      <c r="S26" s="314"/>
      <c r="T26" s="315">
        <v>86</v>
      </c>
      <c r="U26" s="315">
        <v>5613.22</v>
      </c>
      <c r="V26" s="315">
        <v>6174</v>
      </c>
      <c r="W26" s="319">
        <f t="shared" si="2"/>
        <v>71.79069767441861</v>
      </c>
      <c r="X26" s="303"/>
      <c r="Y26" s="313" t="s">
        <v>119</v>
      </c>
      <c r="Z26" s="303"/>
      <c r="AA26" s="303"/>
      <c r="AB26" s="303"/>
    </row>
    <row r="27" spans="1:28" x14ac:dyDescent="0.25">
      <c r="A27" s="303"/>
      <c r="B27" s="313" t="s">
        <v>120</v>
      </c>
      <c r="C27" s="566"/>
      <c r="D27" s="566"/>
      <c r="E27" s="566"/>
      <c r="F27" s="567"/>
      <c r="G27" s="314"/>
      <c r="H27" s="315">
        <v>7.0940000000000003</v>
      </c>
      <c r="I27" s="315">
        <v>1.4790000000000001</v>
      </c>
      <c r="J27" s="316">
        <f t="shared" si="0"/>
        <v>8.5730000000000004</v>
      </c>
      <c r="K27" s="317">
        <v>29455.37</v>
      </c>
      <c r="L27" s="317">
        <v>35641</v>
      </c>
      <c r="M27" s="318">
        <f t="shared" si="3"/>
        <v>4157.3544850110811</v>
      </c>
      <c r="N27" s="314"/>
      <c r="O27" s="315">
        <v>275</v>
      </c>
      <c r="P27" s="315">
        <v>17949.25</v>
      </c>
      <c r="Q27" s="315">
        <v>19744</v>
      </c>
      <c r="R27" s="319">
        <f t="shared" si="1"/>
        <v>71.796363636363637</v>
      </c>
      <c r="S27" s="314"/>
      <c r="T27" s="315">
        <v>72</v>
      </c>
      <c r="U27" s="315">
        <v>4699.4400000000005</v>
      </c>
      <c r="V27" s="315">
        <v>5169</v>
      </c>
      <c r="W27" s="319">
        <f t="shared" si="2"/>
        <v>71.791666666666671</v>
      </c>
      <c r="X27" s="303"/>
      <c r="Y27" s="313" t="s">
        <v>120</v>
      </c>
      <c r="Z27" s="303"/>
      <c r="AA27" s="303"/>
      <c r="AB27" s="303"/>
    </row>
    <row r="28" spans="1:28" x14ac:dyDescent="0.25">
      <c r="A28" s="303"/>
      <c r="B28" s="313" t="s">
        <v>121</v>
      </c>
      <c r="C28" s="566"/>
      <c r="D28" s="566"/>
      <c r="E28" s="566"/>
      <c r="F28" s="567"/>
      <c r="G28" s="314"/>
      <c r="H28" s="315">
        <v>6.56</v>
      </c>
      <c r="I28" s="315">
        <v>1.421</v>
      </c>
      <c r="J28" s="316">
        <f t="shared" si="0"/>
        <v>7.9809999999999999</v>
      </c>
      <c r="K28" s="317">
        <v>27830.570000000003</v>
      </c>
      <c r="L28" s="317">
        <v>33675</v>
      </c>
      <c r="M28" s="318">
        <f t="shared" si="3"/>
        <v>4219.3960656559329</v>
      </c>
      <c r="N28" s="314"/>
      <c r="O28" s="315">
        <v>225</v>
      </c>
      <c r="P28" s="315">
        <v>14685.75</v>
      </c>
      <c r="Q28" s="315">
        <v>16154</v>
      </c>
      <c r="R28" s="319">
        <f t="shared" si="1"/>
        <v>71.795555555555552</v>
      </c>
      <c r="S28" s="314"/>
      <c r="T28" s="315">
        <v>60</v>
      </c>
      <c r="U28" s="315">
        <v>3916.2</v>
      </c>
      <c r="V28" s="315">
        <v>4307</v>
      </c>
      <c r="W28" s="319">
        <f t="shared" si="2"/>
        <v>71.783333333333331</v>
      </c>
      <c r="X28" s="303"/>
      <c r="Y28" s="313" t="s">
        <v>121</v>
      </c>
      <c r="Z28" s="303"/>
      <c r="AA28" s="303"/>
      <c r="AB28" s="303"/>
    </row>
    <row r="29" spans="1:28" x14ac:dyDescent="0.25">
      <c r="A29" s="303"/>
      <c r="B29" s="313" t="s">
        <v>122</v>
      </c>
      <c r="C29" s="566"/>
      <c r="D29" s="566"/>
      <c r="E29" s="566"/>
      <c r="F29" s="567"/>
      <c r="G29" s="314"/>
      <c r="H29" s="315">
        <v>6.407</v>
      </c>
      <c r="I29" s="315">
        <v>1.3720000000000001</v>
      </c>
      <c r="J29" s="316">
        <f t="shared" si="0"/>
        <v>7.7789999999999999</v>
      </c>
      <c r="K29" s="317">
        <v>27223.97</v>
      </c>
      <c r="L29" s="317">
        <v>32941</v>
      </c>
      <c r="M29" s="318">
        <f t="shared" si="3"/>
        <v>4234.6059904872091</v>
      </c>
      <c r="N29" s="314"/>
      <c r="O29" s="315">
        <v>232</v>
      </c>
      <c r="P29" s="315">
        <v>15142.630000000001</v>
      </c>
      <c r="Q29" s="315">
        <v>16656</v>
      </c>
      <c r="R29" s="319">
        <f t="shared" si="1"/>
        <v>71.793103448275858</v>
      </c>
      <c r="S29" s="314"/>
      <c r="T29" s="315">
        <v>59</v>
      </c>
      <c r="U29" s="315">
        <v>3850.93</v>
      </c>
      <c r="V29" s="315">
        <v>4236</v>
      </c>
      <c r="W29" s="319">
        <f t="shared" si="2"/>
        <v>71.79661016949153</v>
      </c>
      <c r="X29" s="303"/>
      <c r="Y29" s="313" t="s">
        <v>122</v>
      </c>
      <c r="Z29" s="303"/>
      <c r="AA29" s="303"/>
      <c r="AB29" s="303"/>
    </row>
    <row r="30" spans="1:28" x14ac:dyDescent="0.25">
      <c r="A30" s="303"/>
      <c r="B30" s="313" t="s">
        <v>123</v>
      </c>
      <c r="C30" s="566"/>
      <c r="D30" s="566"/>
      <c r="E30" s="566"/>
      <c r="F30" s="567"/>
      <c r="G30" s="314"/>
      <c r="H30" s="315">
        <v>7.109</v>
      </c>
      <c r="I30" s="315">
        <v>1.508</v>
      </c>
      <c r="J30" s="316">
        <f t="shared" si="0"/>
        <v>8.6170000000000009</v>
      </c>
      <c r="K30" s="317">
        <v>29542.149999999998</v>
      </c>
      <c r="L30" s="317">
        <v>35746</v>
      </c>
      <c r="M30" s="318">
        <f t="shared" si="3"/>
        <v>4148.3114773122888</v>
      </c>
      <c r="N30" s="314"/>
      <c r="O30" s="315">
        <v>252</v>
      </c>
      <c r="P30" s="315">
        <v>16448.039999999997</v>
      </c>
      <c r="Q30" s="315">
        <v>18092</v>
      </c>
      <c r="R30" s="319">
        <f t="shared" si="1"/>
        <v>71.793650793650798</v>
      </c>
      <c r="S30" s="314"/>
      <c r="T30" s="315">
        <v>59</v>
      </c>
      <c r="U30" s="315">
        <v>3850.93</v>
      </c>
      <c r="V30" s="315">
        <v>4236</v>
      </c>
      <c r="W30" s="319">
        <f t="shared" si="2"/>
        <v>71.79661016949153</v>
      </c>
      <c r="X30" s="303"/>
      <c r="Y30" s="313" t="s">
        <v>123</v>
      </c>
      <c r="Z30" s="303"/>
      <c r="AA30" s="303"/>
      <c r="AB30" s="303"/>
    </row>
    <row r="31" spans="1:28" x14ac:dyDescent="0.25">
      <c r="A31" s="303">
        <v>2021</v>
      </c>
      <c r="B31" s="313" t="s">
        <v>112</v>
      </c>
      <c r="C31" s="566">
        <f>SUM(C69:C82)*46.4/1000/3.6</f>
        <v>803.09932000000003</v>
      </c>
      <c r="D31" s="566">
        <f>SUM(D69:D82)</f>
        <v>1357544.51</v>
      </c>
      <c r="E31" s="566">
        <f>SUM(E69:E82)</f>
        <v>1560034.54</v>
      </c>
      <c r="F31" s="567">
        <f>+E31/C31</f>
        <v>1942.517570554038</v>
      </c>
      <c r="G31" s="314"/>
      <c r="H31" s="315">
        <v>6.944</v>
      </c>
      <c r="I31" s="315">
        <v>1.5049999999999999</v>
      </c>
      <c r="J31" s="316">
        <f t="shared" si="0"/>
        <v>8.4489999999999998</v>
      </c>
      <c r="K31" s="317">
        <v>27199.179999999997</v>
      </c>
      <c r="L31" s="317">
        <v>32911</v>
      </c>
      <c r="M31" s="318">
        <f t="shared" si="3"/>
        <v>3895.2538761983669</v>
      </c>
      <c r="N31" s="314"/>
      <c r="O31" s="315">
        <v>266</v>
      </c>
      <c r="P31" s="315">
        <v>17361.820000000003</v>
      </c>
      <c r="Q31" s="315">
        <v>19098</v>
      </c>
      <c r="R31" s="319">
        <f t="shared" si="1"/>
        <v>71.796992481203006</v>
      </c>
      <c r="S31" s="314"/>
      <c r="T31" s="315">
        <v>59</v>
      </c>
      <c r="U31" s="315">
        <v>3850.93</v>
      </c>
      <c r="V31" s="315">
        <v>4236</v>
      </c>
      <c r="W31" s="319">
        <f t="shared" si="2"/>
        <v>71.79661016949153</v>
      </c>
      <c r="X31" s="303"/>
      <c r="Y31" s="313" t="s">
        <v>112</v>
      </c>
      <c r="Z31" s="303">
        <v>2021</v>
      </c>
      <c r="AA31" s="303"/>
      <c r="AB31" s="303"/>
    </row>
    <row r="32" spans="1:28" x14ac:dyDescent="0.25">
      <c r="A32" s="303"/>
      <c r="B32" s="313" t="s">
        <v>113</v>
      </c>
      <c r="C32" s="566"/>
      <c r="D32" s="566"/>
      <c r="E32" s="566"/>
      <c r="F32" s="567"/>
      <c r="G32" s="314"/>
      <c r="H32" s="315">
        <v>6.1989999999999998</v>
      </c>
      <c r="I32" s="315">
        <v>1.3480000000000001</v>
      </c>
      <c r="J32" s="316">
        <f t="shared" si="0"/>
        <v>7.5469999999999997</v>
      </c>
      <c r="K32" s="317">
        <v>24631.41</v>
      </c>
      <c r="L32" s="317">
        <v>29804</v>
      </c>
      <c r="M32" s="318">
        <f t="shared" si="3"/>
        <v>3949.1188551742416</v>
      </c>
      <c r="N32" s="314"/>
      <c r="O32" s="315">
        <v>228</v>
      </c>
      <c r="P32" s="315">
        <v>14881.56</v>
      </c>
      <c r="Q32" s="315">
        <v>16369</v>
      </c>
      <c r="R32" s="319">
        <f t="shared" si="1"/>
        <v>71.793859649122808</v>
      </c>
      <c r="S32" s="314"/>
      <c r="T32" s="315">
        <v>61</v>
      </c>
      <c r="U32" s="315">
        <v>3981.47</v>
      </c>
      <c r="V32" s="315">
        <v>4379</v>
      </c>
      <c r="W32" s="319">
        <f t="shared" si="2"/>
        <v>71.786885245901644</v>
      </c>
      <c r="X32" s="303"/>
      <c r="Y32" s="313" t="s">
        <v>113</v>
      </c>
      <c r="Z32" s="303"/>
      <c r="AA32" s="303"/>
      <c r="AB32" s="303"/>
    </row>
    <row r="33" spans="1:28" x14ac:dyDescent="0.25">
      <c r="A33" s="303"/>
      <c r="B33" s="313" t="s">
        <v>114</v>
      </c>
      <c r="C33" s="566"/>
      <c r="D33" s="566"/>
      <c r="E33" s="566"/>
      <c r="F33" s="567"/>
      <c r="G33" s="314"/>
      <c r="H33" s="315">
        <v>6.7729999999999997</v>
      </c>
      <c r="I33" s="315">
        <v>1.4319999999999999</v>
      </c>
      <c r="J33" s="316">
        <f t="shared" si="0"/>
        <v>8.2050000000000001</v>
      </c>
      <c r="K33" s="317">
        <v>26539.670000000002</v>
      </c>
      <c r="L33" s="317">
        <v>32113</v>
      </c>
      <c r="M33" s="318">
        <f t="shared" si="3"/>
        <v>3913.8330286410724</v>
      </c>
      <c r="N33" s="314"/>
      <c r="O33" s="315">
        <v>255</v>
      </c>
      <c r="P33" s="315">
        <v>16643.850000000002</v>
      </c>
      <c r="Q33" s="315">
        <v>18308</v>
      </c>
      <c r="R33" s="319">
        <f t="shared" si="1"/>
        <v>71.79607843137255</v>
      </c>
      <c r="S33" s="314"/>
      <c r="T33" s="315">
        <v>69</v>
      </c>
      <c r="U33" s="315">
        <v>4503.63</v>
      </c>
      <c r="V33" s="315">
        <v>4953</v>
      </c>
      <c r="W33" s="319">
        <f t="shared" si="2"/>
        <v>71.782608695652172</v>
      </c>
      <c r="X33" s="303"/>
      <c r="Y33" s="313" t="s">
        <v>114</v>
      </c>
      <c r="Z33" s="303"/>
      <c r="AA33" s="303"/>
      <c r="AB33" s="303"/>
    </row>
    <row r="34" spans="1:28" x14ac:dyDescent="0.25">
      <c r="A34" s="303"/>
      <c r="B34" s="313" t="s">
        <v>115</v>
      </c>
      <c r="C34" s="566"/>
      <c r="D34" s="566"/>
      <c r="E34" s="566"/>
      <c r="F34" s="567"/>
      <c r="G34" s="314"/>
      <c r="H34" s="315">
        <v>6.4249999999999998</v>
      </c>
      <c r="I34" s="315">
        <v>1.4179999999999999</v>
      </c>
      <c r="J34" s="316">
        <f t="shared" si="0"/>
        <v>7.843</v>
      </c>
      <c r="K34" s="317">
        <v>25452.07</v>
      </c>
      <c r="L34" s="317">
        <v>30797</v>
      </c>
      <c r="M34" s="318">
        <f t="shared" si="3"/>
        <v>3926.6862170087975</v>
      </c>
      <c r="N34" s="314"/>
      <c r="O34" s="315">
        <v>251</v>
      </c>
      <c r="P34" s="315">
        <v>16382.77</v>
      </c>
      <c r="Q34" s="315">
        <v>18021</v>
      </c>
      <c r="R34" s="319">
        <f t="shared" si="1"/>
        <v>71.79681274900399</v>
      </c>
      <c r="S34" s="314"/>
      <c r="T34" s="315">
        <v>67</v>
      </c>
      <c r="U34" s="315">
        <v>4373.09</v>
      </c>
      <c r="V34" s="315">
        <v>4810</v>
      </c>
      <c r="W34" s="319">
        <f t="shared" si="2"/>
        <v>71.791044776119406</v>
      </c>
      <c r="X34" s="303"/>
      <c r="Y34" s="313" t="s">
        <v>115</v>
      </c>
      <c r="Z34" s="303"/>
      <c r="AA34" s="303"/>
      <c r="AB34" s="303"/>
    </row>
    <row r="35" spans="1:28" x14ac:dyDescent="0.25">
      <c r="A35" s="303"/>
      <c r="B35" s="313" t="s">
        <v>116</v>
      </c>
      <c r="C35" s="566"/>
      <c r="D35" s="566"/>
      <c r="E35" s="566"/>
      <c r="F35" s="567"/>
      <c r="G35" s="314"/>
      <c r="H35" s="315">
        <v>6.6470000000000002</v>
      </c>
      <c r="I35" s="315">
        <v>1.492</v>
      </c>
      <c r="J35" s="316">
        <f t="shared" si="0"/>
        <v>8.1389999999999993</v>
      </c>
      <c r="K35" s="317">
        <v>26268.6</v>
      </c>
      <c r="L35" s="317">
        <v>31785</v>
      </c>
      <c r="M35" s="318">
        <f t="shared" si="3"/>
        <v>3905.2709178031701</v>
      </c>
      <c r="N35" s="314"/>
      <c r="O35" s="315">
        <v>270</v>
      </c>
      <c r="P35" s="315">
        <v>17622.900000000001</v>
      </c>
      <c r="Q35" s="315">
        <v>19385</v>
      </c>
      <c r="R35" s="319">
        <f t="shared" si="1"/>
        <v>71.796296296296291</v>
      </c>
      <c r="S35" s="314"/>
      <c r="T35" s="315">
        <v>69</v>
      </c>
      <c r="U35" s="315">
        <v>4503.63</v>
      </c>
      <c r="V35" s="315">
        <v>4953</v>
      </c>
      <c r="W35" s="319">
        <f t="shared" si="2"/>
        <v>71.782608695652172</v>
      </c>
      <c r="X35" s="303"/>
      <c r="Y35" s="313" t="s">
        <v>116</v>
      </c>
      <c r="Z35" s="303"/>
      <c r="AA35" s="303"/>
      <c r="AB35" s="303"/>
    </row>
    <row r="36" spans="1:28" x14ac:dyDescent="0.25">
      <c r="A36" s="303"/>
      <c r="B36" s="313" t="s">
        <v>117</v>
      </c>
      <c r="C36" s="566"/>
      <c r="D36" s="566"/>
      <c r="E36" s="566"/>
      <c r="F36" s="567"/>
      <c r="G36" s="314"/>
      <c r="H36" s="315">
        <v>6.84</v>
      </c>
      <c r="I36" s="315">
        <v>1.5009999999999999</v>
      </c>
      <c r="J36" s="316">
        <f t="shared" si="0"/>
        <v>8.3409999999999993</v>
      </c>
      <c r="K36" s="317">
        <v>26874.379999999997</v>
      </c>
      <c r="L36" s="317">
        <v>32518</v>
      </c>
      <c r="M36" s="318">
        <f t="shared" si="3"/>
        <v>3898.5733125524521</v>
      </c>
      <c r="N36" s="314"/>
      <c r="O36" s="315">
        <v>274</v>
      </c>
      <c r="P36" s="315">
        <v>17883.98</v>
      </c>
      <c r="Q36" s="315">
        <v>19672</v>
      </c>
      <c r="R36" s="319">
        <f t="shared" si="1"/>
        <v>71.795620437956202</v>
      </c>
      <c r="S36" s="314"/>
      <c r="T36" s="315">
        <v>67</v>
      </c>
      <c r="U36" s="315">
        <v>4373.09</v>
      </c>
      <c r="V36" s="315">
        <v>4810</v>
      </c>
      <c r="W36" s="319">
        <f t="shared" si="2"/>
        <v>71.791044776119406</v>
      </c>
      <c r="X36" s="303"/>
      <c r="Y36" s="313" t="s">
        <v>117</v>
      </c>
      <c r="Z36" s="303"/>
      <c r="AA36" s="303"/>
      <c r="AB36" s="303"/>
    </row>
    <row r="37" spans="1:28" x14ac:dyDescent="0.25">
      <c r="A37" s="303"/>
      <c r="B37" s="313" t="s">
        <v>118</v>
      </c>
      <c r="C37" s="566"/>
      <c r="D37" s="566"/>
      <c r="E37" s="566"/>
      <c r="F37" s="567"/>
      <c r="G37" s="314"/>
      <c r="H37" s="315">
        <v>6.8170000000000002</v>
      </c>
      <c r="I37" s="315">
        <v>1.5209999999999999</v>
      </c>
      <c r="J37" s="316">
        <f t="shared" si="0"/>
        <v>8.338000000000001</v>
      </c>
      <c r="K37" s="317">
        <v>26841.32</v>
      </c>
      <c r="L37" s="317">
        <v>32478</v>
      </c>
      <c r="M37" s="318">
        <f t="shared" si="3"/>
        <v>3895.1786999280398</v>
      </c>
      <c r="N37" s="314"/>
      <c r="O37" s="315">
        <v>253</v>
      </c>
      <c r="P37" s="315">
        <v>16513.310000000001</v>
      </c>
      <c r="Q37" s="315">
        <v>18164</v>
      </c>
      <c r="R37" s="319">
        <f t="shared" si="1"/>
        <v>71.794466403162062</v>
      </c>
      <c r="S37" s="314"/>
      <c r="T37" s="315">
        <v>67</v>
      </c>
      <c r="U37" s="315">
        <v>4373.09</v>
      </c>
      <c r="V37" s="315">
        <v>4810</v>
      </c>
      <c r="W37" s="319">
        <f t="shared" si="2"/>
        <v>71.791044776119406</v>
      </c>
      <c r="X37" s="303"/>
      <c r="Y37" s="313" t="s">
        <v>118</v>
      </c>
      <c r="Z37" s="303"/>
      <c r="AA37" s="303"/>
      <c r="AB37" s="303"/>
    </row>
    <row r="38" spans="1:28" x14ac:dyDescent="0.25">
      <c r="A38" s="303"/>
      <c r="B38" s="313" t="s">
        <v>119</v>
      </c>
      <c r="C38" s="566"/>
      <c r="D38" s="566"/>
      <c r="E38" s="566"/>
      <c r="F38" s="567"/>
      <c r="G38" s="314"/>
      <c r="H38" s="315">
        <v>6.8090000000000002</v>
      </c>
      <c r="I38" s="315">
        <v>1.5289999999999999</v>
      </c>
      <c r="J38" s="316">
        <f t="shared" si="0"/>
        <v>8.338000000000001</v>
      </c>
      <c r="K38" s="317">
        <v>26832.23</v>
      </c>
      <c r="L38" s="317">
        <v>32467</v>
      </c>
      <c r="M38" s="318">
        <f t="shared" si="3"/>
        <v>3893.8594387143194</v>
      </c>
      <c r="N38" s="314"/>
      <c r="O38" s="315">
        <v>296</v>
      </c>
      <c r="P38" s="315">
        <v>19319.919999999998</v>
      </c>
      <c r="Q38" s="315">
        <v>21251</v>
      </c>
      <c r="R38" s="319">
        <f t="shared" si="1"/>
        <v>71.793918918918919</v>
      </c>
      <c r="S38" s="314"/>
      <c r="T38" s="315">
        <v>71</v>
      </c>
      <c r="U38" s="315">
        <v>4634.17</v>
      </c>
      <c r="V38" s="315">
        <v>5097</v>
      </c>
      <c r="W38" s="319">
        <f t="shared" si="2"/>
        <v>71.788732394366193</v>
      </c>
      <c r="X38" s="303"/>
      <c r="Y38" s="313" t="s">
        <v>119</v>
      </c>
      <c r="Z38" s="303"/>
      <c r="AA38" s="303"/>
      <c r="AB38" s="303"/>
    </row>
    <row r="39" spans="1:28" x14ac:dyDescent="0.25">
      <c r="A39" s="303"/>
      <c r="B39" s="313" t="s">
        <v>120</v>
      </c>
      <c r="C39" s="566"/>
      <c r="D39" s="566"/>
      <c r="E39" s="566"/>
      <c r="F39" s="567"/>
      <c r="G39" s="314"/>
      <c r="H39" s="315">
        <v>6.7409999999999997</v>
      </c>
      <c r="I39" s="315">
        <v>1.4950000000000001</v>
      </c>
      <c r="J39" s="316">
        <f t="shared" si="0"/>
        <v>8.2360000000000007</v>
      </c>
      <c r="K39" s="317">
        <v>26560.33</v>
      </c>
      <c r="L39" s="317">
        <v>32137.999999999996</v>
      </c>
      <c r="M39" s="318">
        <f t="shared" si="3"/>
        <v>3902.1369596891686</v>
      </c>
      <c r="N39" s="314"/>
      <c r="O39" s="315">
        <v>272</v>
      </c>
      <c r="P39" s="315">
        <v>17753.440000000002</v>
      </c>
      <c r="Q39" s="315">
        <v>19528</v>
      </c>
      <c r="R39" s="319">
        <f t="shared" si="1"/>
        <v>71.794117647058826</v>
      </c>
      <c r="S39" s="314"/>
      <c r="T39" s="315">
        <v>60</v>
      </c>
      <c r="U39" s="315">
        <v>3916.2</v>
      </c>
      <c r="V39" s="315">
        <v>4307</v>
      </c>
      <c r="W39" s="319">
        <f t="shared" si="2"/>
        <v>71.783333333333331</v>
      </c>
      <c r="X39" s="303"/>
      <c r="Y39" s="313" t="s">
        <v>120</v>
      </c>
      <c r="Z39" s="303"/>
      <c r="AA39" s="303"/>
      <c r="AB39" s="303"/>
    </row>
    <row r="40" spans="1:28" x14ac:dyDescent="0.25">
      <c r="A40" s="303"/>
      <c r="B40" s="313" t="s">
        <v>121</v>
      </c>
      <c r="C40" s="566"/>
      <c r="D40" s="566"/>
      <c r="E40" s="566"/>
      <c r="F40" s="567"/>
      <c r="G40" s="314"/>
      <c r="H40" s="315">
        <v>6.9809999999999999</v>
      </c>
      <c r="I40" s="315">
        <v>1.5409999999999999</v>
      </c>
      <c r="J40" s="316">
        <f t="shared" si="0"/>
        <v>8.5220000000000002</v>
      </c>
      <c r="K40" s="317">
        <v>27379.329999999998</v>
      </c>
      <c r="L40" s="317">
        <v>33129</v>
      </c>
      <c r="M40" s="318">
        <f t="shared" si="3"/>
        <v>3887.4677305796758</v>
      </c>
      <c r="N40" s="314"/>
      <c r="O40" s="315">
        <v>280</v>
      </c>
      <c r="P40" s="315">
        <v>18275.600000000002</v>
      </c>
      <c r="Q40" s="315">
        <v>20103</v>
      </c>
      <c r="R40" s="319">
        <f t="shared" si="1"/>
        <v>71.796428571428578</v>
      </c>
      <c r="S40" s="314"/>
      <c r="T40" s="315">
        <v>64</v>
      </c>
      <c r="U40" s="315">
        <v>4177.28</v>
      </c>
      <c r="V40" s="315">
        <v>4595</v>
      </c>
      <c r="W40" s="319">
        <f t="shared" si="2"/>
        <v>71.796875</v>
      </c>
      <c r="X40" s="303"/>
      <c r="Y40" s="313" t="s">
        <v>121</v>
      </c>
      <c r="Z40" s="303"/>
      <c r="AA40" s="303"/>
      <c r="AB40" s="303"/>
    </row>
    <row r="41" spans="1:28" x14ac:dyDescent="0.25">
      <c r="A41" s="303"/>
      <c r="B41" s="313" t="s">
        <v>122</v>
      </c>
      <c r="C41" s="566"/>
      <c r="D41" s="566"/>
      <c r="E41" s="566"/>
      <c r="F41" s="567"/>
      <c r="G41" s="314"/>
      <c r="H41" s="315">
        <v>6.9740000000000002</v>
      </c>
      <c r="I41" s="315">
        <v>1.4730000000000001</v>
      </c>
      <c r="J41" s="316">
        <f t="shared" si="0"/>
        <v>8.447000000000001</v>
      </c>
      <c r="K41" s="317">
        <v>27230</v>
      </c>
      <c r="L41" s="317">
        <v>27230</v>
      </c>
      <c r="M41" s="318">
        <f t="shared" si="3"/>
        <v>3223.6296910145611</v>
      </c>
      <c r="N41" s="314"/>
      <c r="O41" s="315">
        <v>266</v>
      </c>
      <c r="P41" s="315">
        <v>17361.820000000003</v>
      </c>
      <c r="Q41" s="315">
        <v>19098</v>
      </c>
      <c r="R41" s="319">
        <f t="shared" si="1"/>
        <v>71.796992481203006</v>
      </c>
      <c r="S41" s="314"/>
      <c r="T41" s="315">
        <v>55</v>
      </c>
      <c r="U41" s="315">
        <v>3589.8500000000004</v>
      </c>
      <c r="V41" s="315">
        <v>3948</v>
      </c>
      <c r="W41" s="319">
        <f t="shared" si="2"/>
        <v>71.781818181818181</v>
      </c>
      <c r="X41" s="303"/>
      <c r="Y41" s="313" t="s">
        <v>122</v>
      </c>
      <c r="Z41" s="303"/>
      <c r="AA41" s="303"/>
      <c r="AB41" s="303"/>
    </row>
    <row r="42" spans="1:28" x14ac:dyDescent="0.25">
      <c r="A42" s="303"/>
      <c r="B42" s="313" t="s">
        <v>123</v>
      </c>
      <c r="C42" s="566"/>
      <c r="D42" s="566"/>
      <c r="E42" s="566"/>
      <c r="F42" s="567"/>
      <c r="G42" s="314"/>
      <c r="H42" s="315">
        <v>7.2919999999999998</v>
      </c>
      <c r="I42" s="315">
        <v>1.53</v>
      </c>
      <c r="J42" s="316">
        <f t="shared" si="0"/>
        <v>8.8219999999999992</v>
      </c>
      <c r="K42" s="317">
        <v>28308</v>
      </c>
      <c r="L42" s="317">
        <v>28308</v>
      </c>
      <c r="M42" s="318">
        <f t="shared" si="3"/>
        <v>3208.7961913398326</v>
      </c>
      <c r="N42" s="314"/>
      <c r="O42" s="315">
        <v>253</v>
      </c>
      <c r="P42" s="315">
        <v>16513.310000000001</v>
      </c>
      <c r="Q42" s="315">
        <v>18164</v>
      </c>
      <c r="R42" s="319">
        <f t="shared" si="1"/>
        <v>71.794466403162062</v>
      </c>
      <c r="S42" s="314"/>
      <c r="T42" s="315">
        <v>53</v>
      </c>
      <c r="U42" s="315">
        <v>3459.31</v>
      </c>
      <c r="V42" s="315">
        <v>3805</v>
      </c>
      <c r="W42" s="319">
        <f t="shared" si="2"/>
        <v>71.79245283018868</v>
      </c>
      <c r="X42" s="303"/>
      <c r="Y42" s="313" t="s">
        <v>123</v>
      </c>
      <c r="Z42" s="303"/>
      <c r="AA42" s="303"/>
      <c r="AB42" s="303"/>
    </row>
    <row r="44" spans="1:28" x14ac:dyDescent="0.25">
      <c r="B44" s="313">
        <v>2019</v>
      </c>
    </row>
    <row r="45" spans="1:28" x14ac:dyDescent="0.25">
      <c r="B45" s="313">
        <v>2020</v>
      </c>
      <c r="C45" s="127">
        <f>SUM(C19)</f>
        <v>717.08918666666682</v>
      </c>
      <c r="D45" s="127">
        <f>SUM(D19)</f>
        <v>1009910.8299999998</v>
      </c>
      <c r="E45" s="127">
        <f>SUM(E19)</f>
        <v>1221992.1500000001</v>
      </c>
      <c r="F45" s="127">
        <f>E45/C45</f>
        <v>1704.1006512458171</v>
      </c>
      <c r="J45" s="127">
        <f>SUM(J19:J30)</f>
        <v>99.84999999999998</v>
      </c>
      <c r="K45" s="127">
        <f>SUM(K19:K30)</f>
        <v>345736.36</v>
      </c>
      <c r="L45" s="127">
        <f>SUM(L19:L30)</f>
        <v>418341</v>
      </c>
      <c r="M45" s="127">
        <f>L45/J45</f>
        <v>4189.6945418127198</v>
      </c>
      <c r="O45" s="127">
        <f>SUM(O19:O30)</f>
        <v>3310</v>
      </c>
      <c r="P45" s="127">
        <f>SUM(P19:P30)</f>
        <v>216043.69</v>
      </c>
      <c r="Q45" s="127">
        <f>SUM(Q19:Q30)</f>
        <v>241447.3</v>
      </c>
      <c r="R45" s="324">
        <f>Q45/O45</f>
        <v>72.944803625377645</v>
      </c>
      <c r="T45" s="127">
        <f>SUM(T19:T30)</f>
        <v>931</v>
      </c>
      <c r="U45" s="127">
        <f>SUM(U19:U30)</f>
        <v>60766.369999999995</v>
      </c>
      <c r="V45" s="127">
        <f>SUM(V19:V30)</f>
        <v>67953</v>
      </c>
      <c r="W45" s="324">
        <f>V45/T45</f>
        <v>72.989258861439311</v>
      </c>
    </row>
    <row r="46" spans="1:28" x14ac:dyDescent="0.25">
      <c r="B46" s="313">
        <v>2021</v>
      </c>
      <c r="C46" s="127">
        <f>SUM(C31:C42)</f>
        <v>803.09932000000003</v>
      </c>
      <c r="D46" s="127">
        <f>SUM(D31:D42)</f>
        <v>1357544.51</v>
      </c>
      <c r="E46" s="127">
        <f>SUM(E31:E42)</f>
        <v>1560034.54</v>
      </c>
      <c r="F46" s="127">
        <f>E46/C46</f>
        <v>1942.517570554038</v>
      </c>
      <c r="J46" s="127">
        <f>SUM(J31:J42)</f>
        <v>99.227000000000004</v>
      </c>
      <c r="K46" s="127">
        <f>SUM(K31:K42)</f>
        <v>320116.52</v>
      </c>
      <c r="L46" s="127">
        <f>SUM(L31:L42)</f>
        <v>375678</v>
      </c>
      <c r="M46" s="127">
        <f>L46/J46</f>
        <v>3786.0461366361978</v>
      </c>
      <c r="O46" s="127">
        <f>SUM(O31:O42)</f>
        <v>3164</v>
      </c>
      <c r="P46" s="127">
        <f>SUM(P31:P42)</f>
        <v>206514.28000000003</v>
      </c>
      <c r="Q46" s="127">
        <f>SUM(Q31:Q42)</f>
        <v>227161</v>
      </c>
      <c r="R46" s="324">
        <f>Q46/O46</f>
        <v>71.795512010113782</v>
      </c>
      <c r="T46" s="127">
        <f>SUM(T31:T42)</f>
        <v>762</v>
      </c>
      <c r="U46" s="127">
        <f>SUM(U31:U42)</f>
        <v>49735.739999999991</v>
      </c>
      <c r="V46" s="127">
        <f>SUM(V31:V42)</f>
        <v>54703</v>
      </c>
      <c r="W46" s="324">
        <f>V46/T46</f>
        <v>71.78871391076116</v>
      </c>
    </row>
    <row r="48" spans="1:28" x14ac:dyDescent="0.25">
      <c r="B48" s="332" t="s">
        <v>161</v>
      </c>
      <c r="C48" s="333">
        <f>C46</f>
        <v>803.09932000000003</v>
      </c>
      <c r="D48" s="332"/>
      <c r="E48" s="333">
        <f>F48*C48</f>
        <v>2028044.902</v>
      </c>
      <c r="F48" s="333">
        <f>F46*1.3</f>
        <v>2525.2728417202493</v>
      </c>
      <c r="G48" s="334"/>
      <c r="H48" s="334"/>
      <c r="I48" s="334"/>
      <c r="J48" s="333">
        <f>J46</f>
        <v>99.227000000000004</v>
      </c>
      <c r="K48" s="332"/>
      <c r="L48" s="333">
        <f>M48*J48</f>
        <v>638652.6</v>
      </c>
      <c r="M48" s="333">
        <f>M46*1.7</f>
        <v>6436.278432281536</v>
      </c>
      <c r="N48" s="334"/>
      <c r="O48" s="333">
        <f>O46</f>
        <v>3164</v>
      </c>
      <c r="P48" s="332"/>
      <c r="Q48" s="333">
        <f>R48*O48</f>
        <v>272593.2</v>
      </c>
      <c r="R48" s="377">
        <f>R46*1.2</f>
        <v>86.154614412136539</v>
      </c>
      <c r="S48" s="334"/>
      <c r="T48" s="333">
        <f>T46</f>
        <v>762</v>
      </c>
      <c r="U48" s="332"/>
      <c r="V48" s="333">
        <f>W48*T48</f>
        <v>65643.600000000006</v>
      </c>
      <c r="W48" s="377">
        <f>W46*1.2</f>
        <v>86.146456692913389</v>
      </c>
    </row>
    <row r="49" spans="1:23" x14ac:dyDescent="0.25">
      <c r="C49" s="378">
        <v>2021</v>
      </c>
      <c r="F49" t="s">
        <v>168</v>
      </c>
      <c r="J49" s="378">
        <v>2021</v>
      </c>
      <c r="M49" t="s">
        <v>168</v>
      </c>
      <c r="O49" s="378">
        <v>2021</v>
      </c>
      <c r="R49" t="s">
        <v>169</v>
      </c>
      <c r="T49" s="378">
        <v>2021</v>
      </c>
      <c r="W49" t="s">
        <v>169</v>
      </c>
    </row>
    <row r="52" spans="1:23" x14ac:dyDescent="0.25">
      <c r="C52" s="305" t="s">
        <v>138</v>
      </c>
      <c r="D52" s="454"/>
      <c r="E52" s="304"/>
      <c r="F52" s="304"/>
    </row>
    <row r="53" spans="1:23" x14ac:dyDescent="0.25">
      <c r="C53" s="303" t="s">
        <v>146</v>
      </c>
      <c r="D53" s="304"/>
      <c r="E53" s="304"/>
      <c r="F53" s="304"/>
    </row>
    <row r="54" spans="1:23" x14ac:dyDescent="0.25">
      <c r="C54" s="455" t="s">
        <v>214</v>
      </c>
      <c r="D54" s="307" t="s">
        <v>3</v>
      </c>
      <c r="E54" s="307" t="s">
        <v>4</v>
      </c>
      <c r="F54" s="307" t="s">
        <v>215</v>
      </c>
    </row>
    <row r="55" spans="1:23" x14ac:dyDescent="0.25">
      <c r="C55" s="311"/>
      <c r="D55" s="311"/>
      <c r="E55" s="311"/>
      <c r="F55" s="311"/>
    </row>
    <row r="56" spans="1:23" x14ac:dyDescent="0.25">
      <c r="A56">
        <f>A19</f>
        <v>2020</v>
      </c>
      <c r="C56" s="315">
        <v>4882.32</v>
      </c>
      <c r="D56" s="315">
        <v>102040.49</v>
      </c>
      <c r="E56" s="315">
        <v>123468.99</v>
      </c>
      <c r="F56" s="460">
        <f>+E56/C56</f>
        <v>25.288999901686086</v>
      </c>
      <c r="H56" t="s">
        <v>217</v>
      </c>
    </row>
    <row r="57" spans="1:23" x14ac:dyDescent="0.25">
      <c r="C57" s="315">
        <v>4501.92</v>
      </c>
      <c r="D57" s="315">
        <v>91839.17</v>
      </c>
      <c r="E57" s="315">
        <v>111125.39</v>
      </c>
      <c r="F57" s="460">
        <f t="shared" ref="F57:F82" si="4">+E57/C57</f>
        <v>24.683999271421971</v>
      </c>
      <c r="H57" t="s">
        <v>217</v>
      </c>
    </row>
    <row r="58" spans="1:23" x14ac:dyDescent="0.25">
      <c r="C58" s="315">
        <v>4481.17</v>
      </c>
      <c r="D58" s="315">
        <v>91415.87</v>
      </c>
      <c r="E58" s="315">
        <v>110613.20000000001</v>
      </c>
      <c r="F58" s="460">
        <f t="shared" si="4"/>
        <v>24.683999937516319</v>
      </c>
      <c r="H58" t="s">
        <v>217</v>
      </c>
    </row>
    <row r="59" spans="1:23" x14ac:dyDescent="0.25">
      <c r="C59" s="315">
        <v>4300.51</v>
      </c>
      <c r="D59" s="315">
        <v>83429.89</v>
      </c>
      <c r="E59" s="315">
        <v>100950.17</v>
      </c>
      <c r="F59" s="460">
        <f t="shared" si="4"/>
        <v>23.473999595396823</v>
      </c>
      <c r="H59" t="s">
        <v>217</v>
      </c>
    </row>
    <row r="60" spans="1:23" x14ac:dyDescent="0.25">
      <c r="C60" s="315">
        <v>4203.6499999999996</v>
      </c>
      <c r="D60" s="315">
        <v>65156.58</v>
      </c>
      <c r="E60" s="315">
        <v>78839.460000000006</v>
      </c>
      <c r="F60" s="460">
        <f t="shared" si="4"/>
        <v>18.755001011026135</v>
      </c>
      <c r="H60" t="s">
        <v>217</v>
      </c>
    </row>
    <row r="61" spans="1:23" x14ac:dyDescent="0.25">
      <c r="C61" s="315">
        <v>4702.1000000000004</v>
      </c>
      <c r="D61" s="315">
        <v>72882.549999999988</v>
      </c>
      <c r="E61" s="315">
        <v>88187.89</v>
      </c>
      <c r="F61" s="460">
        <f t="shared" si="4"/>
        <v>18.755000957019202</v>
      </c>
      <c r="H61" t="s">
        <v>217</v>
      </c>
    </row>
    <row r="62" spans="1:23" x14ac:dyDescent="0.25">
      <c r="C62" s="315">
        <v>4340.8999999999996</v>
      </c>
      <c r="D62" s="315">
        <v>71624.849999999991</v>
      </c>
      <c r="E62" s="315">
        <v>86666.07</v>
      </c>
      <c r="F62" s="460">
        <f t="shared" si="4"/>
        <v>19.965000345550465</v>
      </c>
      <c r="H62" t="s">
        <v>217</v>
      </c>
    </row>
    <row r="63" spans="1:23" x14ac:dyDescent="0.25">
      <c r="C63" s="315">
        <v>4651.76</v>
      </c>
      <c r="D63" s="315">
        <v>79545.100000000006</v>
      </c>
      <c r="E63" s="315">
        <v>96249.57</v>
      </c>
      <c r="F63" s="460">
        <f t="shared" si="4"/>
        <v>20.691000825494008</v>
      </c>
      <c r="H63" t="s">
        <v>217</v>
      </c>
    </row>
    <row r="64" spans="1:23" x14ac:dyDescent="0.25">
      <c r="C64" s="315">
        <v>4550.12</v>
      </c>
      <c r="D64" s="315">
        <v>80082.11</v>
      </c>
      <c r="E64" s="315">
        <v>96899.36</v>
      </c>
      <c r="F64" s="460">
        <f t="shared" si="4"/>
        <v>21.296000984589419</v>
      </c>
      <c r="H64" t="s">
        <v>217</v>
      </c>
    </row>
    <row r="65" spans="1:9" x14ac:dyDescent="0.25">
      <c r="C65" s="315">
        <v>4700.17</v>
      </c>
      <c r="D65" s="315">
        <v>85073.08</v>
      </c>
      <c r="E65" s="315">
        <v>102938.42</v>
      </c>
      <c r="F65" s="460">
        <f t="shared" si="4"/>
        <v>21.90099932555631</v>
      </c>
      <c r="H65" t="s">
        <v>217</v>
      </c>
    </row>
    <row r="66" spans="1:9" x14ac:dyDescent="0.25">
      <c r="C66" s="315">
        <v>3701.34</v>
      </c>
      <c r="D66" s="315">
        <v>66994.25</v>
      </c>
      <c r="E66" s="315">
        <v>81063.05</v>
      </c>
      <c r="F66" s="460">
        <f t="shared" si="4"/>
        <v>21.901000718658647</v>
      </c>
      <c r="H66" t="s">
        <v>217</v>
      </c>
    </row>
    <row r="67" spans="1:9" x14ac:dyDescent="0.25">
      <c r="C67" s="315">
        <v>4600.3</v>
      </c>
      <c r="D67" s="315">
        <v>83265.429999999993</v>
      </c>
      <c r="E67" s="315">
        <v>100751.22</v>
      </c>
      <c r="F67" s="460">
        <f t="shared" si="4"/>
        <v>21.901010803643238</v>
      </c>
      <c r="H67" t="s">
        <v>217</v>
      </c>
    </row>
    <row r="68" spans="1:9" x14ac:dyDescent="0.25">
      <c r="A68" s="457"/>
      <c r="B68" s="457"/>
      <c r="C68" s="458">
        <v>2019.97</v>
      </c>
      <c r="D68" s="458">
        <v>36561.46</v>
      </c>
      <c r="E68" s="458">
        <v>44239.360000000001</v>
      </c>
      <c r="F68" s="461">
        <f t="shared" si="4"/>
        <v>21.900998529681132</v>
      </c>
      <c r="G68" s="459"/>
      <c r="H68" s="457" t="s">
        <v>217</v>
      </c>
      <c r="I68" s="457"/>
    </row>
    <row r="69" spans="1:9" x14ac:dyDescent="0.25">
      <c r="A69">
        <f>A31</f>
        <v>2021</v>
      </c>
      <c r="C69" s="456">
        <v>4760.6899999999996</v>
      </c>
      <c r="D69" s="456">
        <v>95689.87</v>
      </c>
      <c r="E69" s="456">
        <v>115784.74</v>
      </c>
      <c r="F69" s="462">
        <f t="shared" si="4"/>
        <v>24.320999687020162</v>
      </c>
      <c r="H69" t="s">
        <v>216</v>
      </c>
    </row>
    <row r="70" spans="1:9" x14ac:dyDescent="0.25">
      <c r="C70" s="315">
        <v>4253.2</v>
      </c>
      <c r="D70" s="315">
        <v>85489.32</v>
      </c>
      <c r="E70" s="315">
        <v>103442.08</v>
      </c>
      <c r="F70" s="460">
        <f t="shared" si="4"/>
        <v>24.321000658327847</v>
      </c>
      <c r="H70" t="s">
        <v>216</v>
      </c>
    </row>
    <row r="71" spans="1:9" x14ac:dyDescent="0.25">
      <c r="C71" s="315">
        <v>2770.5</v>
      </c>
      <c r="D71" s="315">
        <v>55687.05</v>
      </c>
      <c r="E71" s="315">
        <v>67381.33</v>
      </c>
      <c r="F71" s="460">
        <f t="shared" si="4"/>
        <v>24.320999819527163</v>
      </c>
      <c r="H71" t="s">
        <v>216</v>
      </c>
    </row>
    <row r="72" spans="1:9" x14ac:dyDescent="0.25">
      <c r="C72" s="315">
        <v>5000.1400000000003</v>
      </c>
      <c r="D72" s="315">
        <v>100502.81</v>
      </c>
      <c r="E72" s="315">
        <v>121608.40000000001</v>
      </c>
      <c r="F72" s="460">
        <f t="shared" si="4"/>
        <v>24.320999012027663</v>
      </c>
      <c r="H72" t="s">
        <v>216</v>
      </c>
    </row>
    <row r="73" spans="1:9" x14ac:dyDescent="0.25">
      <c r="C73" s="315">
        <v>4802.3900000000003</v>
      </c>
      <c r="D73" s="315">
        <v>96528.040000000008</v>
      </c>
      <c r="E73" s="315">
        <v>116798.93</v>
      </c>
      <c r="F73" s="460">
        <f t="shared" si="4"/>
        <v>24.321000585125319</v>
      </c>
      <c r="H73" t="s">
        <v>216</v>
      </c>
    </row>
    <row r="74" spans="1:9" x14ac:dyDescent="0.25">
      <c r="C74" s="315">
        <v>5050.8100000000004</v>
      </c>
      <c r="D74" s="315">
        <v>100006.04</v>
      </c>
      <c r="E74" s="315">
        <v>121007.31</v>
      </c>
      <c r="F74" s="460">
        <f t="shared" si="4"/>
        <v>23.958000795911939</v>
      </c>
      <c r="H74" t="s">
        <v>216</v>
      </c>
    </row>
    <row r="75" spans="1:9" x14ac:dyDescent="0.25">
      <c r="C75" s="315">
        <v>5002.3100000000004</v>
      </c>
      <c r="D75" s="315">
        <v>97545.04</v>
      </c>
      <c r="E75" s="315">
        <v>118029.5</v>
      </c>
      <c r="F75" s="460">
        <f t="shared" si="4"/>
        <v>23.594999110410988</v>
      </c>
      <c r="H75" t="s">
        <v>216</v>
      </c>
    </row>
    <row r="76" spans="1:9" x14ac:dyDescent="0.25">
      <c r="C76" s="315">
        <v>5301.93</v>
      </c>
      <c r="D76" s="315">
        <v>100736.67</v>
      </c>
      <c r="E76" s="315">
        <v>121891.37</v>
      </c>
      <c r="F76" s="460">
        <f t="shared" si="4"/>
        <v>22.989999867972603</v>
      </c>
      <c r="H76" t="s">
        <v>216</v>
      </c>
    </row>
    <row r="77" spans="1:9" x14ac:dyDescent="0.25">
      <c r="C77" s="315">
        <v>5300.13</v>
      </c>
      <c r="D77" s="315">
        <v>113952.8</v>
      </c>
      <c r="E77" s="315">
        <v>137882.88</v>
      </c>
      <c r="F77" s="460">
        <f t="shared" si="4"/>
        <v>26.014999632084496</v>
      </c>
      <c r="H77" t="s">
        <v>216</v>
      </c>
    </row>
    <row r="78" spans="1:9" x14ac:dyDescent="0.25">
      <c r="C78" s="315">
        <v>4900.4399999999996</v>
      </c>
      <c r="D78" s="315">
        <v>118100.6</v>
      </c>
      <c r="E78" s="315">
        <v>142901.72999999998</v>
      </c>
      <c r="F78" s="460">
        <f t="shared" si="4"/>
        <v>29.160999828586821</v>
      </c>
      <c r="H78" t="s">
        <v>216</v>
      </c>
    </row>
    <row r="79" spans="1:9" x14ac:dyDescent="0.25">
      <c r="C79" s="315">
        <v>5001.2700000000004</v>
      </c>
      <c r="D79" s="315">
        <v>131033.26999999999</v>
      </c>
      <c r="E79" s="315">
        <v>131033.26999999999</v>
      </c>
      <c r="F79" s="460">
        <f t="shared" si="4"/>
        <v>26.199999200203145</v>
      </c>
      <c r="H79" t="s">
        <v>216</v>
      </c>
    </row>
    <row r="80" spans="1:9" x14ac:dyDescent="0.25">
      <c r="C80" s="315">
        <v>5000.87</v>
      </c>
      <c r="D80" s="315">
        <v>129022.45</v>
      </c>
      <c r="E80" s="315">
        <v>129022.45</v>
      </c>
      <c r="F80" s="460">
        <f t="shared" si="4"/>
        <v>25.800000799860825</v>
      </c>
      <c r="H80" t="s">
        <v>216</v>
      </c>
    </row>
    <row r="81" spans="2:8" x14ac:dyDescent="0.25">
      <c r="C81" s="315">
        <v>3412.28</v>
      </c>
      <c r="D81" s="315">
        <v>88036.82</v>
      </c>
      <c r="E81" s="315">
        <v>88036.82</v>
      </c>
      <c r="F81" s="460">
        <f t="shared" si="4"/>
        <v>25.799998827763254</v>
      </c>
      <c r="H81" t="s">
        <v>216</v>
      </c>
    </row>
    <row r="82" spans="2:8" x14ac:dyDescent="0.25">
      <c r="C82" s="315">
        <v>1752.47</v>
      </c>
      <c r="D82" s="315">
        <v>45213.729999999996</v>
      </c>
      <c r="E82" s="315">
        <v>45213.729999999996</v>
      </c>
      <c r="F82" s="460">
        <f t="shared" si="4"/>
        <v>25.800002282492709</v>
      </c>
      <c r="H82" t="s">
        <v>216</v>
      </c>
    </row>
    <row r="83" spans="2:8" x14ac:dyDescent="0.25">
      <c r="F83" s="463"/>
    </row>
    <row r="84" spans="2:8" x14ac:dyDescent="0.25">
      <c r="B84" s="313">
        <v>2020</v>
      </c>
      <c r="C84" s="127">
        <f>SUM(C56:C68)</f>
        <v>55636.23000000001</v>
      </c>
      <c r="D84" s="127">
        <f>SUM(D56:D68)</f>
        <v>1009910.8299999998</v>
      </c>
      <c r="E84" s="127">
        <f>SUM(E56:E68)</f>
        <v>1221992.1500000001</v>
      </c>
      <c r="F84" s="463">
        <f>E84/C84</f>
        <v>21.963963949390532</v>
      </c>
    </row>
    <row r="85" spans="2:8" x14ac:dyDescent="0.25">
      <c r="B85" s="313">
        <v>2021</v>
      </c>
      <c r="C85" s="127">
        <f>SUM(C69:C82)</f>
        <v>62309.43</v>
      </c>
      <c r="D85" s="127">
        <f>SUM(D69:D82)</f>
        <v>1357544.51</v>
      </c>
      <c r="E85" s="127">
        <f>SUM(E69:E82)</f>
        <v>1560034.54</v>
      </c>
      <c r="F85" s="463">
        <f>E85/C85</f>
        <v>25.03689313158538</v>
      </c>
    </row>
    <row r="87" spans="2:8" x14ac:dyDescent="0.25">
      <c r="B87" s="332" t="s">
        <v>161</v>
      </c>
      <c r="C87" s="333">
        <f>C85</f>
        <v>62309.43</v>
      </c>
      <c r="D87" s="332"/>
      <c r="E87" s="333">
        <f>F87*C87</f>
        <v>2028044.9020000002</v>
      </c>
      <c r="F87" s="464">
        <f>F85*1.3</f>
        <v>32.547961071060996</v>
      </c>
    </row>
    <row r="88" spans="2:8" x14ac:dyDescent="0.25">
      <c r="C88" s="378">
        <v>2021</v>
      </c>
      <c r="F88" t="s">
        <v>168</v>
      </c>
    </row>
  </sheetData>
  <mergeCells count="12">
    <mergeCell ref="C31:C42"/>
    <mergeCell ref="D31:D42"/>
    <mergeCell ref="E31:E42"/>
    <mergeCell ref="F31:F42"/>
    <mergeCell ref="C7:C18"/>
    <mergeCell ref="D7:D18"/>
    <mergeCell ref="E7:E18"/>
    <mergeCell ref="F7:F18"/>
    <mergeCell ref="C19:C30"/>
    <mergeCell ref="D19:D30"/>
    <mergeCell ref="E19:E30"/>
    <mergeCell ref="F19:F30"/>
  </mergeCells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12</vt:i4>
      </vt:variant>
    </vt:vector>
  </HeadingPairs>
  <TitlesOfParts>
    <vt:vector size="12" baseType="lpstr">
      <vt:lpstr>Investice a úspory</vt:lpstr>
      <vt:lpstr>Modelová nabídka</vt:lpstr>
      <vt:lpstr>Cenová příloha</vt:lpstr>
      <vt:lpstr>REFERENČNÍ ÚDAJE</vt:lpstr>
      <vt:lpstr>01 OA, SPgŠ a JŠ Beroun</vt:lpstr>
      <vt:lpstr>02 SOŠ a SOU Jílové</vt:lpstr>
      <vt:lpstr>02.1 SOŠ a SOU Jílové-jídelna</vt:lpstr>
      <vt:lpstr>03 Muzeum Jílové</vt:lpstr>
      <vt:lpstr>04 Domov Kytín</vt:lpstr>
      <vt:lpstr>05 ZŠ a DD Sedlec-Prčice</vt:lpstr>
      <vt:lpstr>06 DPS Nové Strašecí</vt:lpstr>
      <vt:lpstr>07 SOU Sedlčany-DDM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Kristína Šislingová</dc:creator>
  <cp:lastModifiedBy>Jiří Mazáček</cp:lastModifiedBy>
  <cp:lastPrinted>2023-06-09T13:30:02Z</cp:lastPrinted>
  <dcterms:created xsi:type="dcterms:W3CDTF">2015-11-02T08:48:42Z</dcterms:created>
  <dcterms:modified xsi:type="dcterms:W3CDTF">2023-08-10T11:32:29Z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898a471-9e43-4cb8-a790-ab6bd20b8192_Enabled">
    <vt:lpwstr>true</vt:lpwstr>
  </property>
  <property fmtid="{D5CDD505-2E9C-101B-9397-08002B2CF9AE}" pid="3" name="MSIP_Label_b898a471-9e43-4cb8-a790-ab6bd20b8192_SetDate">
    <vt:lpwstr>2022-10-19T20:23:57Z</vt:lpwstr>
  </property>
  <property fmtid="{D5CDD505-2E9C-101B-9397-08002B2CF9AE}" pid="4" name="MSIP_Label_b898a471-9e43-4cb8-a790-ab6bd20b8192_Method">
    <vt:lpwstr>Privileged</vt:lpwstr>
  </property>
  <property fmtid="{D5CDD505-2E9C-101B-9397-08002B2CF9AE}" pid="5" name="MSIP_Label_b898a471-9e43-4cb8-a790-ab6bd20b8192_Name">
    <vt:lpwstr>Interní</vt:lpwstr>
  </property>
  <property fmtid="{D5CDD505-2E9C-101B-9397-08002B2CF9AE}" pid="6" name="MSIP_Label_b898a471-9e43-4cb8-a790-ab6bd20b8192_SiteId">
    <vt:lpwstr>65afc824-f110-42ab-8a83-247c89d0eed8</vt:lpwstr>
  </property>
  <property fmtid="{D5CDD505-2E9C-101B-9397-08002B2CF9AE}" pid="7" name="MSIP_Label_b898a471-9e43-4cb8-a790-ab6bd20b8192_ActionId">
    <vt:lpwstr>ac5629a2-ec32-4394-bed1-dfd6a29eb39e</vt:lpwstr>
  </property>
  <property fmtid="{D5CDD505-2E9C-101B-9397-08002B2CF9AE}" pid="8" name="MSIP_Label_b898a471-9e43-4cb8-a790-ab6bd20b8192_ContentBits">
    <vt:lpwstr>1</vt:lpwstr>
  </property>
</Properties>
</file>