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<sst xmlns="http://schemas.openxmlformats.org/spreadsheetml/2006/main" count="1663" uniqueCount="485">
  <si>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</si>
  <si>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</si>
  <si>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</si>
  <si>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</si>
  <si>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</si>
  <si>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</si>
  <si>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</si>
  <si>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</si>
  <si>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</si>
  <si>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</si>
  <si>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</si>
  <si>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</si>
  <si>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</si>
  <si>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</si>
  <si>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</si>
  <si>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</si>
  <si>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</si>
  <si>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</si>
  <si>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</si>
  <si>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</si>
  <si>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</si>
  <si>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</si>
  <si>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</si>
  <si>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</si>
  <si>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</si>
  <si>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</si>
  <si>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</si>
  <si>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</si>
  <si>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</si>
  <si>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</si>
  <si>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</si>
  <si>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</si>
  <si>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</si>
  <si>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</si>
  <si>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</si>
  <si>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</si>
  <si>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</si>
  <si>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</si>
  <si>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</si>
  <si>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</si>
  <si>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</si>
  <si>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</si>
  <si>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</si>
  <si>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</si>
  <si>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</si>
  <si>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</si>
  <si>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</si>
  <si>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</si>
  <si>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</si>
  <si>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</si>
  <si>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</si>
  <si>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</si>
  <si>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</si>
  <si>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</si>
  <si>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</si>
  <si>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</si>
  <si>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</si>
  <si>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</si>
  <si>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</si>
  <si>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</si>
  <si>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</si>
  <si>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</si>
  <si>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</si>
  <si>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</si>
  <si>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</si>
  <si>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</si>
  <si>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</si>
  <si>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</si>
  <si>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</si>
  <si>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</si>
  <si>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</si>
  <si>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</si>
  <si>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</si>
  <si>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</si>
  <si>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</si>
  <si>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</si>
  <si>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</si>
  <si>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</si>
  <si>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</si>
  <si>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</si>
  <si>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</si>
  <si>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</si>
  <si>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</si>
  <si>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</si>
  <si>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</si>
  <si>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</si>
  <si>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</si>
  <si>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</si>
  <si>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</si>
  <si>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</si>
  <si>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</si>
  <si>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</si>
  <si>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</si>
  <si>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</si>
  <si>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</si>
  <si>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</si>
  <si>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</si>
  <si>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</si>
  <si>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</si>
  <si>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Poznámka:</t>
  </si>
  <si>
    <t>Objekt</t>
  </si>
  <si>
    <t>Kód</t>
  </si>
  <si>
    <t>317121101R00</t>
  </si>
  <si>
    <t>317121102R00</t>
  </si>
  <si>
    <t>310237251RT1</t>
  </si>
  <si>
    <t>342270012RA0</t>
  </si>
  <si>
    <t>342270010RA0</t>
  </si>
  <si>
    <t>342256256R00</t>
  </si>
  <si>
    <t>342256255R00</t>
  </si>
  <si>
    <t>416026222R00</t>
  </si>
  <si>
    <t>416093111R00</t>
  </si>
  <si>
    <t>612481211RT2</t>
  </si>
  <si>
    <t>612473182R00</t>
  </si>
  <si>
    <t>612401291R00</t>
  </si>
  <si>
    <t>612401191R00</t>
  </si>
  <si>
    <t>632411906R00</t>
  </si>
  <si>
    <t>721</t>
  </si>
  <si>
    <t>721152205R00</t>
  </si>
  <si>
    <t>721152208R00</t>
  </si>
  <si>
    <t>721170909R00</t>
  </si>
  <si>
    <t>721170915R00</t>
  </si>
  <si>
    <t>721170955R00</t>
  </si>
  <si>
    <t>721171239R00</t>
  </si>
  <si>
    <t>721171809R00</t>
  </si>
  <si>
    <t>721171803R00</t>
  </si>
  <si>
    <t>722</t>
  </si>
  <si>
    <t>722171211R00</t>
  </si>
  <si>
    <t>722171912R00</t>
  </si>
  <si>
    <t>722172351R00</t>
  </si>
  <si>
    <t>722172912R00</t>
  </si>
  <si>
    <t>722172962R00</t>
  </si>
  <si>
    <t>722181211RT5</t>
  </si>
  <si>
    <t>722202213R00</t>
  </si>
  <si>
    <t>722202412R00</t>
  </si>
  <si>
    <t>722290234R00</t>
  </si>
  <si>
    <t>722170801R00</t>
  </si>
  <si>
    <t>725</t>
  </si>
  <si>
    <t>725110811R00</t>
  </si>
  <si>
    <t>725114959R00</t>
  </si>
  <si>
    <t>725119110R00</t>
  </si>
  <si>
    <t>725119306R00</t>
  </si>
  <si>
    <t>725119401R00</t>
  </si>
  <si>
    <t>725210821R00</t>
  </si>
  <si>
    <t>725219201R00</t>
  </si>
  <si>
    <t>725111621R00</t>
  </si>
  <si>
    <t>726</t>
  </si>
  <si>
    <t>726211121R00</t>
  </si>
  <si>
    <t>766</t>
  </si>
  <si>
    <t>766661122R00</t>
  </si>
  <si>
    <t>766661422R00</t>
  </si>
  <si>
    <t>766662811R00</t>
  </si>
  <si>
    <t>766664213R00</t>
  </si>
  <si>
    <t>771</t>
  </si>
  <si>
    <t>771575105RU7</t>
  </si>
  <si>
    <t>775</t>
  </si>
  <si>
    <t>775981101R00</t>
  </si>
  <si>
    <t>776</t>
  </si>
  <si>
    <t>776510010RA0</t>
  </si>
  <si>
    <t>776520110RAG</t>
  </si>
  <si>
    <t>781</t>
  </si>
  <si>
    <t>781280110R00</t>
  </si>
  <si>
    <t>784</t>
  </si>
  <si>
    <t>784111201R00</t>
  </si>
  <si>
    <t>784125422R00</t>
  </si>
  <si>
    <t>784195412R00</t>
  </si>
  <si>
    <t>95</t>
  </si>
  <si>
    <t>952901111R00</t>
  </si>
  <si>
    <t>952902110R00</t>
  </si>
  <si>
    <t>953761133R00</t>
  </si>
  <si>
    <t>96</t>
  </si>
  <si>
    <t>968071125R00</t>
  </si>
  <si>
    <t>968072455R00</t>
  </si>
  <si>
    <t>962036125R00</t>
  </si>
  <si>
    <t>967041112R00</t>
  </si>
  <si>
    <t>962086111R00</t>
  </si>
  <si>
    <t>97</t>
  </si>
  <si>
    <t>971042351R00</t>
  </si>
  <si>
    <t>H01</t>
  </si>
  <si>
    <t>998012023R00</t>
  </si>
  <si>
    <t>M21</t>
  </si>
  <si>
    <t>210290033R00</t>
  </si>
  <si>
    <t>210290032R00</t>
  </si>
  <si>
    <t>M22</t>
  </si>
  <si>
    <t>220260000R00</t>
  </si>
  <si>
    <t>S</t>
  </si>
  <si>
    <t>979011111R00</t>
  </si>
  <si>
    <t>979011121R00</t>
  </si>
  <si>
    <t>979081111R00</t>
  </si>
  <si>
    <t>979081121R00</t>
  </si>
  <si>
    <t>979082111R00</t>
  </si>
  <si>
    <t>979088212R00</t>
  </si>
  <si>
    <t>979990107R00</t>
  </si>
  <si>
    <t>979990181R00</t>
  </si>
  <si>
    <t>642328603</t>
  </si>
  <si>
    <t>55345504</t>
  </si>
  <si>
    <t>19451230</t>
  </si>
  <si>
    <t>61161902</t>
  </si>
  <si>
    <t>61181507</t>
  </si>
  <si>
    <t>61181560</t>
  </si>
  <si>
    <t>59321898</t>
  </si>
  <si>
    <t>59321902</t>
  </si>
  <si>
    <t>5537019611</t>
  </si>
  <si>
    <t>55144235</t>
  </si>
  <si>
    <t>55145016</t>
  </si>
  <si>
    <t>64213620</t>
  </si>
  <si>
    <t>34751240</t>
  </si>
  <si>
    <t>34814141</t>
  </si>
  <si>
    <t>34823282.01</t>
  </si>
  <si>
    <t>34551612</t>
  </si>
  <si>
    <t>34535441</t>
  </si>
  <si>
    <t>34536496</t>
  </si>
  <si>
    <t>34536514</t>
  </si>
  <si>
    <t>Objekt DS 2 - 4. N.p. - klubovna</t>
  </si>
  <si>
    <t>Domov Sedlčany, poskytovatel sociálních služeb</t>
  </si>
  <si>
    <t>Zkrácený popis</t>
  </si>
  <si>
    <t>Rozměry</t>
  </si>
  <si>
    <t>Zdi podpěrné a volné</t>
  </si>
  <si>
    <t>Osazení překladu světlost otvoru do 105 cm</t>
  </si>
  <si>
    <t>Osazení překladu světlost otvoru do 180 cm</t>
  </si>
  <si>
    <t>Zazdívka otvorů pl. 0,25 m2 cihlami, tl. zdi 45 cm - odvětrání</t>
  </si>
  <si>
    <t>Stěny a příčky</t>
  </si>
  <si>
    <t>Příčka z tvárnic pórobetonových, tloušťka 10 cm</t>
  </si>
  <si>
    <t>Příčka z tvárnic pórobetonových, tloušťka 7,5 cm</t>
  </si>
  <si>
    <t>Zazdívka  modul  z tvárnic pórobetonových  tl. 200 mm</t>
  </si>
  <si>
    <t>Příčka z tvárnic pórobetonových tl. 150 mm</t>
  </si>
  <si>
    <t>Stropy a stropní konstrukce (pro pozemní stavby)</t>
  </si>
  <si>
    <t>Podhled SDK,ocel.dvouúrov.kříž.rošt, 2x RF 12,5 mm - kaslík</t>
  </si>
  <si>
    <t>Čelo podhledu SDK, v.do 200 mm, 1xCD, 1xRB 12,5 mm - kaslík</t>
  </si>
  <si>
    <t>Úprava povrchů vnitřní</t>
  </si>
  <si>
    <t>Montáž výztužné sítě(perlinky)do stěrky-vnit.stěny</t>
  </si>
  <si>
    <t>Omítka vnitř.zdiva ze such.směsi, štuková, strojně</t>
  </si>
  <si>
    <t>Omítka malých ploch vnitřních stěn do 0,25 m2</t>
  </si>
  <si>
    <t>Omítka malých ploch vnitřních stěn do 0,09 m2</t>
  </si>
  <si>
    <t>Podlahy a podlahové konstrukce</t>
  </si>
  <si>
    <t>Penetrace velmi savých podkladů Cemix 0,35 l/m2</t>
  </si>
  <si>
    <t>Vnitřní kanalizace</t>
  </si>
  <si>
    <t>Potrubí  PE odpadní - připojovací, D 50 x 3,0 mm</t>
  </si>
  <si>
    <t>Potrubí  PE odpadní - připojovací, D 110 x 4,3 mm</t>
  </si>
  <si>
    <t>Oprava potrubí PVC odpadní, vsazení odbočky D 110</t>
  </si>
  <si>
    <t>Oprava potrubí PVC odpadní, ohyb potrubí D 50</t>
  </si>
  <si>
    <t>Oprava-vsazení odbočky, potrubí PVC hrdlové D 110</t>
  </si>
  <si>
    <t>Tvarovka k připojení závěsného WC HL227, D 90/110</t>
  </si>
  <si>
    <t>Demontáž potrubí z PVC do D 160 mm</t>
  </si>
  <si>
    <t>Demontáž potrubí z PVC do D 75 mm</t>
  </si>
  <si>
    <t>Vnitřní vodovod</t>
  </si>
  <si>
    <t>Potrubí z PEHD, D 20 x 2,0 mm</t>
  </si>
  <si>
    <t>Odříznutí plastové trubky D 20 mm</t>
  </si>
  <si>
    <t>Křížení potrubí z PPR, D 20 x 3,4 mm, PN 20</t>
  </si>
  <si>
    <t>Propojení plastového potrubí polyf.D 20 mm,vodovod</t>
  </si>
  <si>
    <t>Vsaz.odboč.do plast.potrubí polyf.D 20 mm, vodovod</t>
  </si>
  <si>
    <t>Izolace návleková tl. stěny 6 mm</t>
  </si>
  <si>
    <t>Nástěnka MZD PP  D 20xR1/2</t>
  </si>
  <si>
    <t>Kohout kulový nerozebíratelný PP-R D 20</t>
  </si>
  <si>
    <t>Proplach a dezinfekce vodovod.potrubí</t>
  </si>
  <si>
    <t>Demontáž rozvodů vody z plastů do D 32</t>
  </si>
  <si>
    <t>Zařizovací předměty</t>
  </si>
  <si>
    <t>Demontáž klozetů splachovacích</t>
  </si>
  <si>
    <t>Sedátko  bílé</t>
  </si>
  <si>
    <t>Montáž splachovací nádrže Kombifix pro WC</t>
  </si>
  <si>
    <t>Montáž klozetu závěsného</t>
  </si>
  <si>
    <t>Montáž předstěnových systémů pro zazdění</t>
  </si>
  <si>
    <t>Demontáž umyvadel bez výtokových armatur</t>
  </si>
  <si>
    <t>Montáž umyvadel na konzoly</t>
  </si>
  <si>
    <t>Souprava madel pro WC pro postižené vč. montáže - vl. položka</t>
  </si>
  <si>
    <t>Instalační prefabrikáty</t>
  </si>
  <si>
    <t>Modul pro WC Kombifix, UP320, h 108 cm</t>
  </si>
  <si>
    <t>Konstrukce truhlářské</t>
  </si>
  <si>
    <t>Montáž dveří do zárubně,otevíravých 1kř.nad 0,8 m</t>
  </si>
  <si>
    <t>Montáž dveří protipožárních 1kříd. nad 80 cm</t>
  </si>
  <si>
    <t>Demontáž prahů dveří 1křídlových</t>
  </si>
  <si>
    <t>Montáž obložkové zárubně</t>
  </si>
  <si>
    <t>Podlahy z dlaždic</t>
  </si>
  <si>
    <t>Montáž podlah keram.,režné hladké, tmel, 15x15 cm vč. dodávky</t>
  </si>
  <si>
    <t>Podlahy vlysové a parketové</t>
  </si>
  <si>
    <t>Montáž přechodové, podlahové lišty do tmele</t>
  </si>
  <si>
    <t>Podlahy povlakové</t>
  </si>
  <si>
    <t>Demontáž povlakových podlah z nášlapné plochy</t>
  </si>
  <si>
    <t>Podlaha povlaková z PVC pásů, soklík, stěrka</t>
  </si>
  <si>
    <t>Obklady (keramické)</t>
  </si>
  <si>
    <t>Obkládání stěn  keramický obklad včetně dodávky</t>
  </si>
  <si>
    <t>Malby</t>
  </si>
  <si>
    <t>Penetrace podkladu nátěrem V1308  1 x</t>
  </si>
  <si>
    <t>Malba  bar., bez penetr.2x</t>
  </si>
  <si>
    <t>Oprava malby , bílá, bez penetrace, 2 x - chodba</t>
  </si>
  <si>
    <t>Různé dokončovací konstrukce a práce na pozemních stavbách</t>
  </si>
  <si>
    <t>Vyčištění budov o výšce podlaží do 4 m</t>
  </si>
  <si>
    <t>Čištění zametáním v místnostech a chodbách denně</t>
  </si>
  <si>
    <t>Odvětrání troubami PVC kruhovými 160x3,2 mm</t>
  </si>
  <si>
    <t>Bourání konstrukcí</t>
  </si>
  <si>
    <t>Vyvěšení, zavěšení  křídel dveří pl. 2 m2</t>
  </si>
  <si>
    <t>Vybourání kovových dveřních zárubní pl. do 2 m2</t>
  </si>
  <si>
    <t>DMTZ  příčky dřevěné, 2x opláštěné 12,5 mm</t>
  </si>
  <si>
    <t>Přisekání rovných ostění bez odstupu v betonu</t>
  </si>
  <si>
    <t>Bourání příček z plynosilik. a pórobetonu tl.15 cm</t>
  </si>
  <si>
    <t>Prorážení otvorů a ostatní bourací práce</t>
  </si>
  <si>
    <t>Vybourání otvorů zdi betonové pl. 0,09 m2, tl.45cm - odvětrání</t>
  </si>
  <si>
    <t>Budovy občanské výstavby</t>
  </si>
  <si>
    <t>Přesun hmot pro budovy monolitické výšky do 24 m</t>
  </si>
  <si>
    <t>Elektromontáže</t>
  </si>
  <si>
    <t>Demontáž rozvodů elektro - vlastní položka</t>
  </si>
  <si>
    <t>Rozvody elektro - montáže, vlastní polložka</t>
  </si>
  <si>
    <t>Montáže sdělovací a zabezpečovací techniky</t>
  </si>
  <si>
    <t>Demontáž a montáž slaboproudu, vlastní položka</t>
  </si>
  <si>
    <t>Přesuny sutí</t>
  </si>
  <si>
    <t>Svislá doprava suti a vybour. hmot za 2.NP a 1.PP</t>
  </si>
  <si>
    <t>Příplatek za každé další podlaží</t>
  </si>
  <si>
    <t>Odvoz suti a vybour. hmot na skládku do 1 km</t>
  </si>
  <si>
    <t>Příplatek k odvozu za každý další 1 km - 10 km</t>
  </si>
  <si>
    <t>Vnitrostaveništní doprava suti do 10 m</t>
  </si>
  <si>
    <t>Nakládání suti na dopr.prostředky-zvlášt.zakl.obj.</t>
  </si>
  <si>
    <t>Poplatek za uložení suti - směs betonu,cihel,dřeva, skupina odpadu 170904</t>
  </si>
  <si>
    <t>Poplatek za uložení suti - PVC podlahová krytina, skupina odpadu 200307</t>
  </si>
  <si>
    <t>Ostatní materiál</t>
  </si>
  <si>
    <t>Klozet kombi. vodor. odpad, spodní napouštění</t>
  </si>
  <si>
    <t>Dveře požární 1kříd.-30 min EI 30 DP1 110x197 cm vč. kování</t>
  </si>
  <si>
    <t>Kování Al.  dveře vnitřní</t>
  </si>
  <si>
    <t>Dveře vnitřní hladké plné 1kř. 90x197 dýha</t>
  </si>
  <si>
    <t>Zárubeň obložková NORMAL š. 90 cm/stě.  6-17 cm</t>
  </si>
  <si>
    <t>Zárubeň obložková NORMAL š. 110 cm/stě. 6-17 cm</t>
  </si>
  <si>
    <t>Překlad nenosný   100-1250</t>
  </si>
  <si>
    <t>Překlad nenosný  100-2500</t>
  </si>
  <si>
    <t>Lišta přechodová narážecí Al 26/ST l=270 cm stříbr ( 1 x 110 cm dveře )+ 1 x 90 cm dveře )</t>
  </si>
  <si>
    <t>Baterie umyvadlová</t>
  </si>
  <si>
    <t>Baterie dřezová nástěnná</t>
  </si>
  <si>
    <t>Umyvadlo  65x48,5 cm otvor pro baterii</t>
  </si>
  <si>
    <t>Zářivka lineární 18W/76</t>
  </si>
  <si>
    <t>Svítidlo stropní zářivk. , 2x18 W</t>
  </si>
  <si>
    <t>Svítidlo stropní zářivkové +18 W+startér</t>
  </si>
  <si>
    <t>Zásuvka celoplošná</t>
  </si>
  <si>
    <t>Strojek spínače 2pólového</t>
  </si>
  <si>
    <t>Kryt spínače</t>
  </si>
  <si>
    <t>Kryt zásuvky</t>
  </si>
  <si>
    <t>Doba výstavby:</t>
  </si>
  <si>
    <t>Začátek výstavby:</t>
  </si>
  <si>
    <t>Konec výstavby:</t>
  </si>
  <si>
    <t>Zpracováno dne:</t>
  </si>
  <si>
    <t>MJ</t>
  </si>
  <si>
    <t>kus</t>
  </si>
  <si>
    <t>m2</t>
  </si>
  <si>
    <t>m</t>
  </si>
  <si>
    <t>soubor</t>
  </si>
  <si>
    <t>t</t>
  </si>
  <si>
    <t>ks</t>
  </si>
  <si>
    <t>Množství</t>
  </si>
  <si>
    <t>137 dní</t>
  </si>
  <si>
    <t>15.11.2021</t>
  </si>
  <si>
    <t>31.03.2022</t>
  </si>
  <si>
    <t>31.10.2021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</si>
  <si>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</si>
  <si>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</si>
  <si>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</si>
  <si>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</si>
  <si>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</si>
  <si>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</si>
  <si>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</si>
  <si>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</si>
  <si>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</si>
  <si>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</si>
  <si>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Mgr. Josef Šimonvský</t>
  </si>
  <si>
    <t>Montáž</t>
  </si>
  <si>
    <t>Celkem</t>
  </si>
  <si>
    <t>Hmotnost (t)</t>
  </si>
  <si>
    <t>Jednot.</t>
  </si>
  <si>
    <t>Cenová</t>
  </si>
  <si>
    <t>soustava</t>
  </si>
  <si>
    <t>RTS II / 2021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</si>
  <si>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</si>
  <si>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</si>
  <si>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</si>
  <si>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</si>
  <si>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</si>
  <si>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</si>
  <si>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</si>
  <si>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</si>
  <si>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</si>
  <si>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</si>
  <si>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</si>
  <si>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</si>
  <si>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</si>
  <si>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41_</t>
  </si>
  <si>
    <t>61_</t>
  </si>
  <si>
    <t>63_</t>
  </si>
  <si>
    <t>721_</t>
  </si>
  <si>
    <t>722_</t>
  </si>
  <si>
    <t>725_</t>
  </si>
  <si>
    <t>726_</t>
  </si>
  <si>
    <t>766_</t>
  </si>
  <si>
    <t>771_</t>
  </si>
  <si>
    <t>775_</t>
  </si>
  <si>
    <t>776_</t>
  </si>
  <si>
    <t>781_</t>
  </si>
  <si>
    <t>784_</t>
  </si>
  <si>
    <t>95_</t>
  </si>
  <si>
    <t>96_</t>
  </si>
  <si>
    <t>97_</t>
  </si>
  <si>
    <t>H01_</t>
  </si>
  <si>
    <t>M21_</t>
  </si>
  <si>
    <t>M22_</t>
  </si>
  <si>
    <t>S_</t>
  </si>
  <si>
    <t>Z99999_</t>
  </si>
  <si>
    <t>3_</t>
  </si>
  <si>
    <t>4_</t>
  </si>
  <si>
    <t>6_</t>
  </si>
  <si>
    <t>72_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</si>
  <si>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</si>
  <si>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</si>
  <si>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</si>
  <si>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</si>
  <si>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</si>
  <si>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</si>
  <si>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</si>
  <si>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</si>
  <si>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</si>
  <si>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</si>
  <si>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</si>
  <si>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</si>
  <si>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</si>
  <si>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</si>
  <si>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</si>
  <si>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</si>
  <si>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</si>
  <si>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</si>
  <si>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</si>
  <si>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</si>
  <si>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</si>
  <si>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</si>
  <si>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</si>
  <si>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</si>
  <si>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</si>
  <si>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</si>
  <si>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</si>
  <si>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</si>
  <si>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</si>
  <si>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</si>
  <si>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</si>
  <si>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</si>
  <si>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</si>
  <si>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</si>
  <si>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</si>
  <si>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</si>
  <si>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</si>
  <si>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</si>
  <si>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</si>
  <si>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</si>
  <si>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</si>
  <si>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</si>
  <si>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</si>
  <si>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</si>
  <si>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</si>
  <si>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</si>
  <si>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</si>
  <si>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</si>
  <si>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</si>
  <si>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</si>
  <si>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</si>
  <si>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</si>
  <si>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</si>
  <si>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</si>
  <si>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</si>
  <si>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</si>
  <si>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</si>
  <si>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</si>
  <si>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</si>
  <si>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</si>
  <si>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</si>
  <si>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</si>
  <si>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</si>
  <si>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</si>
  <si>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</si>
  <si>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</si>
  <si>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</si>
  <si>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</si>
  <si>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</si>
  <si>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</si>
  <si>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</si>
  <si>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</si>
  <si>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</si>
  <si>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</si>
  <si>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</si>
  <si>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</si>
  <si>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</si>
  <si>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</si>
  <si>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</si>
  <si>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SESTEREN A KLUBOVEN</t>
  </si>
  <si>
    <t>Stavební rozpočet - 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</si>
</sst>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8" fillId="33" borderId="40" xfId="0" applyNumberFormat="1" applyFont="1" applyFill="1" applyBorder="1" applyAlignment="1" applyProtection="1">
      <alignment horizontal="right" vertical="center"/>
      <protection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41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8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6" fillId="0" borderId="42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4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43" xfId="0" applyNumberFormat="1" applyFont="1" applyFill="1" applyBorder="1" applyAlignment="1" applyProtection="1">
      <alignment horizontal="right" vertical="center"/>
      <protection/>
    </xf>
    <xf numFmtId="49" fontId="12" fillId="0" borderId="43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4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13" fillId="0" borderId="63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63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34" borderId="63" xfId="0" applyNumberFormat="1" applyFont="1" applyFill="1" applyBorder="1" applyAlignment="1" applyProtection="1">
      <alignment horizontal="left" vertical="center"/>
      <protection/>
    </xf>
    <xf numFmtId="0" fontId="11" fillId="34" borderId="62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6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0"/>
  <sheetViews>
    <sheetView zoomScalePageLayoutView="0" workbookViewId="0" topLeftCell="A1">
      <pane ySplit="11" topLeftCell="A97" activePane="bottomLeft" state="frozen"/>
      <selection pane="topLeft" activeCell="A1" sqref="A1"/>
      <selection pane="bottomLeft" activeCell="H128" sqref="H12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74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09" t="s">
        <v>484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12.75">
      <c r="A2" s="111" t="s">
        <v>0</v>
      </c>
      <c r="B2" s="112"/>
      <c r="C2" s="112"/>
      <c r="D2" s="115" t="s">
        <v>483</v>
      </c>
      <c r="E2" s="116"/>
      <c r="F2" s="118" t="s">
        <v>332</v>
      </c>
      <c r="G2" s="112"/>
      <c r="H2" s="118" t="s">
        <v>344</v>
      </c>
      <c r="I2" s="119" t="s">
        <v>350</v>
      </c>
      <c r="J2" s="118" t="s">
        <v>357</v>
      </c>
      <c r="K2" s="112"/>
      <c r="L2" s="112"/>
      <c r="M2" s="112"/>
      <c r="N2" s="120"/>
      <c r="O2" s="39"/>
    </row>
    <row r="3" spans="1:15" ht="12.75">
      <c r="A3" s="113"/>
      <c r="B3" s="114"/>
      <c r="C3" s="114"/>
      <c r="D3" s="117"/>
      <c r="E3" s="117"/>
      <c r="F3" s="114"/>
      <c r="G3" s="114"/>
      <c r="H3" s="114"/>
      <c r="I3" s="114"/>
      <c r="J3" s="114"/>
      <c r="K3" s="114"/>
      <c r="L3" s="114"/>
      <c r="M3" s="114"/>
      <c r="N3" s="121"/>
      <c r="O3" s="39"/>
    </row>
    <row r="4" spans="1:15" ht="12.75">
      <c r="A4" s="122" t="s">
        <v>1</v>
      </c>
      <c r="B4" s="114"/>
      <c r="C4" s="114"/>
      <c r="D4" s="123" t="s">
        <v>212</v>
      </c>
      <c r="E4" s="114"/>
      <c r="F4" s="124" t="s">
        <v>333</v>
      </c>
      <c r="G4" s="114"/>
      <c r="H4" s="124" t="s">
        <v>345</v>
      </c>
      <c r="I4" s="123" t="s">
        <v>351</v>
      </c>
      <c r="J4" s="124" t="s">
        <v>357</v>
      </c>
      <c r="K4" s="114"/>
      <c r="L4" s="114"/>
      <c r="M4" s="114"/>
      <c r="N4" s="121"/>
      <c r="O4" s="39"/>
    </row>
    <row r="5" spans="1:15" ht="12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1"/>
      <c r="O5" s="39"/>
    </row>
    <row r="6" spans="1:15" ht="12.75">
      <c r="A6" s="122" t="s">
        <v>2</v>
      </c>
      <c r="B6" s="114"/>
      <c r="C6" s="114"/>
      <c r="D6" s="123" t="s">
        <v>213</v>
      </c>
      <c r="E6" s="114"/>
      <c r="F6" s="124" t="s">
        <v>334</v>
      </c>
      <c r="G6" s="114"/>
      <c r="H6" s="124" t="s">
        <v>346</v>
      </c>
      <c r="I6" s="123" t="s">
        <v>352</v>
      </c>
      <c r="J6" s="124" t="s">
        <v>357</v>
      </c>
      <c r="K6" s="114"/>
      <c r="L6" s="114"/>
      <c r="M6" s="114"/>
      <c r="N6" s="121"/>
      <c r="O6" s="39"/>
    </row>
    <row r="7" spans="1:15" ht="12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21"/>
      <c r="O7" s="39"/>
    </row>
    <row r="8" spans="1:15" ht="12.75">
      <c r="A8" s="122" t="s">
        <v>3</v>
      </c>
      <c r="B8" s="114"/>
      <c r="C8" s="114"/>
      <c r="D8" s="123">
        <v>8012122</v>
      </c>
      <c r="E8" s="114"/>
      <c r="F8" s="124" t="s">
        <v>335</v>
      </c>
      <c r="G8" s="114"/>
      <c r="H8" s="124" t="s">
        <v>347</v>
      </c>
      <c r="I8" s="123" t="s">
        <v>353</v>
      </c>
      <c r="J8" s="123" t="s">
        <v>358</v>
      </c>
      <c r="K8" s="114"/>
      <c r="L8" s="114"/>
      <c r="M8" s="114"/>
      <c r="N8" s="121"/>
      <c r="O8" s="39"/>
    </row>
    <row r="9" spans="1:15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39"/>
    </row>
    <row r="10" spans="1:64" ht="12.75">
      <c r="A10" s="1" t="s">
        <v>4</v>
      </c>
      <c r="B10" s="10" t="s">
        <v>100</v>
      </c>
      <c r="C10" s="10" t="s">
        <v>101</v>
      </c>
      <c r="D10" s="128" t="s">
        <v>214</v>
      </c>
      <c r="E10" s="129"/>
      <c r="F10" s="10" t="s">
        <v>336</v>
      </c>
      <c r="G10" s="20" t="s">
        <v>343</v>
      </c>
      <c r="H10" s="24" t="s">
        <v>348</v>
      </c>
      <c r="I10" s="130" t="s">
        <v>354</v>
      </c>
      <c r="J10" s="131"/>
      <c r="K10" s="132"/>
      <c r="L10" s="130" t="s">
        <v>361</v>
      </c>
      <c r="M10" s="132"/>
      <c r="N10" s="32" t="s">
        <v>363</v>
      </c>
      <c r="O10" s="40"/>
      <c r="BK10" s="31" t="s">
        <v>413</v>
      </c>
      <c r="BL10" s="45" t="s">
        <v>416</v>
      </c>
    </row>
    <row r="11" spans="1:62" ht="12.75">
      <c r="A11" s="2" t="s">
        <v>5</v>
      </c>
      <c r="B11" s="11" t="s">
        <v>5</v>
      </c>
      <c r="C11" s="11" t="s">
        <v>5</v>
      </c>
      <c r="D11" s="133" t="s">
        <v>215</v>
      </c>
      <c r="E11" s="134"/>
      <c r="F11" s="11" t="s">
        <v>5</v>
      </c>
      <c r="G11" s="11" t="s">
        <v>5</v>
      </c>
      <c r="H11" s="25" t="s">
        <v>349</v>
      </c>
      <c r="I11" s="26" t="s">
        <v>355</v>
      </c>
      <c r="J11" s="28" t="s">
        <v>359</v>
      </c>
      <c r="K11" s="29" t="s">
        <v>360</v>
      </c>
      <c r="L11" s="26" t="s">
        <v>362</v>
      </c>
      <c r="M11" s="29" t="s">
        <v>360</v>
      </c>
      <c r="N11" s="33" t="s">
        <v>364</v>
      </c>
      <c r="O11" s="40"/>
      <c r="Z11" s="31" t="s">
        <v>367</v>
      </c>
      <c r="AA11" s="31" t="s">
        <v>368</v>
      </c>
      <c r="AB11" s="31" t="s">
        <v>369</v>
      </c>
      <c r="AC11" s="31" t="s">
        <v>370</v>
      </c>
      <c r="AD11" s="31" t="s">
        <v>371</v>
      </c>
      <c r="AE11" s="31" t="s">
        <v>372</v>
      </c>
      <c r="AF11" s="31" t="s">
        <v>373</v>
      </c>
      <c r="AG11" s="31" t="s">
        <v>374</v>
      </c>
      <c r="AH11" s="31" t="s">
        <v>375</v>
      </c>
      <c r="BH11" s="31" t="s">
        <v>410</v>
      </c>
      <c r="BI11" s="31" t="s">
        <v>411</v>
      </c>
      <c r="BJ11" s="31" t="s">
        <v>412</v>
      </c>
    </row>
    <row r="12" spans="1:47" ht="12.75">
      <c r="A12" s="3"/>
      <c r="B12" s="12"/>
      <c r="C12" s="12" t="s">
        <v>36</v>
      </c>
      <c r="D12" s="135" t="s">
        <v>216</v>
      </c>
      <c r="E12" s="136"/>
      <c r="F12" s="18" t="s">
        <v>5</v>
      </c>
      <c r="G12" s="18" t="s">
        <v>5</v>
      </c>
      <c r="H12" s="18" t="s">
        <v>5</v>
      </c>
      <c r="I12" s="46">
        <f>SUM(I13:I15)</f>
        <v>0</v>
      </c>
      <c r="J12" s="46">
        <f>SUM(J13:J15)</f>
        <v>0</v>
      </c>
      <c r="K12" s="46">
        <f>SUM(K13:K15)</f>
        <v>0</v>
      </c>
      <c r="L12" s="30"/>
      <c r="M12" s="46">
        <f>SUM(M13:M15)</f>
        <v>0.18466000000000002</v>
      </c>
      <c r="N12" s="34"/>
      <c r="O12" s="39"/>
      <c r="AI12" s="31"/>
      <c r="AS12" s="47">
        <f>SUM(AJ13:AJ15)</f>
        <v>0</v>
      </c>
      <c r="AT12" s="47">
        <f>SUM(AK13:AK15)</f>
        <v>0</v>
      </c>
      <c r="AU12" s="47">
        <f>SUM(AL13:AL15)</f>
        <v>0</v>
      </c>
    </row>
    <row r="13" spans="1:64" ht="12.75">
      <c r="A13" s="4" t="s">
        <v>6</v>
      </c>
      <c r="B13" s="13"/>
      <c r="C13" s="13" t="s">
        <v>102</v>
      </c>
      <c r="D13" s="137" t="s">
        <v>217</v>
      </c>
      <c r="E13" s="138"/>
      <c r="F13" s="13" t="s">
        <v>337</v>
      </c>
      <c r="G13" s="21">
        <v>1</v>
      </c>
      <c r="H13" s="21">
        <v>0</v>
      </c>
      <c r="I13" s="21">
        <f>G13*AO13</f>
        <v>0</v>
      </c>
      <c r="J13" s="21">
        <f>G13*AP13</f>
        <v>0</v>
      </c>
      <c r="K13" s="21">
        <f>G13*H13</f>
        <v>0</v>
      </c>
      <c r="L13" s="21">
        <v>0.00713</v>
      </c>
      <c r="M13" s="21">
        <f>G13*L13</f>
        <v>0.00713</v>
      </c>
      <c r="N13" s="35" t="s">
        <v>365</v>
      </c>
      <c r="O13" s="39"/>
      <c r="Z13" s="41">
        <f>IF(AQ13="5",BJ13,0)</f>
        <v>0</v>
      </c>
      <c r="AB13" s="41">
        <f>IF(AQ13="1",BH13,0)</f>
        <v>0</v>
      </c>
      <c r="AC13" s="41">
        <f>IF(AQ13="1",BI13,0)</f>
        <v>0</v>
      </c>
      <c r="AD13" s="41">
        <f>IF(AQ13="7",BH13,0)</f>
        <v>0</v>
      </c>
      <c r="AE13" s="41">
        <f>IF(AQ13="7",BI13,0)</f>
        <v>0</v>
      </c>
      <c r="AF13" s="41">
        <f>IF(AQ13="2",BH13,0)</f>
        <v>0</v>
      </c>
      <c r="AG13" s="41">
        <f>IF(AQ13="2",BI13,0)</f>
        <v>0</v>
      </c>
      <c r="AH13" s="41">
        <f>IF(AQ13="0",BJ13,0)</f>
        <v>0</v>
      </c>
      <c r="AI13" s="31"/>
      <c r="AJ13" s="21">
        <f>IF(AN13=0,K13,0)</f>
        <v>0</v>
      </c>
      <c r="AK13" s="21">
        <f>IF(AN13=15,K13,0)</f>
        <v>0</v>
      </c>
      <c r="AL13" s="21">
        <f>IF(AN13=21,K13,0)</f>
        <v>0</v>
      </c>
      <c r="AN13" s="41">
        <v>15</v>
      </c>
      <c r="AO13" s="41">
        <f>H13*0.0544228962926128</f>
        <v>0</v>
      </c>
      <c r="AP13" s="41">
        <f>H13*(1-0.0544228962926128)</f>
        <v>0</v>
      </c>
      <c r="AQ13" s="42" t="s">
        <v>6</v>
      </c>
      <c r="AV13" s="41">
        <f>AW13+AX13</f>
        <v>0</v>
      </c>
      <c r="AW13" s="41">
        <f>G13*AO13</f>
        <v>0</v>
      </c>
      <c r="AX13" s="41">
        <f>G13*AP13</f>
        <v>0</v>
      </c>
      <c r="AY13" s="44" t="s">
        <v>377</v>
      </c>
      <c r="AZ13" s="44" t="s">
        <v>400</v>
      </c>
      <c r="BA13" s="31" t="s">
        <v>409</v>
      </c>
      <c r="BC13" s="41">
        <f>AW13+AX13</f>
        <v>0</v>
      </c>
      <c r="BD13" s="41">
        <f>H13/(100-BE13)*100</f>
        <v>0</v>
      </c>
      <c r="BE13" s="41">
        <v>0</v>
      </c>
      <c r="BF13" s="41">
        <f>M13</f>
        <v>0.00713</v>
      </c>
      <c r="BH13" s="21">
        <f>G13*AO13</f>
        <v>0</v>
      </c>
      <c r="BI13" s="21">
        <f>G13*AP13</f>
        <v>0</v>
      </c>
      <c r="BJ13" s="21">
        <f>G13*H13</f>
        <v>0</v>
      </c>
      <c r="BK13" s="21" t="s">
        <v>414</v>
      </c>
      <c r="BL13" s="41">
        <v>31</v>
      </c>
    </row>
    <row r="14" spans="1:64" ht="12.75">
      <c r="A14" s="4" t="s">
        <v>7</v>
      </c>
      <c r="B14" s="13"/>
      <c r="C14" s="13" t="s">
        <v>103</v>
      </c>
      <c r="D14" s="137" t="s">
        <v>218</v>
      </c>
      <c r="E14" s="138"/>
      <c r="F14" s="13" t="s">
        <v>337</v>
      </c>
      <c r="G14" s="21">
        <v>1</v>
      </c>
      <c r="H14" s="21">
        <v>0</v>
      </c>
      <c r="I14" s="21">
        <f>G14*AO14</f>
        <v>0</v>
      </c>
      <c r="J14" s="21">
        <f>G14*AP14</f>
        <v>0</v>
      </c>
      <c r="K14" s="21">
        <f>G14*H14</f>
        <v>0</v>
      </c>
      <c r="L14" s="21">
        <v>0.0095</v>
      </c>
      <c r="M14" s="21">
        <f>G14*L14</f>
        <v>0.0095</v>
      </c>
      <c r="N14" s="35" t="s">
        <v>365</v>
      </c>
      <c r="O14" s="39"/>
      <c r="Z14" s="41">
        <f>IF(AQ14="5",BJ14,0)</f>
        <v>0</v>
      </c>
      <c r="AB14" s="41">
        <f>IF(AQ14="1",BH14,0)</f>
        <v>0</v>
      </c>
      <c r="AC14" s="41">
        <f>IF(AQ14="1",BI14,0)</f>
        <v>0</v>
      </c>
      <c r="AD14" s="41">
        <f>IF(AQ14="7",BH14,0)</f>
        <v>0</v>
      </c>
      <c r="AE14" s="41">
        <f>IF(AQ14="7",BI14,0)</f>
        <v>0</v>
      </c>
      <c r="AF14" s="41">
        <f>IF(AQ14="2",BH14,0)</f>
        <v>0</v>
      </c>
      <c r="AG14" s="41">
        <f>IF(AQ14="2",BI14,0)</f>
        <v>0</v>
      </c>
      <c r="AH14" s="41">
        <f>IF(AQ14="0",BJ14,0)</f>
        <v>0</v>
      </c>
      <c r="AI14" s="31"/>
      <c r="AJ14" s="21">
        <f>IF(AN14=0,K14,0)</f>
        <v>0</v>
      </c>
      <c r="AK14" s="21">
        <f>IF(AN14=15,K14,0)</f>
        <v>0</v>
      </c>
      <c r="AL14" s="21">
        <f>IF(AN14=21,K14,0)</f>
        <v>0</v>
      </c>
      <c r="AN14" s="41">
        <v>15</v>
      </c>
      <c r="AO14" s="41">
        <f>H14*0.0579275023179831</f>
        <v>0</v>
      </c>
      <c r="AP14" s="41">
        <f>H14*(1-0.0579275023179831)</f>
        <v>0</v>
      </c>
      <c r="AQ14" s="42" t="s">
        <v>6</v>
      </c>
      <c r="AV14" s="41">
        <f>AW14+AX14</f>
        <v>0</v>
      </c>
      <c r="AW14" s="41">
        <f>G14*AO14</f>
        <v>0</v>
      </c>
      <c r="AX14" s="41">
        <f>G14*AP14</f>
        <v>0</v>
      </c>
      <c r="AY14" s="44" t="s">
        <v>377</v>
      </c>
      <c r="AZ14" s="44" t="s">
        <v>400</v>
      </c>
      <c r="BA14" s="31" t="s">
        <v>409</v>
      </c>
      <c r="BC14" s="41">
        <f>AW14+AX14</f>
        <v>0</v>
      </c>
      <c r="BD14" s="41">
        <f>H14/(100-BE14)*100</f>
        <v>0</v>
      </c>
      <c r="BE14" s="41">
        <v>0</v>
      </c>
      <c r="BF14" s="41">
        <f>M14</f>
        <v>0.0095</v>
      </c>
      <c r="BH14" s="21">
        <f>G14*AO14</f>
        <v>0</v>
      </c>
      <c r="BI14" s="21">
        <f>G14*AP14</f>
        <v>0</v>
      </c>
      <c r="BJ14" s="21">
        <f>G14*H14</f>
        <v>0</v>
      </c>
      <c r="BK14" s="21" t="s">
        <v>414</v>
      </c>
      <c r="BL14" s="41">
        <v>31</v>
      </c>
    </row>
    <row r="15" spans="1:64" ht="12.75">
      <c r="A15" s="4" t="s">
        <v>8</v>
      </c>
      <c r="B15" s="13"/>
      <c r="C15" s="13" t="s">
        <v>104</v>
      </c>
      <c r="D15" s="137" t="s">
        <v>219</v>
      </c>
      <c r="E15" s="138"/>
      <c r="F15" s="13" t="s">
        <v>337</v>
      </c>
      <c r="G15" s="21">
        <v>1</v>
      </c>
      <c r="H15" s="21">
        <v>0</v>
      </c>
      <c r="I15" s="21">
        <f>G15*AO15</f>
        <v>0</v>
      </c>
      <c r="J15" s="21">
        <f>G15*AP15</f>
        <v>0</v>
      </c>
      <c r="K15" s="21">
        <f>G15*H15</f>
        <v>0</v>
      </c>
      <c r="L15" s="21">
        <v>0.16803</v>
      </c>
      <c r="M15" s="21">
        <f>G15*L15</f>
        <v>0.16803</v>
      </c>
      <c r="N15" s="35" t="s">
        <v>365</v>
      </c>
      <c r="O15" s="39"/>
      <c r="Z15" s="41">
        <f>IF(AQ15="5",BJ15,0)</f>
        <v>0</v>
      </c>
      <c r="AB15" s="41">
        <f>IF(AQ15="1",BH15,0)</f>
        <v>0</v>
      </c>
      <c r="AC15" s="41">
        <f>IF(AQ15="1",BI15,0)</f>
        <v>0</v>
      </c>
      <c r="AD15" s="41">
        <f>IF(AQ15="7",BH15,0)</f>
        <v>0</v>
      </c>
      <c r="AE15" s="41">
        <f>IF(AQ15="7",BI15,0)</f>
        <v>0</v>
      </c>
      <c r="AF15" s="41">
        <f>IF(AQ15="2",BH15,0)</f>
        <v>0</v>
      </c>
      <c r="AG15" s="41">
        <f>IF(AQ15="2",BI15,0)</f>
        <v>0</v>
      </c>
      <c r="AH15" s="41">
        <f>IF(AQ15="0",BJ15,0)</f>
        <v>0</v>
      </c>
      <c r="AI15" s="31"/>
      <c r="AJ15" s="21">
        <f>IF(AN15=0,K15,0)</f>
        <v>0</v>
      </c>
      <c r="AK15" s="21">
        <f>IF(AN15=15,K15,0)</f>
        <v>0</v>
      </c>
      <c r="AL15" s="21">
        <f>IF(AN15=21,K15,0)</f>
        <v>0</v>
      </c>
      <c r="AN15" s="41">
        <v>15</v>
      </c>
      <c r="AO15" s="41">
        <f>H15*0.56802729528536</f>
        <v>0</v>
      </c>
      <c r="AP15" s="41">
        <f>H15*(1-0.56802729528536)</f>
        <v>0</v>
      </c>
      <c r="AQ15" s="42" t="s">
        <v>6</v>
      </c>
      <c r="AV15" s="41">
        <f>AW15+AX15</f>
        <v>0</v>
      </c>
      <c r="AW15" s="41">
        <f>G15*AO15</f>
        <v>0</v>
      </c>
      <c r="AX15" s="41">
        <f>G15*AP15</f>
        <v>0</v>
      </c>
      <c r="AY15" s="44" t="s">
        <v>377</v>
      </c>
      <c r="AZ15" s="44" t="s">
        <v>400</v>
      </c>
      <c r="BA15" s="31" t="s">
        <v>409</v>
      </c>
      <c r="BC15" s="41">
        <f>AW15+AX15</f>
        <v>0</v>
      </c>
      <c r="BD15" s="41">
        <f>H15/(100-BE15)*100</f>
        <v>0</v>
      </c>
      <c r="BE15" s="41">
        <v>0</v>
      </c>
      <c r="BF15" s="41">
        <f>M15</f>
        <v>0.16803</v>
      </c>
      <c r="BH15" s="21">
        <f>G15*AO15</f>
        <v>0</v>
      </c>
      <c r="BI15" s="21">
        <f>G15*AP15</f>
        <v>0</v>
      </c>
      <c r="BJ15" s="21">
        <f>G15*H15</f>
        <v>0</v>
      </c>
      <c r="BK15" s="21" t="s">
        <v>414</v>
      </c>
      <c r="BL15" s="41">
        <v>31</v>
      </c>
    </row>
    <row r="16" spans="1:47" ht="12.75">
      <c r="A16" s="5"/>
      <c r="B16" s="14"/>
      <c r="C16" s="14" t="s">
        <v>39</v>
      </c>
      <c r="D16" s="139" t="s">
        <v>220</v>
      </c>
      <c r="E16" s="140"/>
      <c r="F16" s="19" t="s">
        <v>5</v>
      </c>
      <c r="G16" s="19" t="s">
        <v>5</v>
      </c>
      <c r="H16" s="19" t="s">
        <v>5</v>
      </c>
      <c r="I16" s="47">
        <f>SUM(I17:I20)</f>
        <v>0</v>
      </c>
      <c r="J16" s="47">
        <f>SUM(J17:J20)</f>
        <v>0</v>
      </c>
      <c r="K16" s="47">
        <f>SUM(K17:K20)</f>
        <v>0</v>
      </c>
      <c r="L16" s="31"/>
      <c r="M16" s="47">
        <f>SUM(M17:M20)</f>
        <v>2.3933302</v>
      </c>
      <c r="N16" s="36"/>
      <c r="O16" s="39"/>
      <c r="AI16" s="31"/>
      <c r="AS16" s="47">
        <f>SUM(AJ17:AJ20)</f>
        <v>0</v>
      </c>
      <c r="AT16" s="47">
        <f>SUM(AK17:AK20)</f>
        <v>0</v>
      </c>
      <c r="AU16" s="47">
        <f>SUM(AL17:AL20)</f>
        <v>0</v>
      </c>
    </row>
    <row r="17" spans="1:64" ht="12.75">
      <c r="A17" s="4" t="s">
        <v>9</v>
      </c>
      <c r="B17" s="13"/>
      <c r="C17" s="13" t="s">
        <v>105</v>
      </c>
      <c r="D17" s="137" t="s">
        <v>221</v>
      </c>
      <c r="E17" s="138"/>
      <c r="F17" s="13" t="s">
        <v>338</v>
      </c>
      <c r="G17" s="21">
        <v>16.49</v>
      </c>
      <c r="H17" s="21">
        <v>0</v>
      </c>
      <c r="I17" s="21">
        <f>G17*AO17</f>
        <v>0</v>
      </c>
      <c r="J17" s="21">
        <f>G17*AP17</f>
        <v>0</v>
      </c>
      <c r="K17" s="21">
        <f>G17*H17</f>
        <v>0</v>
      </c>
      <c r="L17" s="21">
        <v>0.09135</v>
      </c>
      <c r="M17" s="21">
        <f>G17*L17</f>
        <v>1.5063615</v>
      </c>
      <c r="N17" s="35" t="s">
        <v>365</v>
      </c>
      <c r="O17" s="39"/>
      <c r="Z17" s="41">
        <f>IF(AQ17="5",BJ17,0)</f>
        <v>0</v>
      </c>
      <c r="AB17" s="41">
        <f>IF(AQ17="1",BH17,0)</f>
        <v>0</v>
      </c>
      <c r="AC17" s="41">
        <f>IF(AQ17="1",BI17,0)</f>
        <v>0</v>
      </c>
      <c r="AD17" s="41">
        <f>IF(AQ17="7",BH17,0)</f>
        <v>0</v>
      </c>
      <c r="AE17" s="41">
        <f>IF(AQ17="7",BI17,0)</f>
        <v>0</v>
      </c>
      <c r="AF17" s="41">
        <f>IF(AQ17="2",BH17,0)</f>
        <v>0</v>
      </c>
      <c r="AG17" s="41">
        <f>IF(AQ17="2",BI17,0)</f>
        <v>0</v>
      </c>
      <c r="AH17" s="41">
        <f>IF(AQ17="0",BJ17,0)</f>
        <v>0</v>
      </c>
      <c r="AI17" s="31"/>
      <c r="AJ17" s="21">
        <f>IF(AN17=0,K17,0)</f>
        <v>0</v>
      </c>
      <c r="AK17" s="21">
        <f>IF(AN17=15,K17,0)</f>
        <v>0</v>
      </c>
      <c r="AL17" s="21">
        <f>IF(AN17=21,K17,0)</f>
        <v>0</v>
      </c>
      <c r="AN17" s="41">
        <v>15</v>
      </c>
      <c r="AO17" s="41">
        <f>H17*0.56812030075188</f>
        <v>0</v>
      </c>
      <c r="AP17" s="41">
        <f>H17*(1-0.56812030075188)</f>
        <v>0</v>
      </c>
      <c r="AQ17" s="42" t="s">
        <v>6</v>
      </c>
      <c r="AV17" s="41">
        <f>AW17+AX17</f>
        <v>0</v>
      </c>
      <c r="AW17" s="41">
        <f>G17*AO17</f>
        <v>0</v>
      </c>
      <c r="AX17" s="41">
        <f>G17*AP17</f>
        <v>0</v>
      </c>
      <c r="AY17" s="44" t="s">
        <v>378</v>
      </c>
      <c r="AZ17" s="44" t="s">
        <v>400</v>
      </c>
      <c r="BA17" s="31" t="s">
        <v>409</v>
      </c>
      <c r="BC17" s="41">
        <f>AW17+AX17</f>
        <v>0</v>
      </c>
      <c r="BD17" s="41">
        <f>H17/(100-BE17)*100</f>
        <v>0</v>
      </c>
      <c r="BE17" s="41">
        <v>0</v>
      </c>
      <c r="BF17" s="41">
        <f>M17</f>
        <v>1.5063615</v>
      </c>
      <c r="BH17" s="21">
        <f>G17*AO17</f>
        <v>0</v>
      </c>
      <c r="BI17" s="21">
        <f>G17*AP17</f>
        <v>0</v>
      </c>
      <c r="BJ17" s="21">
        <f>G17*H17</f>
        <v>0</v>
      </c>
      <c r="BK17" s="21" t="s">
        <v>414</v>
      </c>
      <c r="BL17" s="41">
        <v>34</v>
      </c>
    </row>
    <row r="18" spans="1:64" ht="12.75">
      <c r="A18" s="4" t="s">
        <v>10</v>
      </c>
      <c r="B18" s="13"/>
      <c r="C18" s="13" t="s">
        <v>106</v>
      </c>
      <c r="D18" s="137" t="s">
        <v>222</v>
      </c>
      <c r="E18" s="138"/>
      <c r="F18" s="13" t="s">
        <v>338</v>
      </c>
      <c r="G18" s="21">
        <v>3.83</v>
      </c>
      <c r="H18" s="21">
        <v>0</v>
      </c>
      <c r="I18" s="21">
        <f>G18*AO18</f>
        <v>0</v>
      </c>
      <c r="J18" s="21">
        <f>G18*AP18</f>
        <v>0</v>
      </c>
      <c r="K18" s="21">
        <f>G18*H18</f>
        <v>0</v>
      </c>
      <c r="L18" s="21">
        <v>0.06943</v>
      </c>
      <c r="M18" s="21">
        <f>G18*L18</f>
        <v>0.2659169</v>
      </c>
      <c r="N18" s="35" t="s">
        <v>365</v>
      </c>
      <c r="O18" s="39"/>
      <c r="Z18" s="41">
        <f>IF(AQ18="5",BJ18,0)</f>
        <v>0</v>
      </c>
      <c r="AB18" s="41">
        <f>IF(AQ18="1",BH18,0)</f>
        <v>0</v>
      </c>
      <c r="AC18" s="41">
        <f>IF(AQ18="1",BI18,0)</f>
        <v>0</v>
      </c>
      <c r="AD18" s="41">
        <f>IF(AQ18="7",BH18,0)</f>
        <v>0</v>
      </c>
      <c r="AE18" s="41">
        <f>IF(AQ18="7",BI18,0)</f>
        <v>0</v>
      </c>
      <c r="AF18" s="41">
        <f>IF(AQ18="2",BH18,0)</f>
        <v>0</v>
      </c>
      <c r="AG18" s="41">
        <f>IF(AQ18="2",BI18,0)</f>
        <v>0</v>
      </c>
      <c r="AH18" s="41">
        <f>IF(AQ18="0",BJ18,0)</f>
        <v>0</v>
      </c>
      <c r="AI18" s="31"/>
      <c r="AJ18" s="21">
        <f>IF(AN18=0,K18,0)</f>
        <v>0</v>
      </c>
      <c r="AK18" s="21">
        <f>IF(AN18=15,K18,0)</f>
        <v>0</v>
      </c>
      <c r="AL18" s="21">
        <f>IF(AN18=21,K18,0)</f>
        <v>0</v>
      </c>
      <c r="AN18" s="41">
        <v>15</v>
      </c>
      <c r="AO18" s="41">
        <f>H18*0.513361344537815</f>
        <v>0</v>
      </c>
      <c r="AP18" s="41">
        <f>H18*(1-0.513361344537815)</f>
        <v>0</v>
      </c>
      <c r="AQ18" s="42" t="s">
        <v>6</v>
      </c>
      <c r="AV18" s="41">
        <f>AW18+AX18</f>
        <v>0</v>
      </c>
      <c r="AW18" s="41">
        <f>G18*AO18</f>
        <v>0</v>
      </c>
      <c r="AX18" s="41">
        <f>G18*AP18</f>
        <v>0</v>
      </c>
      <c r="AY18" s="44" t="s">
        <v>378</v>
      </c>
      <c r="AZ18" s="44" t="s">
        <v>400</v>
      </c>
      <c r="BA18" s="31" t="s">
        <v>409</v>
      </c>
      <c r="BC18" s="41">
        <f>AW18+AX18</f>
        <v>0</v>
      </c>
      <c r="BD18" s="41">
        <f>H18/(100-BE18)*100</f>
        <v>0</v>
      </c>
      <c r="BE18" s="41">
        <v>0</v>
      </c>
      <c r="BF18" s="41">
        <f>M18</f>
        <v>0.2659169</v>
      </c>
      <c r="BH18" s="21">
        <f>G18*AO18</f>
        <v>0</v>
      </c>
      <c r="BI18" s="21">
        <f>G18*AP18</f>
        <v>0</v>
      </c>
      <c r="BJ18" s="21">
        <f>G18*H18</f>
        <v>0</v>
      </c>
      <c r="BK18" s="21" t="s">
        <v>414</v>
      </c>
      <c r="BL18" s="41">
        <v>34</v>
      </c>
    </row>
    <row r="19" spans="1:64" ht="12.75">
      <c r="A19" s="4" t="s">
        <v>11</v>
      </c>
      <c r="B19" s="13"/>
      <c r="C19" s="13" t="s">
        <v>107</v>
      </c>
      <c r="D19" s="137" t="s">
        <v>223</v>
      </c>
      <c r="E19" s="138"/>
      <c r="F19" s="13" t="s">
        <v>338</v>
      </c>
      <c r="G19" s="21">
        <v>2.4</v>
      </c>
      <c r="H19" s="21">
        <v>0</v>
      </c>
      <c r="I19" s="21">
        <f>G19*AO19</f>
        <v>0</v>
      </c>
      <c r="J19" s="21">
        <f>G19*AP19</f>
        <v>0</v>
      </c>
      <c r="K19" s="21">
        <f>G19*H19</f>
        <v>0</v>
      </c>
      <c r="L19" s="21">
        <v>0.14829</v>
      </c>
      <c r="M19" s="21">
        <f>G19*L19</f>
        <v>0.355896</v>
      </c>
      <c r="N19" s="35" t="s">
        <v>365</v>
      </c>
      <c r="O19" s="39"/>
      <c r="Z19" s="41">
        <f>IF(AQ19="5",BJ19,0)</f>
        <v>0</v>
      </c>
      <c r="AB19" s="41">
        <f>IF(AQ19="1",BH19,0)</f>
        <v>0</v>
      </c>
      <c r="AC19" s="41">
        <f>IF(AQ19="1",BI19,0)</f>
        <v>0</v>
      </c>
      <c r="AD19" s="41">
        <f>IF(AQ19="7",BH19,0)</f>
        <v>0</v>
      </c>
      <c r="AE19" s="41">
        <f>IF(AQ19="7",BI19,0)</f>
        <v>0</v>
      </c>
      <c r="AF19" s="41">
        <f>IF(AQ19="2",BH19,0)</f>
        <v>0</v>
      </c>
      <c r="AG19" s="41">
        <f>IF(AQ19="2",BI19,0)</f>
        <v>0</v>
      </c>
      <c r="AH19" s="41">
        <f>IF(AQ19="0",BJ19,0)</f>
        <v>0</v>
      </c>
      <c r="AI19" s="31"/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41">
        <v>15</v>
      </c>
      <c r="AO19" s="41">
        <f>H19*0.699112903225806</f>
        <v>0</v>
      </c>
      <c r="AP19" s="41">
        <f>H19*(1-0.699112903225806)</f>
        <v>0</v>
      </c>
      <c r="AQ19" s="42" t="s">
        <v>6</v>
      </c>
      <c r="AV19" s="41">
        <f>AW19+AX19</f>
        <v>0</v>
      </c>
      <c r="AW19" s="41">
        <f>G19*AO19</f>
        <v>0</v>
      </c>
      <c r="AX19" s="41">
        <f>G19*AP19</f>
        <v>0</v>
      </c>
      <c r="AY19" s="44" t="s">
        <v>378</v>
      </c>
      <c r="AZ19" s="44" t="s">
        <v>400</v>
      </c>
      <c r="BA19" s="31" t="s">
        <v>409</v>
      </c>
      <c r="BC19" s="41">
        <f>AW19+AX19</f>
        <v>0</v>
      </c>
      <c r="BD19" s="41">
        <f>H19/(100-BE19)*100</f>
        <v>0</v>
      </c>
      <c r="BE19" s="41">
        <v>0</v>
      </c>
      <c r="BF19" s="41">
        <f>M19</f>
        <v>0.355896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414</v>
      </c>
      <c r="BL19" s="41">
        <v>34</v>
      </c>
    </row>
    <row r="20" spans="1:64" ht="12.75">
      <c r="A20" s="4" t="s">
        <v>12</v>
      </c>
      <c r="B20" s="13"/>
      <c r="C20" s="13" t="s">
        <v>108</v>
      </c>
      <c r="D20" s="137" t="s">
        <v>224</v>
      </c>
      <c r="E20" s="138"/>
      <c r="F20" s="13" t="s">
        <v>338</v>
      </c>
      <c r="G20" s="21">
        <v>2.38</v>
      </c>
      <c r="H20" s="21">
        <v>0</v>
      </c>
      <c r="I20" s="21">
        <f>G20*AO20</f>
        <v>0</v>
      </c>
      <c r="J20" s="21">
        <f>G20*AP20</f>
        <v>0</v>
      </c>
      <c r="K20" s="21">
        <f>G20*H20</f>
        <v>0</v>
      </c>
      <c r="L20" s="21">
        <v>0.11141</v>
      </c>
      <c r="M20" s="21">
        <f>G20*L20</f>
        <v>0.2651558</v>
      </c>
      <c r="N20" s="35" t="s">
        <v>365</v>
      </c>
      <c r="O20" s="39"/>
      <c r="Z20" s="41">
        <f>IF(AQ20="5",BJ20,0)</f>
        <v>0</v>
      </c>
      <c r="AB20" s="41">
        <f>IF(AQ20="1",BH20,0)</f>
        <v>0</v>
      </c>
      <c r="AC20" s="41">
        <f>IF(AQ20="1",BI20,0)</f>
        <v>0</v>
      </c>
      <c r="AD20" s="41">
        <f>IF(AQ20="7",BH20,0)</f>
        <v>0</v>
      </c>
      <c r="AE20" s="41">
        <f>IF(AQ20="7",BI20,0)</f>
        <v>0</v>
      </c>
      <c r="AF20" s="41">
        <f>IF(AQ20="2",BH20,0)</f>
        <v>0</v>
      </c>
      <c r="AG20" s="41">
        <f>IF(AQ20="2",BI20,0)</f>
        <v>0</v>
      </c>
      <c r="AH20" s="41">
        <f>IF(AQ20="0",BJ20,0)</f>
        <v>0</v>
      </c>
      <c r="AI20" s="31"/>
      <c r="AJ20" s="21">
        <f>IF(AN20=0,K20,0)</f>
        <v>0</v>
      </c>
      <c r="AK20" s="21">
        <f>IF(AN20=15,K20,0)</f>
        <v>0</v>
      </c>
      <c r="AL20" s="21">
        <f>IF(AN20=21,K20,0)</f>
        <v>0</v>
      </c>
      <c r="AN20" s="41">
        <v>15</v>
      </c>
      <c r="AO20" s="41">
        <f>H20*0.694783505154639</f>
        <v>0</v>
      </c>
      <c r="AP20" s="41">
        <f>H20*(1-0.694783505154639)</f>
        <v>0</v>
      </c>
      <c r="AQ20" s="42" t="s">
        <v>6</v>
      </c>
      <c r="AV20" s="41">
        <f>AW20+AX20</f>
        <v>0</v>
      </c>
      <c r="AW20" s="41">
        <f>G20*AO20</f>
        <v>0</v>
      </c>
      <c r="AX20" s="41">
        <f>G20*AP20</f>
        <v>0</v>
      </c>
      <c r="AY20" s="44" t="s">
        <v>378</v>
      </c>
      <c r="AZ20" s="44" t="s">
        <v>400</v>
      </c>
      <c r="BA20" s="31" t="s">
        <v>409</v>
      </c>
      <c r="BC20" s="41">
        <f>AW20+AX20</f>
        <v>0</v>
      </c>
      <c r="BD20" s="41">
        <f>H20/(100-BE20)*100</f>
        <v>0</v>
      </c>
      <c r="BE20" s="41">
        <v>0</v>
      </c>
      <c r="BF20" s="41">
        <f>M20</f>
        <v>0.2651558</v>
      </c>
      <c r="BH20" s="21">
        <f>G20*AO20</f>
        <v>0</v>
      </c>
      <c r="BI20" s="21">
        <f>G20*AP20</f>
        <v>0</v>
      </c>
      <c r="BJ20" s="21">
        <f>G20*H20</f>
        <v>0</v>
      </c>
      <c r="BK20" s="21" t="s">
        <v>414</v>
      </c>
      <c r="BL20" s="41">
        <v>34</v>
      </c>
    </row>
    <row r="21" spans="1:47" ht="12.75">
      <c r="A21" s="5"/>
      <c r="B21" s="14"/>
      <c r="C21" s="14" t="s">
        <v>46</v>
      </c>
      <c r="D21" s="139" t="s">
        <v>225</v>
      </c>
      <c r="E21" s="140"/>
      <c r="F21" s="19" t="s">
        <v>5</v>
      </c>
      <c r="G21" s="19" t="s">
        <v>5</v>
      </c>
      <c r="H21" s="19" t="s">
        <v>5</v>
      </c>
      <c r="I21" s="47">
        <f>SUM(I22:I23)</f>
        <v>0</v>
      </c>
      <c r="J21" s="47">
        <f>SUM(J22:J23)</f>
        <v>0</v>
      </c>
      <c r="K21" s="47">
        <f>SUM(K22:K23)</f>
        <v>0</v>
      </c>
      <c r="L21" s="31"/>
      <c r="M21" s="47">
        <f>SUM(M22:M23)</f>
        <v>0.0672672</v>
      </c>
      <c r="N21" s="36"/>
      <c r="O21" s="39"/>
      <c r="AI21" s="31"/>
      <c r="AS21" s="47">
        <f>SUM(AJ22:AJ23)</f>
        <v>0</v>
      </c>
      <c r="AT21" s="47">
        <f>SUM(AK22:AK23)</f>
        <v>0</v>
      </c>
      <c r="AU21" s="47">
        <f>SUM(AL22:AL23)</f>
        <v>0</v>
      </c>
    </row>
    <row r="22" spans="1:64" ht="12.75">
      <c r="A22" s="4" t="s">
        <v>13</v>
      </c>
      <c r="B22" s="13"/>
      <c r="C22" s="13" t="s">
        <v>109</v>
      </c>
      <c r="D22" s="137" t="s">
        <v>226</v>
      </c>
      <c r="E22" s="138"/>
      <c r="F22" s="13" t="s">
        <v>338</v>
      </c>
      <c r="G22" s="21">
        <v>1.56</v>
      </c>
      <c r="H22" s="21">
        <v>0</v>
      </c>
      <c r="I22" s="21">
        <f>G22*AO22</f>
        <v>0</v>
      </c>
      <c r="J22" s="21">
        <f>G22*AP22</f>
        <v>0</v>
      </c>
      <c r="K22" s="21">
        <f>G22*H22</f>
        <v>0</v>
      </c>
      <c r="L22" s="21">
        <v>0.02511</v>
      </c>
      <c r="M22" s="21">
        <f>G22*L22</f>
        <v>0.0391716</v>
      </c>
      <c r="N22" s="35" t="s">
        <v>365</v>
      </c>
      <c r="O22" s="39"/>
      <c r="Z22" s="41">
        <f>IF(AQ22="5",BJ22,0)</f>
        <v>0</v>
      </c>
      <c r="AB22" s="41">
        <f>IF(AQ22="1",BH22,0)</f>
        <v>0</v>
      </c>
      <c r="AC22" s="41">
        <f>IF(AQ22="1",BI22,0)</f>
        <v>0</v>
      </c>
      <c r="AD22" s="41">
        <f>IF(AQ22="7",BH22,0)</f>
        <v>0</v>
      </c>
      <c r="AE22" s="41">
        <f>IF(AQ22="7",BI22,0)</f>
        <v>0</v>
      </c>
      <c r="AF22" s="41">
        <f>IF(AQ22="2",BH22,0)</f>
        <v>0</v>
      </c>
      <c r="AG22" s="41">
        <f>IF(AQ22="2",BI22,0)</f>
        <v>0</v>
      </c>
      <c r="AH22" s="41">
        <f>IF(AQ22="0",BJ22,0)</f>
        <v>0</v>
      </c>
      <c r="AI22" s="31"/>
      <c r="AJ22" s="21">
        <f>IF(AN22=0,K22,0)</f>
        <v>0</v>
      </c>
      <c r="AK22" s="21">
        <f>IF(AN22=15,K22,0)</f>
        <v>0</v>
      </c>
      <c r="AL22" s="21">
        <f>IF(AN22=21,K22,0)</f>
        <v>0</v>
      </c>
      <c r="AN22" s="41">
        <v>15</v>
      </c>
      <c r="AO22" s="41">
        <f>H22*0.428240740740741</f>
        <v>0</v>
      </c>
      <c r="AP22" s="41">
        <f>H22*(1-0.428240740740741)</f>
        <v>0</v>
      </c>
      <c r="AQ22" s="42" t="s">
        <v>6</v>
      </c>
      <c r="AV22" s="41">
        <f>AW22+AX22</f>
        <v>0</v>
      </c>
      <c r="AW22" s="41">
        <f>G22*AO22</f>
        <v>0</v>
      </c>
      <c r="AX22" s="41">
        <f>G22*AP22</f>
        <v>0</v>
      </c>
      <c r="AY22" s="44" t="s">
        <v>379</v>
      </c>
      <c r="AZ22" s="44" t="s">
        <v>401</v>
      </c>
      <c r="BA22" s="31" t="s">
        <v>409</v>
      </c>
      <c r="BC22" s="41">
        <f>AW22+AX22</f>
        <v>0</v>
      </c>
      <c r="BD22" s="41">
        <f>H22/(100-BE22)*100</f>
        <v>0</v>
      </c>
      <c r="BE22" s="41">
        <v>0</v>
      </c>
      <c r="BF22" s="41">
        <f>M22</f>
        <v>0.0391716</v>
      </c>
      <c r="BH22" s="21">
        <f>G22*AO22</f>
        <v>0</v>
      </c>
      <c r="BI22" s="21">
        <f>G22*AP22</f>
        <v>0</v>
      </c>
      <c r="BJ22" s="21">
        <f>G22*H22</f>
        <v>0</v>
      </c>
      <c r="BK22" s="21" t="s">
        <v>414</v>
      </c>
      <c r="BL22" s="41">
        <v>41</v>
      </c>
    </row>
    <row r="23" spans="1:64" ht="12.75">
      <c r="A23" s="4" t="s">
        <v>14</v>
      </c>
      <c r="B23" s="13"/>
      <c r="C23" s="13" t="s">
        <v>110</v>
      </c>
      <c r="D23" s="137" t="s">
        <v>227</v>
      </c>
      <c r="E23" s="138"/>
      <c r="F23" s="13" t="s">
        <v>338</v>
      </c>
      <c r="G23" s="21">
        <v>1.56</v>
      </c>
      <c r="H23" s="21">
        <v>0</v>
      </c>
      <c r="I23" s="21">
        <f>G23*AO23</f>
        <v>0</v>
      </c>
      <c r="J23" s="21">
        <f>G23*AP23</f>
        <v>0</v>
      </c>
      <c r="K23" s="21">
        <f>G23*H23</f>
        <v>0</v>
      </c>
      <c r="L23" s="21">
        <v>0.01801</v>
      </c>
      <c r="M23" s="21">
        <f>G23*L23</f>
        <v>0.028095600000000005</v>
      </c>
      <c r="N23" s="35" t="s">
        <v>365</v>
      </c>
      <c r="O23" s="39"/>
      <c r="Z23" s="41">
        <f>IF(AQ23="5",BJ23,0)</f>
        <v>0</v>
      </c>
      <c r="AB23" s="41">
        <f>IF(AQ23="1",BH23,0)</f>
        <v>0</v>
      </c>
      <c r="AC23" s="41">
        <f>IF(AQ23="1",BI23,0)</f>
        <v>0</v>
      </c>
      <c r="AD23" s="41">
        <f>IF(AQ23="7",BH23,0)</f>
        <v>0</v>
      </c>
      <c r="AE23" s="41">
        <f>IF(AQ23="7",BI23,0)</f>
        <v>0</v>
      </c>
      <c r="AF23" s="41">
        <f>IF(AQ23="2",BH23,0)</f>
        <v>0</v>
      </c>
      <c r="AG23" s="41">
        <f>IF(AQ23="2",BI23,0)</f>
        <v>0</v>
      </c>
      <c r="AH23" s="41">
        <f>IF(AQ23="0",BJ23,0)</f>
        <v>0</v>
      </c>
      <c r="AI23" s="31"/>
      <c r="AJ23" s="21">
        <f>IF(AN23=0,K23,0)</f>
        <v>0</v>
      </c>
      <c r="AK23" s="21">
        <f>IF(AN23=15,K23,0)</f>
        <v>0</v>
      </c>
      <c r="AL23" s="21">
        <f>IF(AN23=21,K23,0)</f>
        <v>0</v>
      </c>
      <c r="AN23" s="41">
        <v>15</v>
      </c>
      <c r="AO23" s="41">
        <f>H23*0.578412931667891</f>
        <v>0</v>
      </c>
      <c r="AP23" s="41">
        <f>H23*(1-0.578412931667891)</f>
        <v>0</v>
      </c>
      <c r="AQ23" s="42" t="s">
        <v>6</v>
      </c>
      <c r="AV23" s="41">
        <f>AW23+AX23</f>
        <v>0</v>
      </c>
      <c r="AW23" s="41">
        <f>G23*AO23</f>
        <v>0</v>
      </c>
      <c r="AX23" s="41">
        <f>G23*AP23</f>
        <v>0</v>
      </c>
      <c r="AY23" s="44" t="s">
        <v>379</v>
      </c>
      <c r="AZ23" s="44" t="s">
        <v>401</v>
      </c>
      <c r="BA23" s="31" t="s">
        <v>409</v>
      </c>
      <c r="BC23" s="41">
        <f>AW23+AX23</f>
        <v>0</v>
      </c>
      <c r="BD23" s="41">
        <f>H23/(100-BE23)*100</f>
        <v>0</v>
      </c>
      <c r="BE23" s="41">
        <v>0</v>
      </c>
      <c r="BF23" s="41">
        <f>M23</f>
        <v>0.028095600000000005</v>
      </c>
      <c r="BH23" s="21">
        <f>G23*AO23</f>
        <v>0</v>
      </c>
      <c r="BI23" s="21">
        <f>G23*AP23</f>
        <v>0</v>
      </c>
      <c r="BJ23" s="21">
        <f>G23*H23</f>
        <v>0</v>
      </c>
      <c r="BK23" s="21" t="s">
        <v>414</v>
      </c>
      <c r="BL23" s="41">
        <v>41</v>
      </c>
    </row>
    <row r="24" spans="1:47" ht="12.75">
      <c r="A24" s="5"/>
      <c r="B24" s="14"/>
      <c r="C24" s="14" t="s">
        <v>66</v>
      </c>
      <c r="D24" s="139" t="s">
        <v>228</v>
      </c>
      <c r="E24" s="140"/>
      <c r="F24" s="19" t="s">
        <v>5</v>
      </c>
      <c r="G24" s="19" t="s">
        <v>5</v>
      </c>
      <c r="H24" s="19"/>
      <c r="I24" s="47">
        <f>SUM(I25:I28)</f>
        <v>0</v>
      </c>
      <c r="J24" s="47">
        <f>SUM(J25:J28)</f>
        <v>0</v>
      </c>
      <c r="K24" s="47">
        <f>SUM(K25:K28)</f>
        <v>0</v>
      </c>
      <c r="L24" s="31"/>
      <c r="M24" s="47">
        <f>SUM(M25:M28)</f>
        <v>1.2297075000000002</v>
      </c>
      <c r="N24" s="36"/>
      <c r="O24" s="39"/>
      <c r="AI24" s="31"/>
      <c r="AS24" s="47">
        <f>SUM(AJ25:AJ28)</f>
        <v>0</v>
      </c>
      <c r="AT24" s="47">
        <f>SUM(AK25:AK28)</f>
        <v>0</v>
      </c>
      <c r="AU24" s="47">
        <f>SUM(AL25:AL28)</f>
        <v>0</v>
      </c>
    </row>
    <row r="25" spans="1:64" ht="12.75">
      <c r="A25" s="4" t="s">
        <v>15</v>
      </c>
      <c r="B25" s="13"/>
      <c r="C25" s="13" t="s">
        <v>111</v>
      </c>
      <c r="D25" s="137" t="s">
        <v>229</v>
      </c>
      <c r="E25" s="138"/>
      <c r="F25" s="13" t="s">
        <v>338</v>
      </c>
      <c r="G25" s="21">
        <v>32.15</v>
      </c>
      <c r="H25" s="21">
        <v>0</v>
      </c>
      <c r="I25" s="21">
        <f>G25*AO25</f>
        <v>0</v>
      </c>
      <c r="J25" s="21">
        <f>G25*AP25</f>
        <v>0</v>
      </c>
      <c r="K25" s="21">
        <f>G25*H25</f>
        <v>0</v>
      </c>
      <c r="L25" s="21">
        <v>0.00367</v>
      </c>
      <c r="M25" s="21">
        <f>G25*L25</f>
        <v>0.1179905</v>
      </c>
      <c r="N25" s="35" t="s">
        <v>365</v>
      </c>
      <c r="O25" s="39"/>
      <c r="Z25" s="41">
        <f>IF(AQ25="5",BJ25,0)</f>
        <v>0</v>
      </c>
      <c r="AB25" s="41">
        <f>IF(AQ25="1",BH25,0)</f>
        <v>0</v>
      </c>
      <c r="AC25" s="41">
        <f>IF(AQ25="1",BI25,0)</f>
        <v>0</v>
      </c>
      <c r="AD25" s="41">
        <f>IF(AQ25="7",BH25,0)</f>
        <v>0</v>
      </c>
      <c r="AE25" s="41">
        <f>IF(AQ25="7",BI25,0)</f>
        <v>0</v>
      </c>
      <c r="AF25" s="41">
        <f>IF(AQ25="2",BH25,0)</f>
        <v>0</v>
      </c>
      <c r="AG25" s="41">
        <f>IF(AQ25="2",BI25,0)</f>
        <v>0</v>
      </c>
      <c r="AH25" s="41">
        <f>IF(AQ25="0",BJ25,0)</f>
        <v>0</v>
      </c>
      <c r="AI25" s="31"/>
      <c r="AJ25" s="21">
        <f>IF(AN25=0,K25,0)</f>
        <v>0</v>
      </c>
      <c r="AK25" s="21">
        <f>IF(AN25=15,K25,0)</f>
        <v>0</v>
      </c>
      <c r="AL25" s="21">
        <f>IF(AN25=21,K25,0)</f>
        <v>0</v>
      </c>
      <c r="AN25" s="41">
        <v>15</v>
      </c>
      <c r="AO25" s="41">
        <f>H25*0.271193572695521</f>
        <v>0</v>
      </c>
      <c r="AP25" s="41">
        <f>H25*(1-0.271193572695521)</f>
        <v>0</v>
      </c>
      <c r="AQ25" s="42" t="s">
        <v>6</v>
      </c>
      <c r="AV25" s="41">
        <f>AW25+AX25</f>
        <v>0</v>
      </c>
      <c r="AW25" s="41">
        <f>G25*AO25</f>
        <v>0</v>
      </c>
      <c r="AX25" s="41">
        <f>G25*AP25</f>
        <v>0</v>
      </c>
      <c r="AY25" s="44" t="s">
        <v>380</v>
      </c>
      <c r="AZ25" s="44" t="s">
        <v>402</v>
      </c>
      <c r="BA25" s="31" t="s">
        <v>409</v>
      </c>
      <c r="BC25" s="41">
        <f>AW25+AX25</f>
        <v>0</v>
      </c>
      <c r="BD25" s="41">
        <f>H25/(100-BE25)*100</f>
        <v>0</v>
      </c>
      <c r="BE25" s="41">
        <v>0</v>
      </c>
      <c r="BF25" s="41">
        <f>M25</f>
        <v>0.1179905</v>
      </c>
      <c r="BH25" s="21">
        <f>G25*AO25</f>
        <v>0</v>
      </c>
      <c r="BI25" s="21">
        <f>G25*AP25</f>
        <v>0</v>
      </c>
      <c r="BJ25" s="21">
        <f>G25*H25</f>
        <v>0</v>
      </c>
      <c r="BK25" s="21" t="s">
        <v>414</v>
      </c>
      <c r="BL25" s="41">
        <v>61</v>
      </c>
    </row>
    <row r="26" spans="1:64" ht="12.75">
      <c r="A26" s="4" t="s">
        <v>16</v>
      </c>
      <c r="B26" s="13"/>
      <c r="C26" s="13" t="s">
        <v>112</v>
      </c>
      <c r="D26" s="137" t="s">
        <v>230</v>
      </c>
      <c r="E26" s="138"/>
      <c r="F26" s="13" t="s">
        <v>338</v>
      </c>
      <c r="G26" s="21">
        <v>32.15</v>
      </c>
      <c r="H26" s="21">
        <v>0</v>
      </c>
      <c r="I26" s="21">
        <f>G26*AO26</f>
        <v>0</v>
      </c>
      <c r="J26" s="21">
        <f>G26*AP26</f>
        <v>0</v>
      </c>
      <c r="K26" s="21">
        <f>G26*H26</f>
        <v>0</v>
      </c>
      <c r="L26" s="21">
        <v>0.02798</v>
      </c>
      <c r="M26" s="21">
        <f>G26*L26</f>
        <v>0.899557</v>
      </c>
      <c r="N26" s="35" t="s">
        <v>365</v>
      </c>
      <c r="O26" s="39"/>
      <c r="Z26" s="41">
        <f>IF(AQ26="5",BJ26,0)</f>
        <v>0</v>
      </c>
      <c r="AB26" s="41">
        <f>IF(AQ26="1",BH26,0)</f>
        <v>0</v>
      </c>
      <c r="AC26" s="41">
        <f>IF(AQ26="1",BI26,0)</f>
        <v>0</v>
      </c>
      <c r="AD26" s="41">
        <f>IF(AQ26="7",BH26,0)</f>
        <v>0</v>
      </c>
      <c r="AE26" s="41">
        <f>IF(AQ26="7",BI26,0)</f>
        <v>0</v>
      </c>
      <c r="AF26" s="41">
        <f>IF(AQ26="2",BH26,0)</f>
        <v>0</v>
      </c>
      <c r="AG26" s="41">
        <f>IF(AQ26="2",BI26,0)</f>
        <v>0</v>
      </c>
      <c r="AH26" s="41">
        <f>IF(AQ26="0",BJ26,0)</f>
        <v>0</v>
      </c>
      <c r="AI26" s="31"/>
      <c r="AJ26" s="21">
        <f>IF(AN26=0,K26,0)</f>
        <v>0</v>
      </c>
      <c r="AK26" s="21">
        <f>IF(AN26=15,K26,0)</f>
        <v>0</v>
      </c>
      <c r="AL26" s="21">
        <f>IF(AN26=21,K26,0)</f>
        <v>0</v>
      </c>
      <c r="AN26" s="41">
        <v>15</v>
      </c>
      <c r="AO26" s="41">
        <f>H26*0.318960460160278</f>
        <v>0</v>
      </c>
      <c r="AP26" s="41">
        <f>H26*(1-0.318960460160278)</f>
        <v>0</v>
      </c>
      <c r="AQ26" s="42" t="s">
        <v>6</v>
      </c>
      <c r="AV26" s="41">
        <f>AW26+AX26</f>
        <v>0</v>
      </c>
      <c r="AW26" s="41">
        <f>G26*AO26</f>
        <v>0</v>
      </c>
      <c r="AX26" s="41">
        <f>G26*AP26</f>
        <v>0</v>
      </c>
      <c r="AY26" s="44" t="s">
        <v>380</v>
      </c>
      <c r="AZ26" s="44" t="s">
        <v>402</v>
      </c>
      <c r="BA26" s="31" t="s">
        <v>409</v>
      </c>
      <c r="BC26" s="41">
        <f>AW26+AX26</f>
        <v>0</v>
      </c>
      <c r="BD26" s="41">
        <f>H26/(100-BE26)*100</f>
        <v>0</v>
      </c>
      <c r="BE26" s="41">
        <v>0</v>
      </c>
      <c r="BF26" s="41">
        <f>M26</f>
        <v>0.899557</v>
      </c>
      <c r="BH26" s="21">
        <f>G26*AO26</f>
        <v>0</v>
      </c>
      <c r="BI26" s="21">
        <f>G26*AP26</f>
        <v>0</v>
      </c>
      <c r="BJ26" s="21">
        <f>G26*H26</f>
        <v>0</v>
      </c>
      <c r="BK26" s="21" t="s">
        <v>414</v>
      </c>
      <c r="BL26" s="41">
        <v>61</v>
      </c>
    </row>
    <row r="27" spans="1:64" ht="12.75">
      <c r="A27" s="4" t="s">
        <v>17</v>
      </c>
      <c r="B27" s="13"/>
      <c r="C27" s="13" t="s">
        <v>113</v>
      </c>
      <c r="D27" s="137" t="s">
        <v>231</v>
      </c>
      <c r="E27" s="138"/>
      <c r="F27" s="13" t="s">
        <v>337</v>
      </c>
      <c r="G27" s="21">
        <v>8</v>
      </c>
      <c r="H27" s="21">
        <v>0</v>
      </c>
      <c r="I27" s="21">
        <f>G27*AO27</f>
        <v>0</v>
      </c>
      <c r="J27" s="21">
        <f>G27*AP27</f>
        <v>0</v>
      </c>
      <c r="K27" s="21">
        <f>G27*H27</f>
        <v>0</v>
      </c>
      <c r="L27" s="21">
        <v>0.01278</v>
      </c>
      <c r="M27" s="21">
        <f>G27*L27</f>
        <v>0.10224</v>
      </c>
      <c r="N27" s="35" t="s">
        <v>365</v>
      </c>
      <c r="O27" s="39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31"/>
      <c r="AJ27" s="21">
        <f>IF(AN27=0,K27,0)</f>
        <v>0</v>
      </c>
      <c r="AK27" s="21">
        <f>IF(AN27=15,K27,0)</f>
        <v>0</v>
      </c>
      <c r="AL27" s="21">
        <f>IF(AN27=21,K27,0)</f>
        <v>0</v>
      </c>
      <c r="AN27" s="41">
        <v>15</v>
      </c>
      <c r="AO27" s="41">
        <f>H27*0.174583333333333</f>
        <v>0</v>
      </c>
      <c r="AP27" s="41">
        <f>H27*(1-0.174583333333333)</f>
        <v>0</v>
      </c>
      <c r="AQ27" s="42" t="s">
        <v>6</v>
      </c>
      <c r="AV27" s="41">
        <f>AW27+AX27</f>
        <v>0</v>
      </c>
      <c r="AW27" s="41">
        <f>G27*AO27</f>
        <v>0</v>
      </c>
      <c r="AX27" s="41">
        <f>G27*AP27</f>
        <v>0</v>
      </c>
      <c r="AY27" s="44" t="s">
        <v>380</v>
      </c>
      <c r="AZ27" s="44" t="s">
        <v>402</v>
      </c>
      <c r="BA27" s="31" t="s">
        <v>409</v>
      </c>
      <c r="BC27" s="41">
        <f>AW27+AX27</f>
        <v>0</v>
      </c>
      <c r="BD27" s="41">
        <f>H27/(100-BE27)*100</f>
        <v>0</v>
      </c>
      <c r="BE27" s="41">
        <v>0</v>
      </c>
      <c r="BF27" s="41">
        <f>M27</f>
        <v>0.10224</v>
      </c>
      <c r="BH27" s="21">
        <f>G27*AO27</f>
        <v>0</v>
      </c>
      <c r="BI27" s="21">
        <f>G27*AP27</f>
        <v>0</v>
      </c>
      <c r="BJ27" s="21">
        <f>G27*H27</f>
        <v>0</v>
      </c>
      <c r="BK27" s="21" t="s">
        <v>414</v>
      </c>
      <c r="BL27" s="41">
        <v>61</v>
      </c>
    </row>
    <row r="28" spans="1:64" ht="12.75">
      <c r="A28" s="4" t="s">
        <v>18</v>
      </c>
      <c r="B28" s="13"/>
      <c r="C28" s="13" t="s">
        <v>114</v>
      </c>
      <c r="D28" s="137" t="s">
        <v>232</v>
      </c>
      <c r="E28" s="138"/>
      <c r="F28" s="13" t="s">
        <v>337</v>
      </c>
      <c r="G28" s="21">
        <v>24</v>
      </c>
      <c r="H28" s="21">
        <v>0</v>
      </c>
      <c r="I28" s="21">
        <f>G28*AO28</f>
        <v>0</v>
      </c>
      <c r="J28" s="21">
        <f>G28*AP28</f>
        <v>0</v>
      </c>
      <c r="K28" s="21">
        <f>G28*H28</f>
        <v>0</v>
      </c>
      <c r="L28" s="21">
        <v>0.00458</v>
      </c>
      <c r="M28" s="21">
        <f>G28*L28</f>
        <v>0.10991999999999999</v>
      </c>
      <c r="N28" s="35" t="s">
        <v>365</v>
      </c>
      <c r="O28" s="39"/>
      <c r="Z28" s="41">
        <f>IF(AQ28="5",BJ28,0)</f>
        <v>0</v>
      </c>
      <c r="AB28" s="41">
        <f>IF(AQ28="1",BH28,0)</f>
        <v>0</v>
      </c>
      <c r="AC28" s="41">
        <f>IF(AQ28="1",BI28,0)</f>
        <v>0</v>
      </c>
      <c r="AD28" s="41">
        <f>IF(AQ28="7",BH28,0)</f>
        <v>0</v>
      </c>
      <c r="AE28" s="41">
        <f>IF(AQ28="7",BI28,0)</f>
        <v>0</v>
      </c>
      <c r="AF28" s="41">
        <f>IF(AQ28="2",BH28,0)</f>
        <v>0</v>
      </c>
      <c r="AG28" s="41">
        <f>IF(AQ28="2",BI28,0)</f>
        <v>0</v>
      </c>
      <c r="AH28" s="41">
        <f>IF(AQ28="0",BJ28,0)</f>
        <v>0</v>
      </c>
      <c r="AI28" s="31"/>
      <c r="AJ28" s="21">
        <f>IF(AN28=0,K28,0)</f>
        <v>0</v>
      </c>
      <c r="AK28" s="21">
        <f>IF(AN28=15,K28,0)</f>
        <v>0</v>
      </c>
      <c r="AL28" s="21">
        <f>IF(AN28=21,K28,0)</f>
        <v>0</v>
      </c>
      <c r="AN28" s="41">
        <v>15</v>
      </c>
      <c r="AO28" s="41">
        <f>H28*0.132752314994942</f>
        <v>0</v>
      </c>
      <c r="AP28" s="41">
        <f>H28*(1-0.132752314994942)</f>
        <v>0</v>
      </c>
      <c r="AQ28" s="42" t="s">
        <v>6</v>
      </c>
      <c r="AV28" s="41">
        <f>AW28+AX28</f>
        <v>0</v>
      </c>
      <c r="AW28" s="41">
        <f>G28*AO28</f>
        <v>0</v>
      </c>
      <c r="AX28" s="41">
        <f>G28*AP28</f>
        <v>0</v>
      </c>
      <c r="AY28" s="44" t="s">
        <v>380</v>
      </c>
      <c r="AZ28" s="44" t="s">
        <v>402</v>
      </c>
      <c r="BA28" s="31" t="s">
        <v>409</v>
      </c>
      <c r="BC28" s="41">
        <f>AW28+AX28</f>
        <v>0</v>
      </c>
      <c r="BD28" s="41">
        <f>H28/(100-BE28)*100</f>
        <v>0</v>
      </c>
      <c r="BE28" s="41">
        <v>0</v>
      </c>
      <c r="BF28" s="41">
        <f>M28</f>
        <v>0.10991999999999999</v>
      </c>
      <c r="BH28" s="21">
        <f>G28*AO28</f>
        <v>0</v>
      </c>
      <c r="BI28" s="21">
        <f>G28*AP28</f>
        <v>0</v>
      </c>
      <c r="BJ28" s="21">
        <f>G28*H28</f>
        <v>0</v>
      </c>
      <c r="BK28" s="21" t="s">
        <v>414</v>
      </c>
      <c r="BL28" s="41">
        <v>61</v>
      </c>
    </row>
    <row r="29" spans="1:47" ht="12.75">
      <c r="A29" s="5"/>
      <c r="B29" s="14"/>
      <c r="C29" s="14" t="s">
        <v>68</v>
      </c>
      <c r="D29" s="139" t="s">
        <v>233</v>
      </c>
      <c r="E29" s="140"/>
      <c r="F29" s="19" t="s">
        <v>5</v>
      </c>
      <c r="G29" s="19" t="s">
        <v>5</v>
      </c>
      <c r="H29" s="19" t="s">
        <v>5</v>
      </c>
      <c r="I29" s="47">
        <f>SUM(I30:I30)</f>
        <v>0</v>
      </c>
      <c r="J29" s="47">
        <f>SUM(J30:J30)</f>
        <v>0</v>
      </c>
      <c r="K29" s="47">
        <f>SUM(K30:K30)</f>
        <v>0</v>
      </c>
      <c r="L29" s="31"/>
      <c r="M29" s="47">
        <f>SUM(M30:M30)</f>
        <v>0.015047900000000001</v>
      </c>
      <c r="N29" s="36"/>
      <c r="O29" s="39"/>
      <c r="AI29" s="31"/>
      <c r="AS29" s="47">
        <f>SUM(AJ30:AJ30)</f>
        <v>0</v>
      </c>
      <c r="AT29" s="47">
        <f>SUM(AK30:AK30)</f>
        <v>0</v>
      </c>
      <c r="AU29" s="47">
        <f>SUM(AL30:AL30)</f>
        <v>0</v>
      </c>
    </row>
    <row r="30" spans="1:64" ht="12.75">
      <c r="A30" s="4" t="s">
        <v>19</v>
      </c>
      <c r="B30" s="13"/>
      <c r="C30" s="13" t="s">
        <v>115</v>
      </c>
      <c r="D30" s="137" t="s">
        <v>234</v>
      </c>
      <c r="E30" s="138"/>
      <c r="F30" s="13" t="s">
        <v>338</v>
      </c>
      <c r="G30" s="21">
        <v>40.67</v>
      </c>
      <c r="H30" s="21">
        <v>0</v>
      </c>
      <c r="I30" s="21">
        <f>G30*AO30</f>
        <v>0</v>
      </c>
      <c r="J30" s="21">
        <f>G30*AP30</f>
        <v>0</v>
      </c>
      <c r="K30" s="21">
        <f>G30*H30</f>
        <v>0</v>
      </c>
      <c r="L30" s="21">
        <v>0.00037</v>
      </c>
      <c r="M30" s="21">
        <f>G30*L30</f>
        <v>0.015047900000000001</v>
      </c>
      <c r="N30" s="35" t="s">
        <v>365</v>
      </c>
      <c r="O30" s="39"/>
      <c r="Z30" s="41">
        <f>IF(AQ30="5",BJ30,0)</f>
        <v>0</v>
      </c>
      <c r="AB30" s="41">
        <f>IF(AQ30="1",BH30,0)</f>
        <v>0</v>
      </c>
      <c r="AC30" s="41">
        <f>IF(AQ30="1",BI30,0)</f>
        <v>0</v>
      </c>
      <c r="AD30" s="41">
        <f>IF(AQ30="7",BH30,0)</f>
        <v>0</v>
      </c>
      <c r="AE30" s="41">
        <f>IF(AQ30="7",BI30,0)</f>
        <v>0</v>
      </c>
      <c r="AF30" s="41">
        <f>IF(AQ30="2",BH30,0)</f>
        <v>0</v>
      </c>
      <c r="AG30" s="41">
        <f>IF(AQ30="2",BI30,0)</f>
        <v>0</v>
      </c>
      <c r="AH30" s="41">
        <f>IF(AQ30="0",BJ30,0)</f>
        <v>0</v>
      </c>
      <c r="AI30" s="31"/>
      <c r="AJ30" s="21">
        <f>IF(AN30=0,K30,0)</f>
        <v>0</v>
      </c>
      <c r="AK30" s="21">
        <f>IF(AN30=15,K30,0)</f>
        <v>0</v>
      </c>
      <c r="AL30" s="21">
        <f>IF(AN30=21,K30,0)</f>
        <v>0</v>
      </c>
      <c r="AN30" s="41">
        <v>15</v>
      </c>
      <c r="AO30" s="41">
        <f>H30*0.586359111688171</f>
        <v>0</v>
      </c>
      <c r="AP30" s="41">
        <f>H30*(1-0.586359111688171)</f>
        <v>0</v>
      </c>
      <c r="AQ30" s="42" t="s">
        <v>6</v>
      </c>
      <c r="AV30" s="41">
        <f>AW30+AX30</f>
        <v>0</v>
      </c>
      <c r="AW30" s="41">
        <f>G30*AO30</f>
        <v>0</v>
      </c>
      <c r="AX30" s="41">
        <f>G30*AP30</f>
        <v>0</v>
      </c>
      <c r="AY30" s="44" t="s">
        <v>381</v>
      </c>
      <c r="AZ30" s="44" t="s">
        <v>402</v>
      </c>
      <c r="BA30" s="31" t="s">
        <v>409</v>
      </c>
      <c r="BC30" s="41">
        <f>AW30+AX30</f>
        <v>0</v>
      </c>
      <c r="BD30" s="41">
        <f>H30/(100-BE30)*100</f>
        <v>0</v>
      </c>
      <c r="BE30" s="41">
        <v>0</v>
      </c>
      <c r="BF30" s="41">
        <f>M30</f>
        <v>0.015047900000000001</v>
      </c>
      <c r="BH30" s="21">
        <f>G30*AO30</f>
        <v>0</v>
      </c>
      <c r="BI30" s="21">
        <f>G30*AP30</f>
        <v>0</v>
      </c>
      <c r="BJ30" s="21">
        <f>G30*H30</f>
        <v>0</v>
      </c>
      <c r="BK30" s="21" t="s">
        <v>414</v>
      </c>
      <c r="BL30" s="41">
        <v>63</v>
      </c>
    </row>
    <row r="31" spans="1:47" ht="12.75">
      <c r="A31" s="5"/>
      <c r="B31" s="14"/>
      <c r="C31" s="14" t="s">
        <v>116</v>
      </c>
      <c r="D31" s="139" t="s">
        <v>235</v>
      </c>
      <c r="E31" s="140"/>
      <c r="F31" s="19" t="s">
        <v>5</v>
      </c>
      <c r="G31" s="19" t="s">
        <v>5</v>
      </c>
      <c r="H31" s="19" t="s">
        <v>5</v>
      </c>
      <c r="I31" s="47">
        <f>SUM(I32:I39)</f>
        <v>0</v>
      </c>
      <c r="J31" s="47">
        <f>SUM(J32:J39)</f>
        <v>0</v>
      </c>
      <c r="K31" s="47">
        <f>SUM(K32:K39)</f>
        <v>0</v>
      </c>
      <c r="L31" s="31"/>
      <c r="M31" s="47">
        <f>SUM(M32:M39)</f>
        <v>0.036019</v>
      </c>
      <c r="N31" s="36"/>
      <c r="O31" s="39"/>
      <c r="AI31" s="31"/>
      <c r="AS31" s="47">
        <f>SUM(AJ32:AJ39)</f>
        <v>0</v>
      </c>
      <c r="AT31" s="47">
        <f>SUM(AK32:AK39)</f>
        <v>0</v>
      </c>
      <c r="AU31" s="47">
        <f>SUM(AL32:AL39)</f>
        <v>0</v>
      </c>
    </row>
    <row r="32" spans="1:64" ht="12.75">
      <c r="A32" s="4" t="s">
        <v>20</v>
      </c>
      <c r="B32" s="13"/>
      <c r="C32" s="13" t="s">
        <v>117</v>
      </c>
      <c r="D32" s="137" t="s">
        <v>236</v>
      </c>
      <c r="E32" s="138"/>
      <c r="F32" s="13" t="s">
        <v>339</v>
      </c>
      <c r="G32" s="21">
        <v>4.8</v>
      </c>
      <c r="H32" s="21">
        <v>0</v>
      </c>
      <c r="I32" s="21">
        <f aca="true" t="shared" si="0" ref="I32:I39">G32*AO32</f>
        <v>0</v>
      </c>
      <c r="J32" s="21">
        <f aca="true" t="shared" si="1" ref="J32:J39">G32*AP32</f>
        <v>0</v>
      </c>
      <c r="K32" s="21">
        <f aca="true" t="shared" si="2" ref="K32:K39">G32*H32</f>
        <v>0</v>
      </c>
      <c r="L32" s="21">
        <v>0.00128</v>
      </c>
      <c r="M32" s="21">
        <f aca="true" t="shared" si="3" ref="M32:M39">G32*L32</f>
        <v>0.006144</v>
      </c>
      <c r="N32" s="35" t="s">
        <v>365</v>
      </c>
      <c r="O32" s="39"/>
      <c r="Z32" s="41">
        <f aca="true" t="shared" si="4" ref="Z32:Z39">IF(AQ32="5",BJ32,0)</f>
        <v>0</v>
      </c>
      <c r="AB32" s="41">
        <f aca="true" t="shared" si="5" ref="AB32:AB39">IF(AQ32="1",BH32,0)</f>
        <v>0</v>
      </c>
      <c r="AC32" s="41">
        <f aca="true" t="shared" si="6" ref="AC32:AC39">IF(AQ32="1",BI32,0)</f>
        <v>0</v>
      </c>
      <c r="AD32" s="41">
        <f aca="true" t="shared" si="7" ref="AD32:AD39">IF(AQ32="7",BH32,0)</f>
        <v>0</v>
      </c>
      <c r="AE32" s="41">
        <f aca="true" t="shared" si="8" ref="AE32:AE39">IF(AQ32="7",BI32,0)</f>
        <v>0</v>
      </c>
      <c r="AF32" s="41">
        <f aca="true" t="shared" si="9" ref="AF32:AF39">IF(AQ32="2",BH32,0)</f>
        <v>0</v>
      </c>
      <c r="AG32" s="41">
        <f aca="true" t="shared" si="10" ref="AG32:AG39">IF(AQ32="2",BI32,0)</f>
        <v>0</v>
      </c>
      <c r="AH32" s="41">
        <f aca="true" t="shared" si="11" ref="AH32:AH39">IF(AQ32="0",BJ32,0)</f>
        <v>0</v>
      </c>
      <c r="AI32" s="31"/>
      <c r="AJ32" s="21">
        <f aca="true" t="shared" si="12" ref="AJ32:AJ39">IF(AN32=0,K32,0)</f>
        <v>0</v>
      </c>
      <c r="AK32" s="21">
        <f aca="true" t="shared" si="13" ref="AK32:AK39">IF(AN32=15,K32,0)</f>
        <v>0</v>
      </c>
      <c r="AL32" s="21">
        <f aca="true" t="shared" si="14" ref="AL32:AL39">IF(AN32=21,K32,0)</f>
        <v>0</v>
      </c>
      <c r="AN32" s="41">
        <v>15</v>
      </c>
      <c r="AO32" s="41">
        <f>H32*0.699048970901348</f>
        <v>0</v>
      </c>
      <c r="AP32" s="41">
        <f>H32*(1-0.699048970901348)</f>
        <v>0</v>
      </c>
      <c r="AQ32" s="42" t="s">
        <v>12</v>
      </c>
      <c r="AV32" s="41">
        <f aca="true" t="shared" si="15" ref="AV32:AV39">AW32+AX32</f>
        <v>0</v>
      </c>
      <c r="AW32" s="41">
        <f aca="true" t="shared" si="16" ref="AW32:AW39">G32*AO32</f>
        <v>0</v>
      </c>
      <c r="AX32" s="41">
        <f aca="true" t="shared" si="17" ref="AX32:AX39">G32*AP32</f>
        <v>0</v>
      </c>
      <c r="AY32" s="44" t="s">
        <v>382</v>
      </c>
      <c r="AZ32" s="44" t="s">
        <v>403</v>
      </c>
      <c r="BA32" s="31" t="s">
        <v>409</v>
      </c>
      <c r="BC32" s="41">
        <f aca="true" t="shared" si="18" ref="BC32:BC39">AW32+AX32</f>
        <v>0</v>
      </c>
      <c r="BD32" s="41">
        <f aca="true" t="shared" si="19" ref="BD32:BD39">H32/(100-BE32)*100</f>
        <v>0</v>
      </c>
      <c r="BE32" s="41">
        <v>0</v>
      </c>
      <c r="BF32" s="41">
        <f aca="true" t="shared" si="20" ref="BF32:BF39">M32</f>
        <v>0.006144</v>
      </c>
      <c r="BH32" s="21">
        <f aca="true" t="shared" si="21" ref="BH32:BH39">G32*AO32</f>
        <v>0</v>
      </c>
      <c r="BI32" s="21">
        <f aca="true" t="shared" si="22" ref="BI32:BI39">G32*AP32</f>
        <v>0</v>
      </c>
      <c r="BJ32" s="21">
        <f aca="true" t="shared" si="23" ref="BJ32:BJ39">G32*H32</f>
        <v>0</v>
      </c>
      <c r="BK32" s="21" t="s">
        <v>414</v>
      </c>
      <c r="BL32" s="41">
        <v>721</v>
      </c>
    </row>
    <row r="33" spans="1:64" ht="12.75">
      <c r="A33" s="4" t="s">
        <v>21</v>
      </c>
      <c r="B33" s="13"/>
      <c r="C33" s="13" t="s">
        <v>118</v>
      </c>
      <c r="D33" s="137" t="s">
        <v>237</v>
      </c>
      <c r="E33" s="138"/>
      <c r="F33" s="13" t="s">
        <v>339</v>
      </c>
      <c r="G33" s="21">
        <v>0.9</v>
      </c>
      <c r="H33" s="21">
        <v>0</v>
      </c>
      <c r="I33" s="21">
        <f t="shared" si="0"/>
        <v>0</v>
      </c>
      <c r="J33" s="21">
        <f t="shared" si="1"/>
        <v>0</v>
      </c>
      <c r="K33" s="21">
        <f t="shared" si="2"/>
        <v>0</v>
      </c>
      <c r="L33" s="21">
        <v>0.00215</v>
      </c>
      <c r="M33" s="21">
        <f t="shared" si="3"/>
        <v>0.001935</v>
      </c>
      <c r="N33" s="35" t="s">
        <v>365</v>
      </c>
      <c r="O33" s="39"/>
      <c r="Z33" s="41">
        <f t="shared" si="4"/>
        <v>0</v>
      </c>
      <c r="AB33" s="41">
        <f t="shared" si="5"/>
        <v>0</v>
      </c>
      <c r="AC33" s="41">
        <f t="shared" si="6"/>
        <v>0</v>
      </c>
      <c r="AD33" s="41">
        <f t="shared" si="7"/>
        <v>0</v>
      </c>
      <c r="AE33" s="41">
        <f t="shared" si="8"/>
        <v>0</v>
      </c>
      <c r="AF33" s="41">
        <f t="shared" si="9"/>
        <v>0</v>
      </c>
      <c r="AG33" s="41">
        <f t="shared" si="10"/>
        <v>0</v>
      </c>
      <c r="AH33" s="41">
        <f t="shared" si="11"/>
        <v>0</v>
      </c>
      <c r="AI33" s="31"/>
      <c r="AJ33" s="21">
        <f t="shared" si="12"/>
        <v>0</v>
      </c>
      <c r="AK33" s="21">
        <f t="shared" si="13"/>
        <v>0</v>
      </c>
      <c r="AL33" s="21">
        <f t="shared" si="14"/>
        <v>0</v>
      </c>
      <c r="AN33" s="41">
        <v>15</v>
      </c>
      <c r="AO33" s="41">
        <f>H33*0.677365332571163</f>
        <v>0</v>
      </c>
      <c r="AP33" s="41">
        <f>H33*(1-0.677365332571163)</f>
        <v>0</v>
      </c>
      <c r="AQ33" s="42" t="s">
        <v>12</v>
      </c>
      <c r="AV33" s="41">
        <f t="shared" si="15"/>
        <v>0</v>
      </c>
      <c r="AW33" s="41">
        <f t="shared" si="16"/>
        <v>0</v>
      </c>
      <c r="AX33" s="41">
        <f t="shared" si="17"/>
        <v>0</v>
      </c>
      <c r="AY33" s="44" t="s">
        <v>382</v>
      </c>
      <c r="AZ33" s="44" t="s">
        <v>403</v>
      </c>
      <c r="BA33" s="31" t="s">
        <v>409</v>
      </c>
      <c r="BC33" s="41">
        <f t="shared" si="18"/>
        <v>0</v>
      </c>
      <c r="BD33" s="41">
        <f t="shared" si="19"/>
        <v>0</v>
      </c>
      <c r="BE33" s="41">
        <v>0</v>
      </c>
      <c r="BF33" s="41">
        <f t="shared" si="20"/>
        <v>0.001935</v>
      </c>
      <c r="BH33" s="21">
        <f t="shared" si="21"/>
        <v>0</v>
      </c>
      <c r="BI33" s="21">
        <f t="shared" si="22"/>
        <v>0</v>
      </c>
      <c r="BJ33" s="21">
        <f t="shared" si="23"/>
        <v>0</v>
      </c>
      <c r="BK33" s="21" t="s">
        <v>414</v>
      </c>
      <c r="BL33" s="41">
        <v>721</v>
      </c>
    </row>
    <row r="34" spans="1:64" ht="12.75">
      <c r="A34" s="4" t="s">
        <v>22</v>
      </c>
      <c r="B34" s="13"/>
      <c r="C34" s="13" t="s">
        <v>119</v>
      </c>
      <c r="D34" s="137" t="s">
        <v>238</v>
      </c>
      <c r="E34" s="138"/>
      <c r="F34" s="13" t="s">
        <v>337</v>
      </c>
      <c r="G34" s="21">
        <v>2</v>
      </c>
      <c r="H34" s="21">
        <v>0</v>
      </c>
      <c r="I34" s="21">
        <f t="shared" si="0"/>
        <v>0</v>
      </c>
      <c r="J34" s="21">
        <f t="shared" si="1"/>
        <v>0</v>
      </c>
      <c r="K34" s="21">
        <f t="shared" si="2"/>
        <v>0</v>
      </c>
      <c r="L34" s="21">
        <v>0.00074</v>
      </c>
      <c r="M34" s="21">
        <f t="shared" si="3"/>
        <v>0.00148</v>
      </c>
      <c r="N34" s="35" t="s">
        <v>365</v>
      </c>
      <c r="O34" s="39"/>
      <c r="Z34" s="41">
        <f t="shared" si="4"/>
        <v>0</v>
      </c>
      <c r="AB34" s="41">
        <f t="shared" si="5"/>
        <v>0</v>
      </c>
      <c r="AC34" s="41">
        <f t="shared" si="6"/>
        <v>0</v>
      </c>
      <c r="AD34" s="41">
        <f t="shared" si="7"/>
        <v>0</v>
      </c>
      <c r="AE34" s="41">
        <f t="shared" si="8"/>
        <v>0</v>
      </c>
      <c r="AF34" s="41">
        <f t="shared" si="9"/>
        <v>0</v>
      </c>
      <c r="AG34" s="41">
        <f t="shared" si="10"/>
        <v>0</v>
      </c>
      <c r="AH34" s="41">
        <f t="shared" si="11"/>
        <v>0</v>
      </c>
      <c r="AI34" s="31"/>
      <c r="AJ34" s="21">
        <f t="shared" si="12"/>
        <v>0</v>
      </c>
      <c r="AK34" s="21">
        <f t="shared" si="13"/>
        <v>0</v>
      </c>
      <c r="AL34" s="21">
        <f t="shared" si="14"/>
        <v>0</v>
      </c>
      <c r="AN34" s="41">
        <v>15</v>
      </c>
      <c r="AO34" s="41">
        <f>H34*0.262900158478605</f>
        <v>0</v>
      </c>
      <c r="AP34" s="41">
        <f>H34*(1-0.262900158478605)</f>
        <v>0</v>
      </c>
      <c r="AQ34" s="42" t="s">
        <v>12</v>
      </c>
      <c r="AV34" s="41">
        <f t="shared" si="15"/>
        <v>0</v>
      </c>
      <c r="AW34" s="41">
        <f t="shared" si="16"/>
        <v>0</v>
      </c>
      <c r="AX34" s="41">
        <f t="shared" si="17"/>
        <v>0</v>
      </c>
      <c r="AY34" s="44" t="s">
        <v>382</v>
      </c>
      <c r="AZ34" s="44" t="s">
        <v>403</v>
      </c>
      <c r="BA34" s="31" t="s">
        <v>409</v>
      </c>
      <c r="BC34" s="41">
        <f t="shared" si="18"/>
        <v>0</v>
      </c>
      <c r="BD34" s="41">
        <f t="shared" si="19"/>
        <v>0</v>
      </c>
      <c r="BE34" s="41">
        <v>0</v>
      </c>
      <c r="BF34" s="41">
        <f t="shared" si="20"/>
        <v>0.00148</v>
      </c>
      <c r="BH34" s="21">
        <f t="shared" si="21"/>
        <v>0</v>
      </c>
      <c r="BI34" s="21">
        <f t="shared" si="22"/>
        <v>0</v>
      </c>
      <c r="BJ34" s="21">
        <f t="shared" si="23"/>
        <v>0</v>
      </c>
      <c r="BK34" s="21" t="s">
        <v>414</v>
      </c>
      <c r="BL34" s="41">
        <v>721</v>
      </c>
    </row>
    <row r="35" spans="1:64" ht="12.75">
      <c r="A35" s="4" t="s">
        <v>23</v>
      </c>
      <c r="B35" s="13"/>
      <c r="C35" s="13" t="s">
        <v>120</v>
      </c>
      <c r="D35" s="137" t="s">
        <v>239</v>
      </c>
      <c r="E35" s="138"/>
      <c r="F35" s="13" t="s">
        <v>337</v>
      </c>
      <c r="G35" s="21">
        <v>4</v>
      </c>
      <c r="H35" s="21">
        <v>0</v>
      </c>
      <c r="I35" s="21">
        <f t="shared" si="0"/>
        <v>0</v>
      </c>
      <c r="J35" s="21">
        <f t="shared" si="1"/>
        <v>0</v>
      </c>
      <c r="K35" s="21">
        <f t="shared" si="2"/>
        <v>0</v>
      </c>
      <c r="L35" s="21">
        <v>0.00055</v>
      </c>
      <c r="M35" s="21">
        <f t="shared" si="3"/>
        <v>0.0022</v>
      </c>
      <c r="N35" s="35" t="s">
        <v>365</v>
      </c>
      <c r="O35" s="39"/>
      <c r="Z35" s="41">
        <f t="shared" si="4"/>
        <v>0</v>
      </c>
      <c r="AB35" s="41">
        <f t="shared" si="5"/>
        <v>0</v>
      </c>
      <c r="AC35" s="41">
        <f t="shared" si="6"/>
        <v>0</v>
      </c>
      <c r="AD35" s="41">
        <f t="shared" si="7"/>
        <v>0</v>
      </c>
      <c r="AE35" s="41">
        <f t="shared" si="8"/>
        <v>0</v>
      </c>
      <c r="AF35" s="41">
        <f t="shared" si="9"/>
        <v>0</v>
      </c>
      <c r="AG35" s="41">
        <f t="shared" si="10"/>
        <v>0</v>
      </c>
      <c r="AH35" s="41">
        <f t="shared" si="11"/>
        <v>0</v>
      </c>
      <c r="AI35" s="31"/>
      <c r="AJ35" s="21">
        <f t="shared" si="12"/>
        <v>0</v>
      </c>
      <c r="AK35" s="21">
        <f t="shared" si="13"/>
        <v>0</v>
      </c>
      <c r="AL35" s="21">
        <f t="shared" si="14"/>
        <v>0</v>
      </c>
      <c r="AN35" s="41">
        <v>15</v>
      </c>
      <c r="AO35" s="41">
        <f>H35*0.590001196029183</f>
        <v>0</v>
      </c>
      <c r="AP35" s="41">
        <f>H35*(1-0.590001196029183)</f>
        <v>0</v>
      </c>
      <c r="AQ35" s="42" t="s">
        <v>12</v>
      </c>
      <c r="AV35" s="41">
        <f t="shared" si="15"/>
        <v>0</v>
      </c>
      <c r="AW35" s="41">
        <f t="shared" si="16"/>
        <v>0</v>
      </c>
      <c r="AX35" s="41">
        <f t="shared" si="17"/>
        <v>0</v>
      </c>
      <c r="AY35" s="44" t="s">
        <v>382</v>
      </c>
      <c r="AZ35" s="44" t="s">
        <v>403</v>
      </c>
      <c r="BA35" s="31" t="s">
        <v>409</v>
      </c>
      <c r="BC35" s="41">
        <f t="shared" si="18"/>
        <v>0</v>
      </c>
      <c r="BD35" s="41">
        <f t="shared" si="19"/>
        <v>0</v>
      </c>
      <c r="BE35" s="41">
        <v>0</v>
      </c>
      <c r="BF35" s="41">
        <f t="shared" si="20"/>
        <v>0.0022</v>
      </c>
      <c r="BH35" s="21">
        <f t="shared" si="21"/>
        <v>0</v>
      </c>
      <c r="BI35" s="21">
        <f t="shared" si="22"/>
        <v>0</v>
      </c>
      <c r="BJ35" s="21">
        <f t="shared" si="23"/>
        <v>0</v>
      </c>
      <c r="BK35" s="21" t="s">
        <v>414</v>
      </c>
      <c r="BL35" s="41">
        <v>721</v>
      </c>
    </row>
    <row r="36" spans="1:64" ht="12.75">
      <c r="A36" s="4" t="s">
        <v>24</v>
      </c>
      <c r="B36" s="13"/>
      <c r="C36" s="13" t="s">
        <v>121</v>
      </c>
      <c r="D36" s="137" t="s">
        <v>240</v>
      </c>
      <c r="E36" s="138"/>
      <c r="F36" s="13" t="s">
        <v>337</v>
      </c>
      <c r="G36" s="21">
        <v>1</v>
      </c>
      <c r="H36" s="21">
        <v>0</v>
      </c>
      <c r="I36" s="21">
        <f t="shared" si="0"/>
        <v>0</v>
      </c>
      <c r="J36" s="21">
        <f t="shared" si="1"/>
        <v>0</v>
      </c>
      <c r="K36" s="21">
        <f t="shared" si="2"/>
        <v>0</v>
      </c>
      <c r="L36" s="21">
        <v>0.00894</v>
      </c>
      <c r="M36" s="21">
        <f t="shared" si="3"/>
        <v>0.00894</v>
      </c>
      <c r="N36" s="35" t="s">
        <v>365</v>
      </c>
      <c r="O36" s="39"/>
      <c r="Z36" s="41">
        <f t="shared" si="4"/>
        <v>0</v>
      </c>
      <c r="AB36" s="41">
        <f t="shared" si="5"/>
        <v>0</v>
      </c>
      <c r="AC36" s="41">
        <f t="shared" si="6"/>
        <v>0</v>
      </c>
      <c r="AD36" s="41">
        <f t="shared" si="7"/>
        <v>0</v>
      </c>
      <c r="AE36" s="41">
        <f t="shared" si="8"/>
        <v>0</v>
      </c>
      <c r="AF36" s="41">
        <f t="shared" si="9"/>
        <v>0</v>
      </c>
      <c r="AG36" s="41">
        <f t="shared" si="10"/>
        <v>0</v>
      </c>
      <c r="AH36" s="41">
        <f t="shared" si="11"/>
        <v>0</v>
      </c>
      <c r="AI36" s="31"/>
      <c r="AJ36" s="21">
        <f t="shared" si="12"/>
        <v>0</v>
      </c>
      <c r="AK36" s="21">
        <f t="shared" si="13"/>
        <v>0</v>
      </c>
      <c r="AL36" s="21">
        <f t="shared" si="14"/>
        <v>0</v>
      </c>
      <c r="AN36" s="41">
        <v>15</v>
      </c>
      <c r="AO36" s="41">
        <f>H36*0.453008937437934</f>
        <v>0</v>
      </c>
      <c r="AP36" s="41">
        <f>H36*(1-0.453008937437934)</f>
        <v>0</v>
      </c>
      <c r="AQ36" s="42" t="s">
        <v>12</v>
      </c>
      <c r="AV36" s="41">
        <f t="shared" si="15"/>
        <v>0</v>
      </c>
      <c r="AW36" s="41">
        <f t="shared" si="16"/>
        <v>0</v>
      </c>
      <c r="AX36" s="41">
        <f t="shared" si="17"/>
        <v>0</v>
      </c>
      <c r="AY36" s="44" t="s">
        <v>382</v>
      </c>
      <c r="AZ36" s="44" t="s">
        <v>403</v>
      </c>
      <c r="BA36" s="31" t="s">
        <v>409</v>
      </c>
      <c r="BC36" s="41">
        <f t="shared" si="18"/>
        <v>0</v>
      </c>
      <c r="BD36" s="41">
        <f t="shared" si="19"/>
        <v>0</v>
      </c>
      <c r="BE36" s="41">
        <v>0</v>
      </c>
      <c r="BF36" s="41">
        <f t="shared" si="20"/>
        <v>0.00894</v>
      </c>
      <c r="BH36" s="21">
        <f t="shared" si="21"/>
        <v>0</v>
      </c>
      <c r="BI36" s="21">
        <f t="shared" si="22"/>
        <v>0</v>
      </c>
      <c r="BJ36" s="21">
        <f t="shared" si="23"/>
        <v>0</v>
      </c>
      <c r="BK36" s="21" t="s">
        <v>414</v>
      </c>
      <c r="BL36" s="41">
        <v>721</v>
      </c>
    </row>
    <row r="37" spans="1:64" ht="12.75">
      <c r="A37" s="4" t="s">
        <v>25</v>
      </c>
      <c r="B37" s="13"/>
      <c r="C37" s="13" t="s">
        <v>122</v>
      </c>
      <c r="D37" s="137" t="s">
        <v>241</v>
      </c>
      <c r="E37" s="138"/>
      <c r="F37" s="13" t="s">
        <v>337</v>
      </c>
      <c r="G37" s="21">
        <v>1</v>
      </c>
      <c r="H37" s="21">
        <v>0</v>
      </c>
      <c r="I37" s="21">
        <f t="shared" si="0"/>
        <v>0</v>
      </c>
      <c r="J37" s="21">
        <f t="shared" si="1"/>
        <v>0</v>
      </c>
      <c r="K37" s="21">
        <f t="shared" si="2"/>
        <v>0</v>
      </c>
      <c r="L37" s="21">
        <v>0.00093</v>
      </c>
      <c r="M37" s="21">
        <f t="shared" si="3"/>
        <v>0.00093</v>
      </c>
      <c r="N37" s="35" t="s">
        <v>365</v>
      </c>
      <c r="O37" s="39"/>
      <c r="Z37" s="41">
        <f t="shared" si="4"/>
        <v>0</v>
      </c>
      <c r="AB37" s="41">
        <f t="shared" si="5"/>
        <v>0</v>
      </c>
      <c r="AC37" s="41">
        <f t="shared" si="6"/>
        <v>0</v>
      </c>
      <c r="AD37" s="41">
        <f t="shared" si="7"/>
        <v>0</v>
      </c>
      <c r="AE37" s="41">
        <f t="shared" si="8"/>
        <v>0</v>
      </c>
      <c r="AF37" s="41">
        <f t="shared" si="9"/>
        <v>0</v>
      </c>
      <c r="AG37" s="41">
        <f t="shared" si="10"/>
        <v>0</v>
      </c>
      <c r="AH37" s="41">
        <f t="shared" si="11"/>
        <v>0</v>
      </c>
      <c r="AI37" s="31"/>
      <c r="AJ37" s="21">
        <f t="shared" si="12"/>
        <v>0</v>
      </c>
      <c r="AK37" s="21">
        <f t="shared" si="13"/>
        <v>0</v>
      </c>
      <c r="AL37" s="21">
        <f t="shared" si="14"/>
        <v>0</v>
      </c>
      <c r="AN37" s="41">
        <v>15</v>
      </c>
      <c r="AO37" s="41">
        <f>H37*0.910368457980532</f>
        <v>0</v>
      </c>
      <c r="AP37" s="41">
        <f>H37*(1-0.910368457980532)</f>
        <v>0</v>
      </c>
      <c r="AQ37" s="42" t="s">
        <v>12</v>
      </c>
      <c r="AV37" s="41">
        <f t="shared" si="15"/>
        <v>0</v>
      </c>
      <c r="AW37" s="41">
        <f t="shared" si="16"/>
        <v>0</v>
      </c>
      <c r="AX37" s="41">
        <f t="shared" si="17"/>
        <v>0</v>
      </c>
      <c r="AY37" s="44" t="s">
        <v>382</v>
      </c>
      <c r="AZ37" s="44" t="s">
        <v>403</v>
      </c>
      <c r="BA37" s="31" t="s">
        <v>409</v>
      </c>
      <c r="BC37" s="41">
        <f t="shared" si="18"/>
        <v>0</v>
      </c>
      <c r="BD37" s="41">
        <f t="shared" si="19"/>
        <v>0</v>
      </c>
      <c r="BE37" s="41">
        <v>0</v>
      </c>
      <c r="BF37" s="41">
        <f t="shared" si="20"/>
        <v>0.00093</v>
      </c>
      <c r="BH37" s="21">
        <f t="shared" si="21"/>
        <v>0</v>
      </c>
      <c r="BI37" s="21">
        <f t="shared" si="22"/>
        <v>0</v>
      </c>
      <c r="BJ37" s="21">
        <f t="shared" si="23"/>
        <v>0</v>
      </c>
      <c r="BK37" s="21" t="s">
        <v>414</v>
      </c>
      <c r="BL37" s="41">
        <v>721</v>
      </c>
    </row>
    <row r="38" spans="1:64" ht="12.75">
      <c r="A38" s="4" t="s">
        <v>26</v>
      </c>
      <c r="B38" s="13"/>
      <c r="C38" s="13" t="s">
        <v>123</v>
      </c>
      <c r="D38" s="137" t="s">
        <v>242</v>
      </c>
      <c r="E38" s="138"/>
      <c r="F38" s="13" t="s">
        <v>339</v>
      </c>
      <c r="G38" s="21">
        <v>1</v>
      </c>
      <c r="H38" s="21">
        <v>0</v>
      </c>
      <c r="I38" s="21">
        <f t="shared" si="0"/>
        <v>0</v>
      </c>
      <c r="J38" s="21">
        <f t="shared" si="1"/>
        <v>0</v>
      </c>
      <c r="K38" s="21">
        <f t="shared" si="2"/>
        <v>0</v>
      </c>
      <c r="L38" s="21">
        <v>0.00263</v>
      </c>
      <c r="M38" s="21">
        <f t="shared" si="3"/>
        <v>0.00263</v>
      </c>
      <c r="N38" s="35" t="s">
        <v>365</v>
      </c>
      <c r="O38" s="39"/>
      <c r="Z38" s="41">
        <f t="shared" si="4"/>
        <v>0</v>
      </c>
      <c r="AB38" s="41">
        <f t="shared" si="5"/>
        <v>0</v>
      </c>
      <c r="AC38" s="41">
        <f t="shared" si="6"/>
        <v>0</v>
      </c>
      <c r="AD38" s="41">
        <f t="shared" si="7"/>
        <v>0</v>
      </c>
      <c r="AE38" s="41">
        <f t="shared" si="8"/>
        <v>0</v>
      </c>
      <c r="AF38" s="41">
        <f t="shared" si="9"/>
        <v>0</v>
      </c>
      <c r="AG38" s="41">
        <f t="shared" si="10"/>
        <v>0</v>
      </c>
      <c r="AH38" s="41">
        <f t="shared" si="11"/>
        <v>0</v>
      </c>
      <c r="AI38" s="31"/>
      <c r="AJ38" s="21">
        <f t="shared" si="12"/>
        <v>0</v>
      </c>
      <c r="AK38" s="21">
        <f t="shared" si="13"/>
        <v>0</v>
      </c>
      <c r="AL38" s="21">
        <f t="shared" si="14"/>
        <v>0</v>
      </c>
      <c r="AN38" s="41">
        <v>15</v>
      </c>
      <c r="AO38" s="41">
        <f>H38*0</f>
        <v>0</v>
      </c>
      <c r="AP38" s="41">
        <f>H38*(1-0)</f>
        <v>0</v>
      </c>
      <c r="AQ38" s="42" t="s">
        <v>12</v>
      </c>
      <c r="AV38" s="41">
        <f t="shared" si="15"/>
        <v>0</v>
      </c>
      <c r="AW38" s="41">
        <f t="shared" si="16"/>
        <v>0</v>
      </c>
      <c r="AX38" s="41">
        <f t="shared" si="17"/>
        <v>0</v>
      </c>
      <c r="AY38" s="44" t="s">
        <v>382</v>
      </c>
      <c r="AZ38" s="44" t="s">
        <v>403</v>
      </c>
      <c r="BA38" s="31" t="s">
        <v>409</v>
      </c>
      <c r="BC38" s="41">
        <f t="shared" si="18"/>
        <v>0</v>
      </c>
      <c r="BD38" s="41">
        <f t="shared" si="19"/>
        <v>0</v>
      </c>
      <c r="BE38" s="41">
        <v>0</v>
      </c>
      <c r="BF38" s="41">
        <f t="shared" si="20"/>
        <v>0.00263</v>
      </c>
      <c r="BH38" s="21">
        <f t="shared" si="21"/>
        <v>0</v>
      </c>
      <c r="BI38" s="21">
        <f t="shared" si="22"/>
        <v>0</v>
      </c>
      <c r="BJ38" s="21">
        <f t="shared" si="23"/>
        <v>0</v>
      </c>
      <c r="BK38" s="21" t="s">
        <v>414</v>
      </c>
      <c r="BL38" s="41">
        <v>721</v>
      </c>
    </row>
    <row r="39" spans="1:64" ht="12.75">
      <c r="A39" s="4" t="s">
        <v>27</v>
      </c>
      <c r="B39" s="13"/>
      <c r="C39" s="13" t="s">
        <v>124</v>
      </c>
      <c r="D39" s="137" t="s">
        <v>243</v>
      </c>
      <c r="E39" s="138"/>
      <c r="F39" s="13" t="s">
        <v>339</v>
      </c>
      <c r="G39" s="21">
        <v>5.6</v>
      </c>
      <c r="H39" s="21">
        <v>0</v>
      </c>
      <c r="I39" s="21">
        <f t="shared" si="0"/>
        <v>0</v>
      </c>
      <c r="J39" s="21">
        <f t="shared" si="1"/>
        <v>0</v>
      </c>
      <c r="K39" s="21">
        <f t="shared" si="2"/>
        <v>0</v>
      </c>
      <c r="L39" s="21">
        <v>0.0021</v>
      </c>
      <c r="M39" s="21">
        <f t="shared" si="3"/>
        <v>0.011759999999999998</v>
      </c>
      <c r="N39" s="35" t="s">
        <v>365</v>
      </c>
      <c r="O39" s="39"/>
      <c r="Z39" s="41">
        <f t="shared" si="4"/>
        <v>0</v>
      </c>
      <c r="AB39" s="41">
        <f t="shared" si="5"/>
        <v>0</v>
      </c>
      <c r="AC39" s="41">
        <f t="shared" si="6"/>
        <v>0</v>
      </c>
      <c r="AD39" s="41">
        <f t="shared" si="7"/>
        <v>0</v>
      </c>
      <c r="AE39" s="41">
        <f t="shared" si="8"/>
        <v>0</v>
      </c>
      <c r="AF39" s="41">
        <f t="shared" si="9"/>
        <v>0</v>
      </c>
      <c r="AG39" s="41">
        <f t="shared" si="10"/>
        <v>0</v>
      </c>
      <c r="AH39" s="41">
        <f t="shared" si="11"/>
        <v>0</v>
      </c>
      <c r="AI39" s="31"/>
      <c r="AJ39" s="21">
        <f t="shared" si="12"/>
        <v>0</v>
      </c>
      <c r="AK39" s="21">
        <f t="shared" si="13"/>
        <v>0</v>
      </c>
      <c r="AL39" s="21">
        <f t="shared" si="14"/>
        <v>0</v>
      </c>
      <c r="AN39" s="41">
        <v>15</v>
      </c>
      <c r="AO39" s="41">
        <f>H39*0</f>
        <v>0</v>
      </c>
      <c r="AP39" s="41">
        <f>H39*(1-0)</f>
        <v>0</v>
      </c>
      <c r="AQ39" s="42" t="s">
        <v>12</v>
      </c>
      <c r="AV39" s="41">
        <f t="shared" si="15"/>
        <v>0</v>
      </c>
      <c r="AW39" s="41">
        <f t="shared" si="16"/>
        <v>0</v>
      </c>
      <c r="AX39" s="41">
        <f t="shared" si="17"/>
        <v>0</v>
      </c>
      <c r="AY39" s="44" t="s">
        <v>382</v>
      </c>
      <c r="AZ39" s="44" t="s">
        <v>403</v>
      </c>
      <c r="BA39" s="31" t="s">
        <v>409</v>
      </c>
      <c r="BC39" s="41">
        <f t="shared" si="18"/>
        <v>0</v>
      </c>
      <c r="BD39" s="41">
        <f t="shared" si="19"/>
        <v>0</v>
      </c>
      <c r="BE39" s="41">
        <v>0</v>
      </c>
      <c r="BF39" s="41">
        <f t="shared" si="20"/>
        <v>0.011759999999999998</v>
      </c>
      <c r="BH39" s="21">
        <f t="shared" si="21"/>
        <v>0</v>
      </c>
      <c r="BI39" s="21">
        <f t="shared" si="22"/>
        <v>0</v>
      </c>
      <c r="BJ39" s="21">
        <f t="shared" si="23"/>
        <v>0</v>
      </c>
      <c r="BK39" s="21" t="s">
        <v>414</v>
      </c>
      <c r="BL39" s="41">
        <v>721</v>
      </c>
    </row>
    <row r="40" spans="1:47" ht="12.75">
      <c r="A40" s="5"/>
      <c r="B40" s="14"/>
      <c r="C40" s="14" t="s">
        <v>125</v>
      </c>
      <c r="D40" s="139" t="s">
        <v>244</v>
      </c>
      <c r="E40" s="140"/>
      <c r="F40" s="19" t="s">
        <v>5</v>
      </c>
      <c r="G40" s="19" t="s">
        <v>5</v>
      </c>
      <c r="H40" s="19" t="s">
        <v>5</v>
      </c>
      <c r="I40" s="47">
        <f>SUM(I41:I50)</f>
        <v>0</v>
      </c>
      <c r="J40" s="47">
        <f>SUM(J41:J50)</f>
        <v>0</v>
      </c>
      <c r="K40" s="47">
        <f>SUM(K41:K50)</f>
        <v>0</v>
      </c>
      <c r="L40" s="31"/>
      <c r="M40" s="47">
        <f>SUM(M41:M50)</f>
        <v>0.010027999999999999</v>
      </c>
      <c r="N40" s="36"/>
      <c r="O40" s="39"/>
      <c r="AI40" s="31"/>
      <c r="AS40" s="47">
        <f>SUM(AJ41:AJ50)</f>
        <v>0</v>
      </c>
      <c r="AT40" s="47">
        <f>SUM(AK41:AK50)</f>
        <v>0</v>
      </c>
      <c r="AU40" s="47">
        <f>SUM(AL41:AL50)</f>
        <v>0</v>
      </c>
    </row>
    <row r="41" spans="1:64" ht="12.75">
      <c r="A41" s="4" t="s">
        <v>28</v>
      </c>
      <c r="B41" s="13"/>
      <c r="C41" s="13" t="s">
        <v>126</v>
      </c>
      <c r="D41" s="137" t="s">
        <v>245</v>
      </c>
      <c r="E41" s="138"/>
      <c r="F41" s="13" t="s">
        <v>339</v>
      </c>
      <c r="G41" s="21">
        <v>11.2</v>
      </c>
      <c r="H41" s="21">
        <v>0</v>
      </c>
      <c r="I41" s="21">
        <f aca="true" t="shared" si="24" ref="I41:I50">G41*AO41</f>
        <v>0</v>
      </c>
      <c r="J41" s="21">
        <f aca="true" t="shared" si="25" ref="J41:J50">G41*AP41</f>
        <v>0</v>
      </c>
      <c r="K41" s="21">
        <f aca="true" t="shared" si="26" ref="K41:K50">G41*H41</f>
        <v>0</v>
      </c>
      <c r="L41" s="21">
        <v>0.00049</v>
      </c>
      <c r="M41" s="21">
        <f aca="true" t="shared" si="27" ref="M41:M50">G41*L41</f>
        <v>0.005488</v>
      </c>
      <c r="N41" s="35" t="s">
        <v>365</v>
      </c>
      <c r="O41" s="39"/>
      <c r="Z41" s="41">
        <f aca="true" t="shared" si="28" ref="Z41:Z50">IF(AQ41="5",BJ41,0)</f>
        <v>0</v>
      </c>
      <c r="AB41" s="41">
        <f aca="true" t="shared" si="29" ref="AB41:AB50">IF(AQ41="1",BH41,0)</f>
        <v>0</v>
      </c>
      <c r="AC41" s="41">
        <f aca="true" t="shared" si="30" ref="AC41:AC50">IF(AQ41="1",BI41,0)</f>
        <v>0</v>
      </c>
      <c r="AD41" s="41">
        <f aca="true" t="shared" si="31" ref="AD41:AD50">IF(AQ41="7",BH41,0)</f>
        <v>0</v>
      </c>
      <c r="AE41" s="41">
        <f aca="true" t="shared" si="32" ref="AE41:AE50">IF(AQ41="7",BI41,0)</f>
        <v>0</v>
      </c>
      <c r="AF41" s="41">
        <f aca="true" t="shared" si="33" ref="AF41:AF50">IF(AQ41="2",BH41,0)</f>
        <v>0</v>
      </c>
      <c r="AG41" s="41">
        <f aca="true" t="shared" si="34" ref="AG41:AG50">IF(AQ41="2",BI41,0)</f>
        <v>0</v>
      </c>
      <c r="AH41" s="41">
        <f aca="true" t="shared" si="35" ref="AH41:AH50">IF(AQ41="0",BJ41,0)</f>
        <v>0</v>
      </c>
      <c r="AI41" s="31"/>
      <c r="AJ41" s="21">
        <f aca="true" t="shared" si="36" ref="AJ41:AJ50">IF(AN41=0,K41,0)</f>
        <v>0</v>
      </c>
      <c r="AK41" s="21">
        <f aca="true" t="shared" si="37" ref="AK41:AK50">IF(AN41=15,K41,0)</f>
        <v>0</v>
      </c>
      <c r="AL41" s="21">
        <f aca="true" t="shared" si="38" ref="AL41:AL50">IF(AN41=21,K41,0)</f>
        <v>0</v>
      </c>
      <c r="AN41" s="41">
        <v>15</v>
      </c>
      <c r="AO41" s="41">
        <f>H41*0.219777530589544</f>
        <v>0</v>
      </c>
      <c r="AP41" s="41">
        <f>H41*(1-0.219777530589544)</f>
        <v>0</v>
      </c>
      <c r="AQ41" s="42" t="s">
        <v>12</v>
      </c>
      <c r="AV41" s="41">
        <f aca="true" t="shared" si="39" ref="AV41:AV50">AW41+AX41</f>
        <v>0</v>
      </c>
      <c r="AW41" s="41">
        <f aca="true" t="shared" si="40" ref="AW41:AW50">G41*AO41</f>
        <v>0</v>
      </c>
      <c r="AX41" s="41">
        <f aca="true" t="shared" si="41" ref="AX41:AX50">G41*AP41</f>
        <v>0</v>
      </c>
      <c r="AY41" s="44" t="s">
        <v>383</v>
      </c>
      <c r="AZ41" s="44" t="s">
        <v>403</v>
      </c>
      <c r="BA41" s="31" t="s">
        <v>409</v>
      </c>
      <c r="BC41" s="41">
        <f aca="true" t="shared" si="42" ref="BC41:BC50">AW41+AX41</f>
        <v>0</v>
      </c>
      <c r="BD41" s="41">
        <f aca="true" t="shared" si="43" ref="BD41:BD50">H41/(100-BE41)*100</f>
        <v>0</v>
      </c>
      <c r="BE41" s="41">
        <v>0</v>
      </c>
      <c r="BF41" s="41">
        <f aca="true" t="shared" si="44" ref="BF41:BF50">M41</f>
        <v>0.005488</v>
      </c>
      <c r="BH41" s="21">
        <f aca="true" t="shared" si="45" ref="BH41:BH50">G41*AO41</f>
        <v>0</v>
      </c>
      <c r="BI41" s="21">
        <f aca="true" t="shared" si="46" ref="BI41:BI50">G41*AP41</f>
        <v>0</v>
      </c>
      <c r="BJ41" s="21">
        <f aca="true" t="shared" si="47" ref="BJ41:BJ50">G41*H41</f>
        <v>0</v>
      </c>
      <c r="BK41" s="21" t="s">
        <v>414</v>
      </c>
      <c r="BL41" s="41">
        <v>722</v>
      </c>
    </row>
    <row r="42" spans="1:64" ht="12.75">
      <c r="A42" s="4" t="s">
        <v>29</v>
      </c>
      <c r="B42" s="13"/>
      <c r="C42" s="13" t="s">
        <v>127</v>
      </c>
      <c r="D42" s="137" t="s">
        <v>246</v>
      </c>
      <c r="E42" s="138"/>
      <c r="F42" s="13" t="s">
        <v>337</v>
      </c>
      <c r="G42" s="21">
        <v>4</v>
      </c>
      <c r="H42" s="21">
        <v>0</v>
      </c>
      <c r="I42" s="21">
        <f t="shared" si="24"/>
        <v>0</v>
      </c>
      <c r="J42" s="21">
        <f t="shared" si="25"/>
        <v>0</v>
      </c>
      <c r="K42" s="21">
        <f t="shared" si="26"/>
        <v>0</v>
      </c>
      <c r="L42" s="21">
        <v>0</v>
      </c>
      <c r="M42" s="21">
        <f t="shared" si="27"/>
        <v>0</v>
      </c>
      <c r="N42" s="35" t="s">
        <v>365</v>
      </c>
      <c r="O42" s="39"/>
      <c r="Z42" s="41">
        <f t="shared" si="28"/>
        <v>0</v>
      </c>
      <c r="AB42" s="41">
        <f t="shared" si="29"/>
        <v>0</v>
      </c>
      <c r="AC42" s="41">
        <f t="shared" si="30"/>
        <v>0</v>
      </c>
      <c r="AD42" s="41">
        <f t="shared" si="31"/>
        <v>0</v>
      </c>
      <c r="AE42" s="41">
        <f t="shared" si="32"/>
        <v>0</v>
      </c>
      <c r="AF42" s="41">
        <f t="shared" si="33"/>
        <v>0</v>
      </c>
      <c r="AG42" s="41">
        <f t="shared" si="34"/>
        <v>0</v>
      </c>
      <c r="AH42" s="41">
        <f t="shared" si="35"/>
        <v>0</v>
      </c>
      <c r="AI42" s="31"/>
      <c r="AJ42" s="21">
        <f t="shared" si="36"/>
        <v>0</v>
      </c>
      <c r="AK42" s="21">
        <f t="shared" si="37"/>
        <v>0</v>
      </c>
      <c r="AL42" s="21">
        <f t="shared" si="38"/>
        <v>0</v>
      </c>
      <c r="AN42" s="41">
        <v>15</v>
      </c>
      <c r="AO42" s="41">
        <f>H42*0</f>
        <v>0</v>
      </c>
      <c r="AP42" s="41">
        <f>H42*(1-0)</f>
        <v>0</v>
      </c>
      <c r="AQ42" s="42" t="s">
        <v>12</v>
      </c>
      <c r="AV42" s="41">
        <f t="shared" si="39"/>
        <v>0</v>
      </c>
      <c r="AW42" s="41">
        <f t="shared" si="40"/>
        <v>0</v>
      </c>
      <c r="AX42" s="41">
        <f t="shared" si="41"/>
        <v>0</v>
      </c>
      <c r="AY42" s="44" t="s">
        <v>383</v>
      </c>
      <c r="AZ42" s="44" t="s">
        <v>403</v>
      </c>
      <c r="BA42" s="31" t="s">
        <v>409</v>
      </c>
      <c r="BC42" s="41">
        <f t="shared" si="42"/>
        <v>0</v>
      </c>
      <c r="BD42" s="41">
        <f t="shared" si="43"/>
        <v>0</v>
      </c>
      <c r="BE42" s="41">
        <v>0</v>
      </c>
      <c r="BF42" s="41">
        <f t="shared" si="44"/>
        <v>0</v>
      </c>
      <c r="BH42" s="21">
        <f t="shared" si="45"/>
        <v>0</v>
      </c>
      <c r="BI42" s="21">
        <f t="shared" si="46"/>
        <v>0</v>
      </c>
      <c r="BJ42" s="21">
        <f t="shared" si="47"/>
        <v>0</v>
      </c>
      <c r="BK42" s="21" t="s">
        <v>414</v>
      </c>
      <c r="BL42" s="41">
        <v>722</v>
      </c>
    </row>
    <row r="43" spans="1:64" ht="12.75">
      <c r="A43" s="4" t="s">
        <v>30</v>
      </c>
      <c r="B43" s="13"/>
      <c r="C43" s="13" t="s">
        <v>128</v>
      </c>
      <c r="D43" s="137" t="s">
        <v>247</v>
      </c>
      <c r="E43" s="138"/>
      <c r="F43" s="13" t="s">
        <v>337</v>
      </c>
      <c r="G43" s="21">
        <v>2</v>
      </c>
      <c r="H43" s="21">
        <v>0</v>
      </c>
      <c r="I43" s="21">
        <f t="shared" si="24"/>
        <v>0</v>
      </c>
      <c r="J43" s="21">
        <f t="shared" si="25"/>
        <v>0</v>
      </c>
      <c r="K43" s="21">
        <f t="shared" si="26"/>
        <v>0</v>
      </c>
      <c r="L43" s="21">
        <v>0.00028</v>
      </c>
      <c r="M43" s="21">
        <f t="shared" si="27"/>
        <v>0.00056</v>
      </c>
      <c r="N43" s="35" t="s">
        <v>365</v>
      </c>
      <c r="O43" s="39"/>
      <c r="Z43" s="41">
        <f t="shared" si="28"/>
        <v>0</v>
      </c>
      <c r="AB43" s="41">
        <f t="shared" si="29"/>
        <v>0</v>
      </c>
      <c r="AC43" s="41">
        <f t="shared" si="30"/>
        <v>0</v>
      </c>
      <c r="AD43" s="41">
        <f t="shared" si="31"/>
        <v>0</v>
      </c>
      <c r="AE43" s="41">
        <f t="shared" si="32"/>
        <v>0</v>
      </c>
      <c r="AF43" s="41">
        <f t="shared" si="33"/>
        <v>0</v>
      </c>
      <c r="AG43" s="41">
        <f t="shared" si="34"/>
        <v>0</v>
      </c>
      <c r="AH43" s="41">
        <f t="shared" si="35"/>
        <v>0</v>
      </c>
      <c r="AI43" s="31"/>
      <c r="AJ43" s="21">
        <f t="shared" si="36"/>
        <v>0</v>
      </c>
      <c r="AK43" s="21">
        <f t="shared" si="37"/>
        <v>0</v>
      </c>
      <c r="AL43" s="21">
        <f t="shared" si="38"/>
        <v>0</v>
      </c>
      <c r="AN43" s="41">
        <v>15</v>
      </c>
      <c r="AO43" s="41">
        <f>H43*0.230096124832967</f>
        <v>0</v>
      </c>
      <c r="AP43" s="41">
        <f>H43*(1-0.230096124832967)</f>
        <v>0</v>
      </c>
      <c r="AQ43" s="42" t="s">
        <v>12</v>
      </c>
      <c r="AV43" s="41">
        <f t="shared" si="39"/>
        <v>0</v>
      </c>
      <c r="AW43" s="41">
        <f t="shared" si="40"/>
        <v>0</v>
      </c>
      <c r="AX43" s="41">
        <f t="shared" si="41"/>
        <v>0</v>
      </c>
      <c r="AY43" s="44" t="s">
        <v>383</v>
      </c>
      <c r="AZ43" s="44" t="s">
        <v>403</v>
      </c>
      <c r="BA43" s="31" t="s">
        <v>409</v>
      </c>
      <c r="BC43" s="41">
        <f t="shared" si="42"/>
        <v>0</v>
      </c>
      <c r="BD43" s="41">
        <f t="shared" si="43"/>
        <v>0</v>
      </c>
      <c r="BE43" s="41">
        <v>0</v>
      </c>
      <c r="BF43" s="41">
        <f t="shared" si="44"/>
        <v>0.00056</v>
      </c>
      <c r="BH43" s="21">
        <f t="shared" si="45"/>
        <v>0</v>
      </c>
      <c r="BI43" s="21">
        <f t="shared" si="46"/>
        <v>0</v>
      </c>
      <c r="BJ43" s="21">
        <f t="shared" si="47"/>
        <v>0</v>
      </c>
      <c r="BK43" s="21" t="s">
        <v>414</v>
      </c>
      <c r="BL43" s="41">
        <v>722</v>
      </c>
    </row>
    <row r="44" spans="1:64" ht="12.75">
      <c r="A44" s="4" t="s">
        <v>31</v>
      </c>
      <c r="B44" s="13"/>
      <c r="C44" s="13" t="s">
        <v>129</v>
      </c>
      <c r="D44" s="137" t="s">
        <v>248</v>
      </c>
      <c r="E44" s="138"/>
      <c r="F44" s="13" t="s">
        <v>337</v>
      </c>
      <c r="G44" s="21">
        <v>2</v>
      </c>
      <c r="H44" s="21">
        <v>0</v>
      </c>
      <c r="I44" s="21">
        <f t="shared" si="24"/>
        <v>0</v>
      </c>
      <c r="J44" s="21">
        <f t="shared" si="25"/>
        <v>0</v>
      </c>
      <c r="K44" s="21">
        <f t="shared" si="26"/>
        <v>0</v>
      </c>
      <c r="L44" s="21">
        <v>0</v>
      </c>
      <c r="M44" s="21">
        <f t="shared" si="27"/>
        <v>0</v>
      </c>
      <c r="N44" s="35" t="s">
        <v>365</v>
      </c>
      <c r="O44" s="39"/>
      <c r="Z44" s="41">
        <f t="shared" si="28"/>
        <v>0</v>
      </c>
      <c r="AB44" s="41">
        <f t="shared" si="29"/>
        <v>0</v>
      </c>
      <c r="AC44" s="41">
        <f t="shared" si="30"/>
        <v>0</v>
      </c>
      <c r="AD44" s="41">
        <f t="shared" si="31"/>
        <v>0</v>
      </c>
      <c r="AE44" s="41">
        <f t="shared" si="32"/>
        <v>0</v>
      </c>
      <c r="AF44" s="41">
        <f t="shared" si="33"/>
        <v>0</v>
      </c>
      <c r="AG44" s="41">
        <f t="shared" si="34"/>
        <v>0</v>
      </c>
      <c r="AH44" s="41">
        <f t="shared" si="35"/>
        <v>0</v>
      </c>
      <c r="AI44" s="31"/>
      <c r="AJ44" s="21">
        <f t="shared" si="36"/>
        <v>0</v>
      </c>
      <c r="AK44" s="21">
        <f t="shared" si="37"/>
        <v>0</v>
      </c>
      <c r="AL44" s="21">
        <f t="shared" si="38"/>
        <v>0</v>
      </c>
      <c r="AN44" s="41">
        <v>15</v>
      </c>
      <c r="AO44" s="41">
        <f>H44*0</f>
        <v>0</v>
      </c>
      <c r="AP44" s="41">
        <f>H44*(1-0)</f>
        <v>0</v>
      </c>
      <c r="AQ44" s="42" t="s">
        <v>12</v>
      </c>
      <c r="AV44" s="41">
        <f t="shared" si="39"/>
        <v>0</v>
      </c>
      <c r="AW44" s="41">
        <f t="shared" si="40"/>
        <v>0</v>
      </c>
      <c r="AX44" s="41">
        <f t="shared" si="41"/>
        <v>0</v>
      </c>
      <c r="AY44" s="44" t="s">
        <v>383</v>
      </c>
      <c r="AZ44" s="44" t="s">
        <v>403</v>
      </c>
      <c r="BA44" s="31" t="s">
        <v>409</v>
      </c>
      <c r="BC44" s="41">
        <f t="shared" si="42"/>
        <v>0</v>
      </c>
      <c r="BD44" s="41">
        <f t="shared" si="43"/>
        <v>0</v>
      </c>
      <c r="BE44" s="41">
        <v>0</v>
      </c>
      <c r="BF44" s="41">
        <f t="shared" si="44"/>
        <v>0</v>
      </c>
      <c r="BH44" s="21">
        <f t="shared" si="45"/>
        <v>0</v>
      </c>
      <c r="BI44" s="21">
        <f t="shared" si="46"/>
        <v>0</v>
      </c>
      <c r="BJ44" s="21">
        <f t="shared" si="47"/>
        <v>0</v>
      </c>
      <c r="BK44" s="21" t="s">
        <v>414</v>
      </c>
      <c r="BL44" s="41">
        <v>722</v>
      </c>
    </row>
    <row r="45" spans="1:64" ht="12.75">
      <c r="A45" s="4" t="s">
        <v>32</v>
      </c>
      <c r="B45" s="13"/>
      <c r="C45" s="13" t="s">
        <v>130</v>
      </c>
      <c r="D45" s="137" t="s">
        <v>249</v>
      </c>
      <c r="E45" s="138"/>
      <c r="F45" s="13" t="s">
        <v>337</v>
      </c>
      <c r="G45" s="21">
        <v>2</v>
      </c>
      <c r="H45" s="21">
        <v>0</v>
      </c>
      <c r="I45" s="21">
        <f t="shared" si="24"/>
        <v>0</v>
      </c>
      <c r="J45" s="21">
        <f t="shared" si="25"/>
        <v>0</v>
      </c>
      <c r="K45" s="21">
        <f t="shared" si="26"/>
        <v>0</v>
      </c>
      <c r="L45" s="21">
        <v>2E-05</v>
      </c>
      <c r="M45" s="21">
        <f t="shared" si="27"/>
        <v>4E-05</v>
      </c>
      <c r="N45" s="35" t="s">
        <v>365</v>
      </c>
      <c r="O45" s="39"/>
      <c r="Z45" s="41">
        <f t="shared" si="28"/>
        <v>0</v>
      </c>
      <c r="AB45" s="41">
        <f t="shared" si="29"/>
        <v>0</v>
      </c>
      <c r="AC45" s="41">
        <f t="shared" si="30"/>
        <v>0</v>
      </c>
      <c r="AD45" s="41">
        <f t="shared" si="31"/>
        <v>0</v>
      </c>
      <c r="AE45" s="41">
        <f t="shared" si="32"/>
        <v>0</v>
      </c>
      <c r="AF45" s="41">
        <f t="shared" si="33"/>
        <v>0</v>
      </c>
      <c r="AG45" s="41">
        <f t="shared" si="34"/>
        <v>0</v>
      </c>
      <c r="AH45" s="41">
        <f t="shared" si="35"/>
        <v>0</v>
      </c>
      <c r="AI45" s="31"/>
      <c r="AJ45" s="21">
        <f t="shared" si="36"/>
        <v>0</v>
      </c>
      <c r="AK45" s="21">
        <f t="shared" si="37"/>
        <v>0</v>
      </c>
      <c r="AL45" s="21">
        <f t="shared" si="38"/>
        <v>0</v>
      </c>
      <c r="AN45" s="41">
        <v>15</v>
      </c>
      <c r="AO45" s="41">
        <f>H45*0.0686315789473684</f>
        <v>0</v>
      </c>
      <c r="AP45" s="41">
        <f>H45*(1-0.0686315789473684)</f>
        <v>0</v>
      </c>
      <c r="AQ45" s="42" t="s">
        <v>12</v>
      </c>
      <c r="AV45" s="41">
        <f t="shared" si="39"/>
        <v>0</v>
      </c>
      <c r="AW45" s="41">
        <f t="shared" si="40"/>
        <v>0</v>
      </c>
      <c r="AX45" s="41">
        <f t="shared" si="41"/>
        <v>0</v>
      </c>
      <c r="AY45" s="44" t="s">
        <v>383</v>
      </c>
      <c r="AZ45" s="44" t="s">
        <v>403</v>
      </c>
      <c r="BA45" s="31" t="s">
        <v>409</v>
      </c>
      <c r="BC45" s="41">
        <f t="shared" si="42"/>
        <v>0</v>
      </c>
      <c r="BD45" s="41">
        <f t="shared" si="43"/>
        <v>0</v>
      </c>
      <c r="BE45" s="41">
        <v>0</v>
      </c>
      <c r="BF45" s="41">
        <f t="shared" si="44"/>
        <v>4E-05</v>
      </c>
      <c r="BH45" s="21">
        <f t="shared" si="45"/>
        <v>0</v>
      </c>
      <c r="BI45" s="21">
        <f t="shared" si="46"/>
        <v>0</v>
      </c>
      <c r="BJ45" s="21">
        <f t="shared" si="47"/>
        <v>0</v>
      </c>
      <c r="BK45" s="21" t="s">
        <v>414</v>
      </c>
      <c r="BL45" s="41">
        <v>722</v>
      </c>
    </row>
    <row r="46" spans="1:64" ht="12.75">
      <c r="A46" s="4" t="s">
        <v>33</v>
      </c>
      <c r="B46" s="13"/>
      <c r="C46" s="13" t="s">
        <v>131</v>
      </c>
      <c r="D46" s="137" t="s">
        <v>250</v>
      </c>
      <c r="E46" s="138"/>
      <c r="F46" s="13" t="s">
        <v>339</v>
      </c>
      <c r="G46" s="21">
        <v>11.2</v>
      </c>
      <c r="H46" s="21">
        <v>0</v>
      </c>
      <c r="I46" s="21">
        <f t="shared" si="24"/>
        <v>0</v>
      </c>
      <c r="J46" s="21">
        <f t="shared" si="25"/>
        <v>0</v>
      </c>
      <c r="K46" s="21">
        <f t="shared" si="26"/>
        <v>0</v>
      </c>
      <c r="L46" s="21">
        <v>1E-05</v>
      </c>
      <c r="M46" s="21">
        <f t="shared" si="27"/>
        <v>0.000112</v>
      </c>
      <c r="N46" s="35" t="s">
        <v>365</v>
      </c>
      <c r="O46" s="39"/>
      <c r="Z46" s="41">
        <f t="shared" si="28"/>
        <v>0</v>
      </c>
      <c r="AB46" s="41">
        <f t="shared" si="29"/>
        <v>0</v>
      </c>
      <c r="AC46" s="41">
        <f t="shared" si="30"/>
        <v>0</v>
      </c>
      <c r="AD46" s="41">
        <f t="shared" si="31"/>
        <v>0</v>
      </c>
      <c r="AE46" s="41">
        <f t="shared" si="32"/>
        <v>0</v>
      </c>
      <c r="AF46" s="41">
        <f t="shared" si="33"/>
        <v>0</v>
      </c>
      <c r="AG46" s="41">
        <f t="shared" si="34"/>
        <v>0</v>
      </c>
      <c r="AH46" s="41">
        <f t="shared" si="35"/>
        <v>0</v>
      </c>
      <c r="AI46" s="31"/>
      <c r="AJ46" s="21">
        <f t="shared" si="36"/>
        <v>0</v>
      </c>
      <c r="AK46" s="21">
        <f t="shared" si="37"/>
        <v>0</v>
      </c>
      <c r="AL46" s="21">
        <f t="shared" si="38"/>
        <v>0</v>
      </c>
      <c r="AN46" s="41">
        <v>15</v>
      </c>
      <c r="AO46" s="41">
        <f>H46*0.179679850895922</f>
        <v>0</v>
      </c>
      <c r="AP46" s="41">
        <f>H46*(1-0.179679850895922)</f>
        <v>0</v>
      </c>
      <c r="AQ46" s="42" t="s">
        <v>12</v>
      </c>
      <c r="AV46" s="41">
        <f t="shared" si="39"/>
        <v>0</v>
      </c>
      <c r="AW46" s="41">
        <f t="shared" si="40"/>
        <v>0</v>
      </c>
      <c r="AX46" s="41">
        <f t="shared" si="41"/>
        <v>0</v>
      </c>
      <c r="AY46" s="44" t="s">
        <v>383</v>
      </c>
      <c r="AZ46" s="44" t="s">
        <v>403</v>
      </c>
      <c r="BA46" s="31" t="s">
        <v>409</v>
      </c>
      <c r="BC46" s="41">
        <f t="shared" si="42"/>
        <v>0</v>
      </c>
      <c r="BD46" s="41">
        <f t="shared" si="43"/>
        <v>0</v>
      </c>
      <c r="BE46" s="41">
        <v>0</v>
      </c>
      <c r="BF46" s="41">
        <f t="shared" si="44"/>
        <v>0.000112</v>
      </c>
      <c r="BH46" s="21">
        <f t="shared" si="45"/>
        <v>0</v>
      </c>
      <c r="BI46" s="21">
        <f t="shared" si="46"/>
        <v>0</v>
      </c>
      <c r="BJ46" s="21">
        <f t="shared" si="47"/>
        <v>0</v>
      </c>
      <c r="BK46" s="21" t="s">
        <v>414</v>
      </c>
      <c r="BL46" s="41">
        <v>722</v>
      </c>
    </row>
    <row r="47" spans="1:64" ht="12.75">
      <c r="A47" s="4" t="s">
        <v>34</v>
      </c>
      <c r="B47" s="13"/>
      <c r="C47" s="13" t="s">
        <v>132</v>
      </c>
      <c r="D47" s="137" t="s">
        <v>251</v>
      </c>
      <c r="E47" s="138"/>
      <c r="F47" s="13" t="s">
        <v>337</v>
      </c>
      <c r="G47" s="21">
        <v>5</v>
      </c>
      <c r="H47" s="21">
        <v>0</v>
      </c>
      <c r="I47" s="21">
        <f t="shared" si="24"/>
        <v>0</v>
      </c>
      <c r="J47" s="21">
        <f t="shared" si="25"/>
        <v>0</v>
      </c>
      <c r="K47" s="21">
        <f t="shared" si="26"/>
        <v>0</v>
      </c>
      <c r="L47" s="21">
        <v>0.00018</v>
      </c>
      <c r="M47" s="21">
        <f t="shared" si="27"/>
        <v>0.0009000000000000001</v>
      </c>
      <c r="N47" s="35" t="s">
        <v>365</v>
      </c>
      <c r="O47" s="39"/>
      <c r="Z47" s="41">
        <f t="shared" si="28"/>
        <v>0</v>
      </c>
      <c r="AB47" s="41">
        <f t="shared" si="29"/>
        <v>0</v>
      </c>
      <c r="AC47" s="41">
        <f t="shared" si="30"/>
        <v>0</v>
      </c>
      <c r="AD47" s="41">
        <f t="shared" si="31"/>
        <v>0</v>
      </c>
      <c r="AE47" s="41">
        <f t="shared" si="32"/>
        <v>0</v>
      </c>
      <c r="AF47" s="41">
        <f t="shared" si="33"/>
        <v>0</v>
      </c>
      <c r="AG47" s="41">
        <f t="shared" si="34"/>
        <v>0</v>
      </c>
      <c r="AH47" s="41">
        <f t="shared" si="35"/>
        <v>0</v>
      </c>
      <c r="AI47" s="31"/>
      <c r="AJ47" s="21">
        <f t="shared" si="36"/>
        <v>0</v>
      </c>
      <c r="AK47" s="21">
        <f t="shared" si="37"/>
        <v>0</v>
      </c>
      <c r="AL47" s="21">
        <f t="shared" si="38"/>
        <v>0</v>
      </c>
      <c r="AN47" s="41">
        <v>15</v>
      </c>
      <c r="AO47" s="41">
        <f>H47*0.393879518072289</f>
        <v>0</v>
      </c>
      <c r="AP47" s="41">
        <f>H47*(1-0.393879518072289)</f>
        <v>0</v>
      </c>
      <c r="AQ47" s="42" t="s">
        <v>12</v>
      </c>
      <c r="AV47" s="41">
        <f t="shared" si="39"/>
        <v>0</v>
      </c>
      <c r="AW47" s="41">
        <f t="shared" si="40"/>
        <v>0</v>
      </c>
      <c r="AX47" s="41">
        <f t="shared" si="41"/>
        <v>0</v>
      </c>
      <c r="AY47" s="44" t="s">
        <v>383</v>
      </c>
      <c r="AZ47" s="44" t="s">
        <v>403</v>
      </c>
      <c r="BA47" s="31" t="s">
        <v>409</v>
      </c>
      <c r="BC47" s="41">
        <f t="shared" si="42"/>
        <v>0</v>
      </c>
      <c r="BD47" s="41">
        <f t="shared" si="43"/>
        <v>0</v>
      </c>
      <c r="BE47" s="41">
        <v>0</v>
      </c>
      <c r="BF47" s="41">
        <f t="shared" si="44"/>
        <v>0.0009000000000000001</v>
      </c>
      <c r="BH47" s="21">
        <f t="shared" si="45"/>
        <v>0</v>
      </c>
      <c r="BI47" s="21">
        <f t="shared" si="46"/>
        <v>0</v>
      </c>
      <c r="BJ47" s="21">
        <f t="shared" si="47"/>
        <v>0</v>
      </c>
      <c r="BK47" s="21" t="s">
        <v>414</v>
      </c>
      <c r="BL47" s="41">
        <v>722</v>
      </c>
    </row>
    <row r="48" spans="1:64" ht="12.75">
      <c r="A48" s="4" t="s">
        <v>35</v>
      </c>
      <c r="B48" s="13"/>
      <c r="C48" s="13" t="s">
        <v>133</v>
      </c>
      <c r="D48" s="137" t="s">
        <v>252</v>
      </c>
      <c r="E48" s="138"/>
      <c r="F48" s="13" t="s">
        <v>337</v>
      </c>
      <c r="G48" s="21">
        <v>2</v>
      </c>
      <c r="H48" s="21">
        <v>0</v>
      </c>
      <c r="I48" s="21">
        <f t="shared" si="24"/>
        <v>0</v>
      </c>
      <c r="J48" s="21">
        <f t="shared" si="25"/>
        <v>0</v>
      </c>
      <c r="K48" s="21">
        <f t="shared" si="26"/>
        <v>0</v>
      </c>
      <c r="L48" s="21">
        <v>0.00012</v>
      </c>
      <c r="M48" s="21">
        <f t="shared" si="27"/>
        <v>0.00024</v>
      </c>
      <c r="N48" s="35" t="s">
        <v>365</v>
      </c>
      <c r="O48" s="39"/>
      <c r="Z48" s="41">
        <f t="shared" si="28"/>
        <v>0</v>
      </c>
      <c r="AB48" s="41">
        <f t="shared" si="29"/>
        <v>0</v>
      </c>
      <c r="AC48" s="41">
        <f t="shared" si="30"/>
        <v>0</v>
      </c>
      <c r="AD48" s="41">
        <f t="shared" si="31"/>
        <v>0</v>
      </c>
      <c r="AE48" s="41">
        <f t="shared" si="32"/>
        <v>0</v>
      </c>
      <c r="AF48" s="41">
        <f t="shared" si="33"/>
        <v>0</v>
      </c>
      <c r="AG48" s="41">
        <f t="shared" si="34"/>
        <v>0</v>
      </c>
      <c r="AH48" s="41">
        <f t="shared" si="35"/>
        <v>0</v>
      </c>
      <c r="AI48" s="31"/>
      <c r="AJ48" s="21">
        <f t="shared" si="36"/>
        <v>0</v>
      </c>
      <c r="AK48" s="21">
        <f t="shared" si="37"/>
        <v>0</v>
      </c>
      <c r="AL48" s="21">
        <f t="shared" si="38"/>
        <v>0</v>
      </c>
      <c r="AN48" s="41">
        <v>15</v>
      </c>
      <c r="AO48" s="41">
        <f>H48*0.700029585798817</f>
        <v>0</v>
      </c>
      <c r="AP48" s="41">
        <f>H48*(1-0.700029585798817)</f>
        <v>0</v>
      </c>
      <c r="AQ48" s="42" t="s">
        <v>12</v>
      </c>
      <c r="AV48" s="41">
        <f t="shared" si="39"/>
        <v>0</v>
      </c>
      <c r="AW48" s="41">
        <f t="shared" si="40"/>
        <v>0</v>
      </c>
      <c r="AX48" s="41">
        <f t="shared" si="41"/>
        <v>0</v>
      </c>
      <c r="AY48" s="44" t="s">
        <v>383</v>
      </c>
      <c r="AZ48" s="44" t="s">
        <v>403</v>
      </c>
      <c r="BA48" s="31" t="s">
        <v>409</v>
      </c>
      <c r="BC48" s="41">
        <f t="shared" si="42"/>
        <v>0</v>
      </c>
      <c r="BD48" s="41">
        <f t="shared" si="43"/>
        <v>0</v>
      </c>
      <c r="BE48" s="41">
        <v>0</v>
      </c>
      <c r="BF48" s="41">
        <f t="shared" si="44"/>
        <v>0.00024</v>
      </c>
      <c r="BH48" s="21">
        <f t="shared" si="45"/>
        <v>0</v>
      </c>
      <c r="BI48" s="21">
        <f t="shared" si="46"/>
        <v>0</v>
      </c>
      <c r="BJ48" s="21">
        <f t="shared" si="47"/>
        <v>0</v>
      </c>
      <c r="BK48" s="21" t="s">
        <v>414</v>
      </c>
      <c r="BL48" s="41">
        <v>722</v>
      </c>
    </row>
    <row r="49" spans="1:64" ht="12.75">
      <c r="A49" s="4" t="s">
        <v>36</v>
      </c>
      <c r="B49" s="13"/>
      <c r="C49" s="13" t="s">
        <v>134</v>
      </c>
      <c r="D49" s="137" t="s">
        <v>253</v>
      </c>
      <c r="E49" s="138"/>
      <c r="F49" s="13" t="s">
        <v>339</v>
      </c>
      <c r="G49" s="21">
        <v>11.2</v>
      </c>
      <c r="H49" s="21">
        <v>0</v>
      </c>
      <c r="I49" s="21">
        <f t="shared" si="24"/>
        <v>0</v>
      </c>
      <c r="J49" s="21">
        <f t="shared" si="25"/>
        <v>0</v>
      </c>
      <c r="K49" s="21">
        <f t="shared" si="26"/>
        <v>0</v>
      </c>
      <c r="L49" s="21">
        <v>1E-05</v>
      </c>
      <c r="M49" s="21">
        <f t="shared" si="27"/>
        <v>0.000112</v>
      </c>
      <c r="N49" s="35" t="s">
        <v>365</v>
      </c>
      <c r="O49" s="39"/>
      <c r="Z49" s="41">
        <f t="shared" si="28"/>
        <v>0</v>
      </c>
      <c r="AB49" s="41">
        <f t="shared" si="29"/>
        <v>0</v>
      </c>
      <c r="AC49" s="41">
        <f t="shared" si="30"/>
        <v>0</v>
      </c>
      <c r="AD49" s="41">
        <f t="shared" si="31"/>
        <v>0</v>
      </c>
      <c r="AE49" s="41">
        <f t="shared" si="32"/>
        <v>0</v>
      </c>
      <c r="AF49" s="41">
        <f t="shared" si="33"/>
        <v>0</v>
      </c>
      <c r="AG49" s="41">
        <f t="shared" si="34"/>
        <v>0</v>
      </c>
      <c r="AH49" s="41">
        <f t="shared" si="35"/>
        <v>0</v>
      </c>
      <c r="AI49" s="31"/>
      <c r="AJ49" s="21">
        <f t="shared" si="36"/>
        <v>0</v>
      </c>
      <c r="AK49" s="21">
        <f t="shared" si="37"/>
        <v>0</v>
      </c>
      <c r="AL49" s="21">
        <f t="shared" si="38"/>
        <v>0</v>
      </c>
      <c r="AN49" s="41">
        <v>15</v>
      </c>
      <c r="AO49" s="41">
        <f>H49*0.0515151515151515</f>
        <v>0</v>
      </c>
      <c r="AP49" s="41">
        <f>H49*(1-0.0515151515151515)</f>
        <v>0</v>
      </c>
      <c r="AQ49" s="42" t="s">
        <v>12</v>
      </c>
      <c r="AV49" s="41">
        <f t="shared" si="39"/>
        <v>0</v>
      </c>
      <c r="AW49" s="41">
        <f t="shared" si="40"/>
        <v>0</v>
      </c>
      <c r="AX49" s="41">
        <f t="shared" si="41"/>
        <v>0</v>
      </c>
      <c r="AY49" s="44" t="s">
        <v>383</v>
      </c>
      <c r="AZ49" s="44" t="s">
        <v>403</v>
      </c>
      <c r="BA49" s="31" t="s">
        <v>409</v>
      </c>
      <c r="BC49" s="41">
        <f t="shared" si="42"/>
        <v>0</v>
      </c>
      <c r="BD49" s="41">
        <f t="shared" si="43"/>
        <v>0</v>
      </c>
      <c r="BE49" s="41">
        <v>0</v>
      </c>
      <c r="BF49" s="41">
        <f t="shared" si="44"/>
        <v>0.000112</v>
      </c>
      <c r="BH49" s="21">
        <f t="shared" si="45"/>
        <v>0</v>
      </c>
      <c r="BI49" s="21">
        <f t="shared" si="46"/>
        <v>0</v>
      </c>
      <c r="BJ49" s="21">
        <f t="shared" si="47"/>
        <v>0</v>
      </c>
      <c r="BK49" s="21" t="s">
        <v>414</v>
      </c>
      <c r="BL49" s="41">
        <v>722</v>
      </c>
    </row>
    <row r="50" spans="1:64" ht="12.75">
      <c r="A50" s="4" t="s">
        <v>37</v>
      </c>
      <c r="B50" s="13"/>
      <c r="C50" s="13" t="s">
        <v>135</v>
      </c>
      <c r="D50" s="137" t="s">
        <v>254</v>
      </c>
      <c r="E50" s="138"/>
      <c r="F50" s="13" t="s">
        <v>339</v>
      </c>
      <c r="G50" s="21">
        <v>9.2</v>
      </c>
      <c r="H50" s="21">
        <v>0</v>
      </c>
      <c r="I50" s="21">
        <f t="shared" si="24"/>
        <v>0</v>
      </c>
      <c r="J50" s="21">
        <f t="shared" si="25"/>
        <v>0</v>
      </c>
      <c r="K50" s="21">
        <f t="shared" si="26"/>
        <v>0</v>
      </c>
      <c r="L50" s="21">
        <v>0.00028</v>
      </c>
      <c r="M50" s="21">
        <f t="shared" si="27"/>
        <v>0.0025759999999999997</v>
      </c>
      <c r="N50" s="35" t="s">
        <v>365</v>
      </c>
      <c r="O50" s="39"/>
      <c r="Z50" s="41">
        <f t="shared" si="28"/>
        <v>0</v>
      </c>
      <c r="AB50" s="41">
        <f t="shared" si="29"/>
        <v>0</v>
      </c>
      <c r="AC50" s="41">
        <f t="shared" si="30"/>
        <v>0</v>
      </c>
      <c r="AD50" s="41">
        <f t="shared" si="31"/>
        <v>0</v>
      </c>
      <c r="AE50" s="41">
        <f t="shared" si="32"/>
        <v>0</v>
      </c>
      <c r="AF50" s="41">
        <f t="shared" si="33"/>
        <v>0</v>
      </c>
      <c r="AG50" s="41">
        <f t="shared" si="34"/>
        <v>0</v>
      </c>
      <c r="AH50" s="41">
        <f t="shared" si="35"/>
        <v>0</v>
      </c>
      <c r="AI50" s="31"/>
      <c r="AJ50" s="21">
        <f t="shared" si="36"/>
        <v>0</v>
      </c>
      <c r="AK50" s="21">
        <f t="shared" si="37"/>
        <v>0</v>
      </c>
      <c r="AL50" s="21">
        <f t="shared" si="38"/>
        <v>0</v>
      </c>
      <c r="AN50" s="41">
        <v>15</v>
      </c>
      <c r="AO50" s="41">
        <f>H50*0</f>
        <v>0</v>
      </c>
      <c r="AP50" s="41">
        <f>H50*(1-0)</f>
        <v>0</v>
      </c>
      <c r="AQ50" s="42" t="s">
        <v>12</v>
      </c>
      <c r="AV50" s="41">
        <f t="shared" si="39"/>
        <v>0</v>
      </c>
      <c r="AW50" s="41">
        <f t="shared" si="40"/>
        <v>0</v>
      </c>
      <c r="AX50" s="41">
        <f t="shared" si="41"/>
        <v>0</v>
      </c>
      <c r="AY50" s="44" t="s">
        <v>383</v>
      </c>
      <c r="AZ50" s="44" t="s">
        <v>403</v>
      </c>
      <c r="BA50" s="31" t="s">
        <v>409</v>
      </c>
      <c r="BC50" s="41">
        <f t="shared" si="42"/>
        <v>0</v>
      </c>
      <c r="BD50" s="41">
        <f t="shared" si="43"/>
        <v>0</v>
      </c>
      <c r="BE50" s="41">
        <v>0</v>
      </c>
      <c r="BF50" s="41">
        <f t="shared" si="44"/>
        <v>0.0025759999999999997</v>
      </c>
      <c r="BH50" s="21">
        <f t="shared" si="45"/>
        <v>0</v>
      </c>
      <c r="BI50" s="21">
        <f t="shared" si="46"/>
        <v>0</v>
      </c>
      <c r="BJ50" s="21">
        <f t="shared" si="47"/>
        <v>0</v>
      </c>
      <c r="BK50" s="21" t="s">
        <v>414</v>
      </c>
      <c r="BL50" s="41">
        <v>722</v>
      </c>
    </row>
    <row r="51" spans="1:47" ht="12.75">
      <c r="A51" s="5"/>
      <c r="B51" s="14"/>
      <c r="C51" s="14" t="s">
        <v>136</v>
      </c>
      <c r="D51" s="139" t="s">
        <v>255</v>
      </c>
      <c r="E51" s="140"/>
      <c r="F51" s="19" t="s">
        <v>5</v>
      </c>
      <c r="G51" s="19" t="s">
        <v>5</v>
      </c>
      <c r="H51" s="19" t="s">
        <v>5</v>
      </c>
      <c r="I51" s="47">
        <f>SUM(I52:I59)</f>
        <v>0</v>
      </c>
      <c r="J51" s="47">
        <f>SUM(J52:J59)</f>
        <v>0</v>
      </c>
      <c r="K51" s="47">
        <f>SUM(K52:K59)</f>
        <v>0</v>
      </c>
      <c r="L51" s="31"/>
      <c r="M51" s="47">
        <f>SUM(M52:M59)</f>
        <v>0.044669999999999994</v>
      </c>
      <c r="N51" s="36"/>
      <c r="O51" s="39"/>
      <c r="AI51" s="31"/>
      <c r="AS51" s="47">
        <f>SUM(AJ52:AJ59)</f>
        <v>0</v>
      </c>
      <c r="AT51" s="47">
        <f>SUM(AK52:AK59)</f>
        <v>0</v>
      </c>
      <c r="AU51" s="47">
        <f>SUM(AL52:AL59)</f>
        <v>0</v>
      </c>
    </row>
    <row r="52" spans="1:64" ht="12.75">
      <c r="A52" s="4" t="s">
        <v>38</v>
      </c>
      <c r="B52" s="13"/>
      <c r="C52" s="13" t="s">
        <v>137</v>
      </c>
      <c r="D52" s="137" t="s">
        <v>256</v>
      </c>
      <c r="E52" s="138"/>
      <c r="F52" s="13" t="s">
        <v>340</v>
      </c>
      <c r="G52" s="21">
        <v>1</v>
      </c>
      <c r="H52" s="21">
        <v>0</v>
      </c>
      <c r="I52" s="21">
        <f aca="true" t="shared" si="48" ref="I52:I59">G52*AO52</f>
        <v>0</v>
      </c>
      <c r="J52" s="21">
        <f aca="true" t="shared" si="49" ref="J52:J59">G52*AP52</f>
        <v>0</v>
      </c>
      <c r="K52" s="21">
        <f aca="true" t="shared" si="50" ref="K52:K59">G52*H52</f>
        <v>0</v>
      </c>
      <c r="L52" s="21">
        <v>0.01933</v>
      </c>
      <c r="M52" s="21">
        <f aca="true" t="shared" si="51" ref="M52:M59">G52*L52</f>
        <v>0.01933</v>
      </c>
      <c r="N52" s="35" t="s">
        <v>365</v>
      </c>
      <c r="O52" s="39"/>
      <c r="Z52" s="41">
        <f aca="true" t="shared" si="52" ref="Z52:Z59">IF(AQ52="5",BJ52,0)</f>
        <v>0</v>
      </c>
      <c r="AB52" s="41">
        <f aca="true" t="shared" si="53" ref="AB52:AB59">IF(AQ52="1",BH52,0)</f>
        <v>0</v>
      </c>
      <c r="AC52" s="41">
        <f aca="true" t="shared" si="54" ref="AC52:AC59">IF(AQ52="1",BI52,0)</f>
        <v>0</v>
      </c>
      <c r="AD52" s="41">
        <f aca="true" t="shared" si="55" ref="AD52:AD59">IF(AQ52="7",BH52,0)</f>
        <v>0</v>
      </c>
      <c r="AE52" s="41">
        <f aca="true" t="shared" si="56" ref="AE52:AE59">IF(AQ52="7",BI52,0)</f>
        <v>0</v>
      </c>
      <c r="AF52" s="41">
        <f aca="true" t="shared" si="57" ref="AF52:AF59">IF(AQ52="2",BH52,0)</f>
        <v>0</v>
      </c>
      <c r="AG52" s="41">
        <f aca="true" t="shared" si="58" ref="AG52:AG59">IF(AQ52="2",BI52,0)</f>
        <v>0</v>
      </c>
      <c r="AH52" s="41">
        <f aca="true" t="shared" si="59" ref="AH52:AH59">IF(AQ52="0",BJ52,0)</f>
        <v>0</v>
      </c>
      <c r="AI52" s="31"/>
      <c r="AJ52" s="21">
        <f aca="true" t="shared" si="60" ref="AJ52:AJ59">IF(AN52=0,K52,0)</f>
        <v>0</v>
      </c>
      <c r="AK52" s="21">
        <f aca="true" t="shared" si="61" ref="AK52:AK59">IF(AN52=15,K52,0)</f>
        <v>0</v>
      </c>
      <c r="AL52" s="21">
        <f aca="true" t="shared" si="62" ref="AL52:AL59">IF(AN52=21,K52,0)</f>
        <v>0</v>
      </c>
      <c r="AN52" s="41">
        <v>15</v>
      </c>
      <c r="AO52" s="41">
        <f>H52*0</f>
        <v>0</v>
      </c>
      <c r="AP52" s="41">
        <f>H52*(1-0)</f>
        <v>0</v>
      </c>
      <c r="AQ52" s="42" t="s">
        <v>12</v>
      </c>
      <c r="AV52" s="41">
        <f aca="true" t="shared" si="63" ref="AV52:AV59">AW52+AX52</f>
        <v>0</v>
      </c>
      <c r="AW52" s="41">
        <f aca="true" t="shared" si="64" ref="AW52:AW59">G52*AO52</f>
        <v>0</v>
      </c>
      <c r="AX52" s="41">
        <f aca="true" t="shared" si="65" ref="AX52:AX59">G52*AP52</f>
        <v>0</v>
      </c>
      <c r="AY52" s="44" t="s">
        <v>384</v>
      </c>
      <c r="AZ52" s="44" t="s">
        <v>403</v>
      </c>
      <c r="BA52" s="31" t="s">
        <v>409</v>
      </c>
      <c r="BC52" s="41">
        <f aca="true" t="shared" si="66" ref="BC52:BC59">AW52+AX52</f>
        <v>0</v>
      </c>
      <c r="BD52" s="41">
        <f aca="true" t="shared" si="67" ref="BD52:BD59">H52/(100-BE52)*100</f>
        <v>0</v>
      </c>
      <c r="BE52" s="41">
        <v>0</v>
      </c>
      <c r="BF52" s="41">
        <f aca="true" t="shared" si="68" ref="BF52:BF59">M52</f>
        <v>0.01933</v>
      </c>
      <c r="BH52" s="21">
        <f aca="true" t="shared" si="69" ref="BH52:BH59">G52*AO52</f>
        <v>0</v>
      </c>
      <c r="BI52" s="21">
        <f aca="true" t="shared" si="70" ref="BI52:BI59">G52*AP52</f>
        <v>0</v>
      </c>
      <c r="BJ52" s="21">
        <f aca="true" t="shared" si="71" ref="BJ52:BJ59">G52*H52</f>
        <v>0</v>
      </c>
      <c r="BK52" s="21" t="s">
        <v>414</v>
      </c>
      <c r="BL52" s="41">
        <v>725</v>
      </c>
    </row>
    <row r="53" spans="1:64" ht="12.75">
      <c r="A53" s="4" t="s">
        <v>39</v>
      </c>
      <c r="B53" s="13"/>
      <c r="C53" s="13" t="s">
        <v>138</v>
      </c>
      <c r="D53" s="137" t="s">
        <v>257</v>
      </c>
      <c r="E53" s="138"/>
      <c r="F53" s="13" t="s">
        <v>337</v>
      </c>
      <c r="G53" s="21">
        <v>1</v>
      </c>
      <c r="H53" s="21">
        <v>0</v>
      </c>
      <c r="I53" s="21">
        <f t="shared" si="48"/>
        <v>0</v>
      </c>
      <c r="J53" s="21">
        <f t="shared" si="49"/>
        <v>0</v>
      </c>
      <c r="K53" s="21">
        <f t="shared" si="50"/>
        <v>0</v>
      </c>
      <c r="L53" s="21">
        <v>0.00275</v>
      </c>
      <c r="M53" s="21">
        <f t="shared" si="51"/>
        <v>0.00275</v>
      </c>
      <c r="N53" s="35" t="s">
        <v>365</v>
      </c>
      <c r="O53" s="39"/>
      <c r="Z53" s="41">
        <f t="shared" si="52"/>
        <v>0</v>
      </c>
      <c r="AB53" s="41">
        <f t="shared" si="53"/>
        <v>0</v>
      </c>
      <c r="AC53" s="41">
        <f t="shared" si="54"/>
        <v>0</v>
      </c>
      <c r="AD53" s="41">
        <f t="shared" si="55"/>
        <v>0</v>
      </c>
      <c r="AE53" s="41">
        <f t="shared" si="56"/>
        <v>0</v>
      </c>
      <c r="AF53" s="41">
        <f t="shared" si="57"/>
        <v>0</v>
      </c>
      <c r="AG53" s="41">
        <f t="shared" si="58"/>
        <v>0</v>
      </c>
      <c r="AH53" s="41">
        <f t="shared" si="59"/>
        <v>0</v>
      </c>
      <c r="AI53" s="31"/>
      <c r="AJ53" s="21">
        <f t="shared" si="60"/>
        <v>0</v>
      </c>
      <c r="AK53" s="21">
        <f t="shared" si="61"/>
        <v>0</v>
      </c>
      <c r="AL53" s="21">
        <f t="shared" si="62"/>
        <v>0</v>
      </c>
      <c r="AN53" s="41">
        <v>15</v>
      </c>
      <c r="AO53" s="41">
        <f>H53*0.944846292947559</f>
        <v>0</v>
      </c>
      <c r="AP53" s="41">
        <f>H53*(1-0.944846292947559)</f>
        <v>0</v>
      </c>
      <c r="AQ53" s="42" t="s">
        <v>12</v>
      </c>
      <c r="AV53" s="41">
        <f t="shared" si="63"/>
        <v>0</v>
      </c>
      <c r="AW53" s="41">
        <f t="shared" si="64"/>
        <v>0</v>
      </c>
      <c r="AX53" s="41">
        <f t="shared" si="65"/>
        <v>0</v>
      </c>
      <c r="AY53" s="44" t="s">
        <v>384</v>
      </c>
      <c r="AZ53" s="44" t="s">
        <v>403</v>
      </c>
      <c r="BA53" s="31" t="s">
        <v>409</v>
      </c>
      <c r="BC53" s="41">
        <f t="shared" si="66"/>
        <v>0</v>
      </c>
      <c r="BD53" s="41">
        <f t="shared" si="67"/>
        <v>0</v>
      </c>
      <c r="BE53" s="41">
        <v>0</v>
      </c>
      <c r="BF53" s="41">
        <f t="shared" si="68"/>
        <v>0.00275</v>
      </c>
      <c r="BH53" s="21">
        <f t="shared" si="69"/>
        <v>0</v>
      </c>
      <c r="BI53" s="21">
        <f t="shared" si="70"/>
        <v>0</v>
      </c>
      <c r="BJ53" s="21">
        <f t="shared" si="71"/>
        <v>0</v>
      </c>
      <c r="BK53" s="21" t="s">
        <v>414</v>
      </c>
      <c r="BL53" s="41">
        <v>725</v>
      </c>
    </row>
    <row r="54" spans="1:64" ht="12.75">
      <c r="A54" s="4" t="s">
        <v>40</v>
      </c>
      <c r="B54" s="13"/>
      <c r="C54" s="13" t="s">
        <v>139</v>
      </c>
      <c r="D54" s="137" t="s">
        <v>258</v>
      </c>
      <c r="E54" s="138"/>
      <c r="F54" s="13" t="s">
        <v>337</v>
      </c>
      <c r="G54" s="21">
        <v>1</v>
      </c>
      <c r="H54" s="21">
        <v>0</v>
      </c>
      <c r="I54" s="21">
        <f t="shared" si="48"/>
        <v>0</v>
      </c>
      <c r="J54" s="21">
        <f t="shared" si="49"/>
        <v>0</v>
      </c>
      <c r="K54" s="21">
        <f t="shared" si="50"/>
        <v>0</v>
      </c>
      <c r="L54" s="21">
        <v>0</v>
      </c>
      <c r="M54" s="21">
        <f t="shared" si="51"/>
        <v>0</v>
      </c>
      <c r="N54" s="35" t="s">
        <v>365</v>
      </c>
      <c r="O54" s="39"/>
      <c r="Z54" s="41">
        <f t="shared" si="52"/>
        <v>0</v>
      </c>
      <c r="AB54" s="41">
        <f t="shared" si="53"/>
        <v>0</v>
      </c>
      <c r="AC54" s="41">
        <f t="shared" si="54"/>
        <v>0</v>
      </c>
      <c r="AD54" s="41">
        <f t="shared" si="55"/>
        <v>0</v>
      </c>
      <c r="AE54" s="41">
        <f t="shared" si="56"/>
        <v>0</v>
      </c>
      <c r="AF54" s="41">
        <f t="shared" si="57"/>
        <v>0</v>
      </c>
      <c r="AG54" s="41">
        <f t="shared" si="58"/>
        <v>0</v>
      </c>
      <c r="AH54" s="41">
        <f t="shared" si="59"/>
        <v>0</v>
      </c>
      <c r="AI54" s="31"/>
      <c r="AJ54" s="21">
        <f t="shared" si="60"/>
        <v>0</v>
      </c>
      <c r="AK54" s="21">
        <f t="shared" si="61"/>
        <v>0</v>
      </c>
      <c r="AL54" s="21">
        <f t="shared" si="62"/>
        <v>0</v>
      </c>
      <c r="AN54" s="41">
        <v>15</v>
      </c>
      <c r="AO54" s="41">
        <f>H54*0</f>
        <v>0</v>
      </c>
      <c r="AP54" s="41">
        <f>H54*(1-0)</f>
        <v>0</v>
      </c>
      <c r="AQ54" s="42" t="s">
        <v>12</v>
      </c>
      <c r="AV54" s="41">
        <f t="shared" si="63"/>
        <v>0</v>
      </c>
      <c r="AW54" s="41">
        <f t="shared" si="64"/>
        <v>0</v>
      </c>
      <c r="AX54" s="41">
        <f t="shared" si="65"/>
        <v>0</v>
      </c>
      <c r="AY54" s="44" t="s">
        <v>384</v>
      </c>
      <c r="AZ54" s="44" t="s">
        <v>403</v>
      </c>
      <c r="BA54" s="31" t="s">
        <v>409</v>
      </c>
      <c r="BC54" s="41">
        <f t="shared" si="66"/>
        <v>0</v>
      </c>
      <c r="BD54" s="41">
        <f t="shared" si="67"/>
        <v>0</v>
      </c>
      <c r="BE54" s="41">
        <v>0</v>
      </c>
      <c r="BF54" s="41">
        <f t="shared" si="68"/>
        <v>0</v>
      </c>
      <c r="BH54" s="21">
        <f t="shared" si="69"/>
        <v>0</v>
      </c>
      <c r="BI54" s="21">
        <f t="shared" si="70"/>
        <v>0</v>
      </c>
      <c r="BJ54" s="21">
        <f t="shared" si="71"/>
        <v>0</v>
      </c>
      <c r="BK54" s="21" t="s">
        <v>414</v>
      </c>
      <c r="BL54" s="41">
        <v>725</v>
      </c>
    </row>
    <row r="55" spans="1:64" ht="12.75">
      <c r="A55" s="4" t="s">
        <v>41</v>
      </c>
      <c r="B55" s="13"/>
      <c r="C55" s="13" t="s">
        <v>140</v>
      </c>
      <c r="D55" s="137" t="s">
        <v>259</v>
      </c>
      <c r="E55" s="138"/>
      <c r="F55" s="13" t="s">
        <v>340</v>
      </c>
      <c r="G55" s="21">
        <v>1</v>
      </c>
      <c r="H55" s="21">
        <v>0</v>
      </c>
      <c r="I55" s="21">
        <f t="shared" si="48"/>
        <v>0</v>
      </c>
      <c r="J55" s="21">
        <f t="shared" si="49"/>
        <v>0</v>
      </c>
      <c r="K55" s="21">
        <f t="shared" si="50"/>
        <v>0</v>
      </c>
      <c r="L55" s="21">
        <v>0.00089</v>
      </c>
      <c r="M55" s="21">
        <f t="shared" si="51"/>
        <v>0.00089</v>
      </c>
      <c r="N55" s="35" t="s">
        <v>365</v>
      </c>
      <c r="O55" s="39"/>
      <c r="Z55" s="41">
        <f t="shared" si="52"/>
        <v>0</v>
      </c>
      <c r="AB55" s="41">
        <f t="shared" si="53"/>
        <v>0</v>
      </c>
      <c r="AC55" s="41">
        <f t="shared" si="54"/>
        <v>0</v>
      </c>
      <c r="AD55" s="41">
        <f t="shared" si="55"/>
        <v>0</v>
      </c>
      <c r="AE55" s="41">
        <f t="shared" si="56"/>
        <v>0</v>
      </c>
      <c r="AF55" s="41">
        <f t="shared" si="57"/>
        <v>0</v>
      </c>
      <c r="AG55" s="41">
        <f t="shared" si="58"/>
        <v>0</v>
      </c>
      <c r="AH55" s="41">
        <f t="shared" si="59"/>
        <v>0</v>
      </c>
      <c r="AI55" s="31"/>
      <c r="AJ55" s="21">
        <f t="shared" si="60"/>
        <v>0</v>
      </c>
      <c r="AK55" s="21">
        <f t="shared" si="61"/>
        <v>0</v>
      </c>
      <c r="AL55" s="21">
        <f t="shared" si="62"/>
        <v>0</v>
      </c>
      <c r="AN55" s="41">
        <v>15</v>
      </c>
      <c r="AO55" s="41">
        <f>H55*0.231932245922208</f>
        <v>0</v>
      </c>
      <c r="AP55" s="41">
        <f>H55*(1-0.231932245922208)</f>
        <v>0</v>
      </c>
      <c r="AQ55" s="42" t="s">
        <v>12</v>
      </c>
      <c r="AV55" s="41">
        <f t="shared" si="63"/>
        <v>0</v>
      </c>
      <c r="AW55" s="41">
        <f t="shared" si="64"/>
        <v>0</v>
      </c>
      <c r="AX55" s="41">
        <f t="shared" si="65"/>
        <v>0</v>
      </c>
      <c r="AY55" s="44" t="s">
        <v>384</v>
      </c>
      <c r="AZ55" s="44" t="s">
        <v>403</v>
      </c>
      <c r="BA55" s="31" t="s">
        <v>409</v>
      </c>
      <c r="BC55" s="41">
        <f t="shared" si="66"/>
        <v>0</v>
      </c>
      <c r="BD55" s="41">
        <f t="shared" si="67"/>
        <v>0</v>
      </c>
      <c r="BE55" s="41">
        <v>0</v>
      </c>
      <c r="BF55" s="41">
        <f t="shared" si="68"/>
        <v>0.00089</v>
      </c>
      <c r="BH55" s="21">
        <f t="shared" si="69"/>
        <v>0</v>
      </c>
      <c r="BI55" s="21">
        <f t="shared" si="70"/>
        <v>0</v>
      </c>
      <c r="BJ55" s="21">
        <f t="shared" si="71"/>
        <v>0</v>
      </c>
      <c r="BK55" s="21" t="s">
        <v>414</v>
      </c>
      <c r="BL55" s="41">
        <v>725</v>
      </c>
    </row>
    <row r="56" spans="1:64" ht="12.75">
      <c r="A56" s="4" t="s">
        <v>42</v>
      </c>
      <c r="B56" s="13"/>
      <c r="C56" s="13" t="s">
        <v>141</v>
      </c>
      <c r="D56" s="137" t="s">
        <v>260</v>
      </c>
      <c r="E56" s="138"/>
      <c r="F56" s="13" t="s">
        <v>340</v>
      </c>
      <c r="G56" s="21">
        <v>1</v>
      </c>
      <c r="H56" s="21">
        <v>0</v>
      </c>
      <c r="I56" s="21">
        <f t="shared" si="48"/>
        <v>0</v>
      </c>
      <c r="J56" s="21">
        <f t="shared" si="49"/>
        <v>0</v>
      </c>
      <c r="K56" s="21">
        <f t="shared" si="50"/>
        <v>0</v>
      </c>
      <c r="L56" s="21">
        <v>0</v>
      </c>
      <c r="M56" s="21">
        <f t="shared" si="51"/>
        <v>0</v>
      </c>
      <c r="N56" s="35" t="s">
        <v>365</v>
      </c>
      <c r="O56" s="39"/>
      <c r="Z56" s="41">
        <f t="shared" si="52"/>
        <v>0</v>
      </c>
      <c r="AB56" s="41">
        <f t="shared" si="53"/>
        <v>0</v>
      </c>
      <c r="AC56" s="41">
        <f t="shared" si="54"/>
        <v>0</v>
      </c>
      <c r="AD56" s="41">
        <f t="shared" si="55"/>
        <v>0</v>
      </c>
      <c r="AE56" s="41">
        <f t="shared" si="56"/>
        <v>0</v>
      </c>
      <c r="AF56" s="41">
        <f t="shared" si="57"/>
        <v>0</v>
      </c>
      <c r="AG56" s="41">
        <f t="shared" si="58"/>
        <v>0</v>
      </c>
      <c r="AH56" s="41">
        <f t="shared" si="59"/>
        <v>0</v>
      </c>
      <c r="AI56" s="31"/>
      <c r="AJ56" s="21">
        <f t="shared" si="60"/>
        <v>0</v>
      </c>
      <c r="AK56" s="21">
        <f t="shared" si="61"/>
        <v>0</v>
      </c>
      <c r="AL56" s="21">
        <f t="shared" si="62"/>
        <v>0</v>
      </c>
      <c r="AN56" s="41">
        <v>15</v>
      </c>
      <c r="AO56" s="41">
        <f>H56*0</f>
        <v>0</v>
      </c>
      <c r="AP56" s="41">
        <f>H56*(1-0)</f>
        <v>0</v>
      </c>
      <c r="AQ56" s="42" t="s">
        <v>12</v>
      </c>
      <c r="AV56" s="41">
        <f t="shared" si="63"/>
        <v>0</v>
      </c>
      <c r="AW56" s="41">
        <f t="shared" si="64"/>
        <v>0</v>
      </c>
      <c r="AX56" s="41">
        <f t="shared" si="65"/>
        <v>0</v>
      </c>
      <c r="AY56" s="44" t="s">
        <v>384</v>
      </c>
      <c r="AZ56" s="44" t="s">
        <v>403</v>
      </c>
      <c r="BA56" s="31" t="s">
        <v>409</v>
      </c>
      <c r="BC56" s="41">
        <f t="shared" si="66"/>
        <v>0</v>
      </c>
      <c r="BD56" s="41">
        <f t="shared" si="67"/>
        <v>0</v>
      </c>
      <c r="BE56" s="41">
        <v>0</v>
      </c>
      <c r="BF56" s="41">
        <f t="shared" si="68"/>
        <v>0</v>
      </c>
      <c r="BH56" s="21">
        <f t="shared" si="69"/>
        <v>0</v>
      </c>
      <c r="BI56" s="21">
        <f t="shared" si="70"/>
        <v>0</v>
      </c>
      <c r="BJ56" s="21">
        <f t="shared" si="71"/>
        <v>0</v>
      </c>
      <c r="BK56" s="21" t="s">
        <v>414</v>
      </c>
      <c r="BL56" s="41">
        <v>725</v>
      </c>
    </row>
    <row r="57" spans="1:64" ht="12.75">
      <c r="A57" s="4" t="s">
        <v>43</v>
      </c>
      <c r="B57" s="13"/>
      <c r="C57" s="13" t="s">
        <v>142</v>
      </c>
      <c r="D57" s="137" t="s">
        <v>261</v>
      </c>
      <c r="E57" s="138"/>
      <c r="F57" s="13" t="s">
        <v>340</v>
      </c>
      <c r="G57" s="21">
        <v>1</v>
      </c>
      <c r="H57" s="21">
        <v>0</v>
      </c>
      <c r="I57" s="21">
        <f t="shared" si="48"/>
        <v>0</v>
      </c>
      <c r="J57" s="21">
        <f t="shared" si="49"/>
        <v>0</v>
      </c>
      <c r="K57" s="21">
        <f t="shared" si="50"/>
        <v>0</v>
      </c>
      <c r="L57" s="21">
        <v>0.01946</v>
      </c>
      <c r="M57" s="21">
        <f t="shared" si="51"/>
        <v>0.01946</v>
      </c>
      <c r="N57" s="35" t="s">
        <v>365</v>
      </c>
      <c r="O57" s="39"/>
      <c r="Z57" s="41">
        <f t="shared" si="52"/>
        <v>0</v>
      </c>
      <c r="AB57" s="41">
        <f t="shared" si="53"/>
        <v>0</v>
      </c>
      <c r="AC57" s="41">
        <f t="shared" si="54"/>
        <v>0</v>
      </c>
      <c r="AD57" s="41">
        <f t="shared" si="55"/>
        <v>0</v>
      </c>
      <c r="AE57" s="41">
        <f t="shared" si="56"/>
        <v>0</v>
      </c>
      <c r="AF57" s="41">
        <f t="shared" si="57"/>
        <v>0</v>
      </c>
      <c r="AG57" s="41">
        <f t="shared" si="58"/>
        <v>0</v>
      </c>
      <c r="AH57" s="41">
        <f t="shared" si="59"/>
        <v>0</v>
      </c>
      <c r="AI57" s="31"/>
      <c r="AJ57" s="21">
        <f t="shared" si="60"/>
        <v>0</v>
      </c>
      <c r="AK57" s="21">
        <f t="shared" si="61"/>
        <v>0</v>
      </c>
      <c r="AL57" s="21">
        <f t="shared" si="62"/>
        <v>0</v>
      </c>
      <c r="AN57" s="41">
        <v>15</v>
      </c>
      <c r="AO57" s="41">
        <f>H57*0</f>
        <v>0</v>
      </c>
      <c r="AP57" s="41">
        <f>H57*(1-0)</f>
        <v>0</v>
      </c>
      <c r="AQ57" s="42" t="s">
        <v>12</v>
      </c>
      <c r="AV57" s="41">
        <f t="shared" si="63"/>
        <v>0</v>
      </c>
      <c r="AW57" s="41">
        <f t="shared" si="64"/>
        <v>0</v>
      </c>
      <c r="AX57" s="41">
        <f t="shared" si="65"/>
        <v>0</v>
      </c>
      <c r="AY57" s="44" t="s">
        <v>384</v>
      </c>
      <c r="AZ57" s="44" t="s">
        <v>403</v>
      </c>
      <c r="BA57" s="31" t="s">
        <v>409</v>
      </c>
      <c r="BC57" s="41">
        <f t="shared" si="66"/>
        <v>0</v>
      </c>
      <c r="BD57" s="41">
        <f t="shared" si="67"/>
        <v>0</v>
      </c>
      <c r="BE57" s="41">
        <v>0</v>
      </c>
      <c r="BF57" s="41">
        <f t="shared" si="68"/>
        <v>0.01946</v>
      </c>
      <c r="BH57" s="21">
        <f t="shared" si="69"/>
        <v>0</v>
      </c>
      <c r="BI57" s="21">
        <f t="shared" si="70"/>
        <v>0</v>
      </c>
      <c r="BJ57" s="21">
        <f t="shared" si="71"/>
        <v>0</v>
      </c>
      <c r="BK57" s="21" t="s">
        <v>414</v>
      </c>
      <c r="BL57" s="41">
        <v>725</v>
      </c>
    </row>
    <row r="58" spans="1:64" ht="12.75">
      <c r="A58" s="4" t="s">
        <v>44</v>
      </c>
      <c r="B58" s="13"/>
      <c r="C58" s="13" t="s">
        <v>143</v>
      </c>
      <c r="D58" s="137" t="s">
        <v>262</v>
      </c>
      <c r="E58" s="138"/>
      <c r="F58" s="13" t="s">
        <v>340</v>
      </c>
      <c r="G58" s="21">
        <v>1</v>
      </c>
      <c r="H58" s="21">
        <v>0</v>
      </c>
      <c r="I58" s="21">
        <f t="shared" si="48"/>
        <v>0</v>
      </c>
      <c r="J58" s="21">
        <f t="shared" si="49"/>
        <v>0</v>
      </c>
      <c r="K58" s="21">
        <f t="shared" si="50"/>
        <v>0</v>
      </c>
      <c r="L58" s="21">
        <v>0.00084</v>
      </c>
      <c r="M58" s="21">
        <f t="shared" si="51"/>
        <v>0.00084</v>
      </c>
      <c r="N58" s="35" t="s">
        <v>365</v>
      </c>
      <c r="O58" s="39"/>
      <c r="Z58" s="41">
        <f t="shared" si="52"/>
        <v>0</v>
      </c>
      <c r="AB58" s="41">
        <f t="shared" si="53"/>
        <v>0</v>
      </c>
      <c r="AC58" s="41">
        <f t="shared" si="54"/>
        <v>0</v>
      </c>
      <c r="AD58" s="41">
        <f t="shared" si="55"/>
        <v>0</v>
      </c>
      <c r="AE58" s="41">
        <f t="shared" si="56"/>
        <v>0</v>
      </c>
      <c r="AF58" s="41">
        <f t="shared" si="57"/>
        <v>0</v>
      </c>
      <c r="AG58" s="41">
        <f t="shared" si="58"/>
        <v>0</v>
      </c>
      <c r="AH58" s="41">
        <f t="shared" si="59"/>
        <v>0</v>
      </c>
      <c r="AI58" s="31"/>
      <c r="AJ58" s="21">
        <f t="shared" si="60"/>
        <v>0</v>
      </c>
      <c r="AK58" s="21">
        <f t="shared" si="61"/>
        <v>0</v>
      </c>
      <c r="AL58" s="21">
        <f t="shared" si="62"/>
        <v>0</v>
      </c>
      <c r="AN58" s="41">
        <v>15</v>
      </c>
      <c r="AO58" s="41">
        <f>H58*0.405808144949623</f>
        <v>0</v>
      </c>
      <c r="AP58" s="41">
        <f>H58*(1-0.405808144949623)</f>
        <v>0</v>
      </c>
      <c r="AQ58" s="42" t="s">
        <v>12</v>
      </c>
      <c r="AV58" s="41">
        <f t="shared" si="63"/>
        <v>0</v>
      </c>
      <c r="AW58" s="41">
        <f t="shared" si="64"/>
        <v>0</v>
      </c>
      <c r="AX58" s="41">
        <f t="shared" si="65"/>
        <v>0</v>
      </c>
      <c r="AY58" s="44" t="s">
        <v>384</v>
      </c>
      <c r="AZ58" s="44" t="s">
        <v>403</v>
      </c>
      <c r="BA58" s="31" t="s">
        <v>409</v>
      </c>
      <c r="BC58" s="41">
        <f t="shared" si="66"/>
        <v>0</v>
      </c>
      <c r="BD58" s="41">
        <f t="shared" si="67"/>
        <v>0</v>
      </c>
      <c r="BE58" s="41">
        <v>0</v>
      </c>
      <c r="BF58" s="41">
        <f t="shared" si="68"/>
        <v>0.00084</v>
      </c>
      <c r="BH58" s="21">
        <f t="shared" si="69"/>
        <v>0</v>
      </c>
      <c r="BI58" s="21">
        <f t="shared" si="70"/>
        <v>0</v>
      </c>
      <c r="BJ58" s="21">
        <f t="shared" si="71"/>
        <v>0</v>
      </c>
      <c r="BK58" s="21" t="s">
        <v>414</v>
      </c>
      <c r="BL58" s="41">
        <v>725</v>
      </c>
    </row>
    <row r="59" spans="1:64" ht="12.75">
      <c r="A59" s="4" t="s">
        <v>45</v>
      </c>
      <c r="B59" s="13"/>
      <c r="C59" s="13" t="s">
        <v>144</v>
      </c>
      <c r="D59" s="137" t="s">
        <v>263</v>
      </c>
      <c r="E59" s="138"/>
      <c r="F59" s="13" t="s">
        <v>340</v>
      </c>
      <c r="G59" s="21">
        <v>1</v>
      </c>
      <c r="H59" s="21">
        <v>0</v>
      </c>
      <c r="I59" s="21">
        <f t="shared" si="48"/>
        <v>0</v>
      </c>
      <c r="J59" s="21">
        <f t="shared" si="49"/>
        <v>0</v>
      </c>
      <c r="K59" s="21">
        <f t="shared" si="50"/>
        <v>0</v>
      </c>
      <c r="L59" s="21">
        <v>0.0014</v>
      </c>
      <c r="M59" s="21">
        <f t="shared" si="51"/>
        <v>0.0014</v>
      </c>
      <c r="N59" s="35" t="s">
        <v>365</v>
      </c>
      <c r="O59" s="39"/>
      <c r="Z59" s="41">
        <f t="shared" si="52"/>
        <v>0</v>
      </c>
      <c r="AB59" s="41">
        <f t="shared" si="53"/>
        <v>0</v>
      </c>
      <c r="AC59" s="41">
        <f t="shared" si="54"/>
        <v>0</v>
      </c>
      <c r="AD59" s="41">
        <f t="shared" si="55"/>
        <v>0</v>
      </c>
      <c r="AE59" s="41">
        <f t="shared" si="56"/>
        <v>0</v>
      </c>
      <c r="AF59" s="41">
        <f t="shared" si="57"/>
        <v>0</v>
      </c>
      <c r="AG59" s="41">
        <f t="shared" si="58"/>
        <v>0</v>
      </c>
      <c r="AH59" s="41">
        <f t="shared" si="59"/>
        <v>0</v>
      </c>
      <c r="AI59" s="31"/>
      <c r="AJ59" s="21">
        <f t="shared" si="60"/>
        <v>0</v>
      </c>
      <c r="AK59" s="21">
        <f t="shared" si="61"/>
        <v>0</v>
      </c>
      <c r="AL59" s="21">
        <f t="shared" si="62"/>
        <v>0</v>
      </c>
      <c r="AN59" s="41">
        <v>15</v>
      </c>
      <c r="AO59" s="41">
        <f>H59*0.968691377921031</f>
        <v>0</v>
      </c>
      <c r="AP59" s="41">
        <f>H59*(1-0.968691377921031)</f>
        <v>0</v>
      </c>
      <c r="AQ59" s="42" t="s">
        <v>12</v>
      </c>
      <c r="AV59" s="41">
        <f t="shared" si="63"/>
        <v>0</v>
      </c>
      <c r="AW59" s="41">
        <f t="shared" si="64"/>
        <v>0</v>
      </c>
      <c r="AX59" s="41">
        <f t="shared" si="65"/>
        <v>0</v>
      </c>
      <c r="AY59" s="44" t="s">
        <v>384</v>
      </c>
      <c r="AZ59" s="44" t="s">
        <v>403</v>
      </c>
      <c r="BA59" s="31" t="s">
        <v>409</v>
      </c>
      <c r="BC59" s="41">
        <f t="shared" si="66"/>
        <v>0</v>
      </c>
      <c r="BD59" s="41">
        <f t="shared" si="67"/>
        <v>0</v>
      </c>
      <c r="BE59" s="41">
        <v>0</v>
      </c>
      <c r="BF59" s="41">
        <f t="shared" si="68"/>
        <v>0.0014</v>
      </c>
      <c r="BH59" s="21">
        <f t="shared" si="69"/>
        <v>0</v>
      </c>
      <c r="BI59" s="21">
        <f t="shared" si="70"/>
        <v>0</v>
      </c>
      <c r="BJ59" s="21">
        <f t="shared" si="71"/>
        <v>0</v>
      </c>
      <c r="BK59" s="21" t="s">
        <v>414</v>
      </c>
      <c r="BL59" s="41">
        <v>725</v>
      </c>
    </row>
    <row r="60" spans="1:47" ht="12.75">
      <c r="A60" s="5"/>
      <c r="B60" s="14"/>
      <c r="C60" s="14" t="s">
        <v>145</v>
      </c>
      <c r="D60" s="139" t="s">
        <v>264</v>
      </c>
      <c r="E60" s="140"/>
      <c r="F60" s="19" t="s">
        <v>5</v>
      </c>
      <c r="G60" s="19" t="s">
        <v>5</v>
      </c>
      <c r="H60" s="19" t="s">
        <v>5</v>
      </c>
      <c r="I60" s="47">
        <f>SUM(I61:I61)</f>
        <v>0</v>
      </c>
      <c r="J60" s="47">
        <f>SUM(J61:J61)</f>
        <v>0</v>
      </c>
      <c r="K60" s="47">
        <f>SUM(K61:K61)</f>
        <v>0</v>
      </c>
      <c r="L60" s="31"/>
      <c r="M60" s="47">
        <f>SUM(M61:M61)</f>
        <v>0.009</v>
      </c>
      <c r="N60" s="36"/>
      <c r="O60" s="39"/>
      <c r="AI60" s="31"/>
      <c r="AS60" s="47">
        <f>SUM(AJ61:AJ61)</f>
        <v>0</v>
      </c>
      <c r="AT60" s="47">
        <f>SUM(AK61:AK61)</f>
        <v>0</v>
      </c>
      <c r="AU60" s="47">
        <f>SUM(AL61:AL61)</f>
        <v>0</v>
      </c>
    </row>
    <row r="61" spans="1:64" ht="12.75">
      <c r="A61" s="4" t="s">
        <v>46</v>
      </c>
      <c r="B61" s="13"/>
      <c r="C61" s="13" t="s">
        <v>146</v>
      </c>
      <c r="D61" s="137" t="s">
        <v>265</v>
      </c>
      <c r="E61" s="138"/>
      <c r="F61" s="13" t="s">
        <v>340</v>
      </c>
      <c r="G61" s="21">
        <v>1</v>
      </c>
      <c r="H61" s="21">
        <v>0</v>
      </c>
      <c r="I61" s="21">
        <f>G61*AO61</f>
        <v>0</v>
      </c>
      <c r="J61" s="21">
        <f>G61*AP61</f>
        <v>0</v>
      </c>
      <c r="K61" s="21">
        <f>G61*H61</f>
        <v>0</v>
      </c>
      <c r="L61" s="21">
        <v>0.009</v>
      </c>
      <c r="M61" s="21">
        <f>G61*L61</f>
        <v>0.009</v>
      </c>
      <c r="N61" s="35" t="s">
        <v>365</v>
      </c>
      <c r="O61" s="39"/>
      <c r="Z61" s="41">
        <f>IF(AQ61="5",BJ61,0)</f>
        <v>0</v>
      </c>
      <c r="AB61" s="41">
        <f>IF(AQ61="1",BH61,0)</f>
        <v>0</v>
      </c>
      <c r="AC61" s="41">
        <f>IF(AQ61="1",BI61,0)</f>
        <v>0</v>
      </c>
      <c r="AD61" s="41">
        <f>IF(AQ61="7",BH61,0)</f>
        <v>0</v>
      </c>
      <c r="AE61" s="41">
        <f>IF(AQ61="7",BI61,0)</f>
        <v>0</v>
      </c>
      <c r="AF61" s="41">
        <f>IF(AQ61="2",BH61,0)</f>
        <v>0</v>
      </c>
      <c r="AG61" s="41">
        <f>IF(AQ61="2",BI61,0)</f>
        <v>0</v>
      </c>
      <c r="AH61" s="41">
        <f>IF(AQ61="0",BJ61,0)</f>
        <v>0</v>
      </c>
      <c r="AI61" s="31"/>
      <c r="AJ61" s="21">
        <f>IF(AN61=0,K61,0)</f>
        <v>0</v>
      </c>
      <c r="AK61" s="21">
        <f>IF(AN61=15,K61,0)</f>
        <v>0</v>
      </c>
      <c r="AL61" s="21">
        <f>IF(AN61=21,K61,0)</f>
        <v>0</v>
      </c>
      <c r="AN61" s="41">
        <v>15</v>
      </c>
      <c r="AO61" s="41">
        <f>H61*0.87856481929042</f>
        <v>0</v>
      </c>
      <c r="AP61" s="41">
        <f>H61*(1-0.87856481929042)</f>
        <v>0</v>
      </c>
      <c r="AQ61" s="42" t="s">
        <v>12</v>
      </c>
      <c r="AV61" s="41">
        <f>AW61+AX61</f>
        <v>0</v>
      </c>
      <c r="AW61" s="41">
        <f>G61*AO61</f>
        <v>0</v>
      </c>
      <c r="AX61" s="41">
        <f>G61*AP61</f>
        <v>0</v>
      </c>
      <c r="AY61" s="44" t="s">
        <v>385</v>
      </c>
      <c r="AZ61" s="44" t="s">
        <v>403</v>
      </c>
      <c r="BA61" s="31" t="s">
        <v>409</v>
      </c>
      <c r="BC61" s="41">
        <f>AW61+AX61</f>
        <v>0</v>
      </c>
      <c r="BD61" s="41">
        <f>H61/(100-BE61)*100</f>
        <v>0</v>
      </c>
      <c r="BE61" s="41">
        <v>0</v>
      </c>
      <c r="BF61" s="41">
        <f>M61</f>
        <v>0.009</v>
      </c>
      <c r="BH61" s="21">
        <f>G61*AO61</f>
        <v>0</v>
      </c>
      <c r="BI61" s="21">
        <f>G61*AP61</f>
        <v>0</v>
      </c>
      <c r="BJ61" s="21">
        <f>G61*H61</f>
        <v>0</v>
      </c>
      <c r="BK61" s="21" t="s">
        <v>414</v>
      </c>
      <c r="BL61" s="41">
        <v>726</v>
      </c>
    </row>
    <row r="62" spans="1:47" ht="12.75">
      <c r="A62" s="5"/>
      <c r="B62" s="14"/>
      <c r="C62" s="14" t="s">
        <v>147</v>
      </c>
      <c r="D62" s="139" t="s">
        <v>266</v>
      </c>
      <c r="E62" s="140"/>
      <c r="F62" s="19" t="s">
        <v>5</v>
      </c>
      <c r="G62" s="19" t="s">
        <v>5</v>
      </c>
      <c r="H62" s="19"/>
      <c r="I62" s="47">
        <f>SUM(I63:I66)</f>
        <v>0</v>
      </c>
      <c r="J62" s="47">
        <f>SUM(J63:J66)</f>
        <v>0</v>
      </c>
      <c r="K62" s="47">
        <f>SUM(K63:K66)</f>
        <v>0</v>
      </c>
      <c r="L62" s="31"/>
      <c r="M62" s="47">
        <f>SUM(M63:M66)</f>
        <v>0.0036</v>
      </c>
      <c r="N62" s="36"/>
      <c r="O62" s="39"/>
      <c r="AI62" s="31"/>
      <c r="AS62" s="47">
        <f>SUM(AJ63:AJ66)</f>
        <v>0</v>
      </c>
      <c r="AT62" s="47">
        <f>SUM(AK63:AK66)</f>
        <v>0</v>
      </c>
      <c r="AU62" s="47">
        <f>SUM(AL63:AL66)</f>
        <v>0</v>
      </c>
    </row>
    <row r="63" spans="1:64" ht="12.75">
      <c r="A63" s="4" t="s">
        <v>47</v>
      </c>
      <c r="B63" s="13"/>
      <c r="C63" s="13" t="s">
        <v>148</v>
      </c>
      <c r="D63" s="137" t="s">
        <v>267</v>
      </c>
      <c r="E63" s="138"/>
      <c r="F63" s="13" t="s">
        <v>337</v>
      </c>
      <c r="G63" s="21">
        <v>1</v>
      </c>
      <c r="H63" s="21">
        <v>0</v>
      </c>
      <c r="I63" s="21">
        <f>G63*AO63</f>
        <v>0</v>
      </c>
      <c r="J63" s="21">
        <f>G63*AP63</f>
        <v>0</v>
      </c>
      <c r="K63" s="21">
        <f>G63*H63</f>
        <v>0</v>
      </c>
      <c r="L63" s="21">
        <v>0</v>
      </c>
      <c r="M63" s="21">
        <f>G63*L63</f>
        <v>0</v>
      </c>
      <c r="N63" s="35" t="s">
        <v>365</v>
      </c>
      <c r="O63" s="39"/>
      <c r="Z63" s="41">
        <f>IF(AQ63="5",BJ63,0)</f>
        <v>0</v>
      </c>
      <c r="AB63" s="41">
        <f>IF(AQ63="1",BH63,0)</f>
        <v>0</v>
      </c>
      <c r="AC63" s="41">
        <f>IF(AQ63="1",BI63,0)</f>
        <v>0</v>
      </c>
      <c r="AD63" s="41">
        <f>IF(AQ63="7",BH63,0)</f>
        <v>0</v>
      </c>
      <c r="AE63" s="41">
        <f>IF(AQ63="7",BI63,0)</f>
        <v>0</v>
      </c>
      <c r="AF63" s="41">
        <f>IF(AQ63="2",BH63,0)</f>
        <v>0</v>
      </c>
      <c r="AG63" s="41">
        <f>IF(AQ63="2",BI63,0)</f>
        <v>0</v>
      </c>
      <c r="AH63" s="41">
        <f>IF(AQ63="0",BJ63,0)</f>
        <v>0</v>
      </c>
      <c r="AI63" s="31"/>
      <c r="AJ63" s="21">
        <f>IF(AN63=0,K63,0)</f>
        <v>0</v>
      </c>
      <c r="AK63" s="21">
        <f>IF(AN63=15,K63,0)</f>
        <v>0</v>
      </c>
      <c r="AL63" s="21">
        <f>IF(AN63=21,K63,0)</f>
        <v>0</v>
      </c>
      <c r="AN63" s="41">
        <v>15</v>
      </c>
      <c r="AO63" s="41">
        <f>H63*0</f>
        <v>0</v>
      </c>
      <c r="AP63" s="41">
        <f>H63*(1-0)</f>
        <v>0</v>
      </c>
      <c r="AQ63" s="42" t="s">
        <v>12</v>
      </c>
      <c r="AV63" s="41">
        <f>AW63+AX63</f>
        <v>0</v>
      </c>
      <c r="AW63" s="41">
        <f>G63*AO63</f>
        <v>0</v>
      </c>
      <c r="AX63" s="41">
        <f>G63*AP63</f>
        <v>0</v>
      </c>
      <c r="AY63" s="44" t="s">
        <v>386</v>
      </c>
      <c r="AZ63" s="44" t="s">
        <v>404</v>
      </c>
      <c r="BA63" s="31" t="s">
        <v>409</v>
      </c>
      <c r="BC63" s="41">
        <f>AW63+AX63</f>
        <v>0</v>
      </c>
      <c r="BD63" s="41">
        <f>H63/(100-BE63)*100</f>
        <v>0</v>
      </c>
      <c r="BE63" s="41">
        <v>0</v>
      </c>
      <c r="BF63" s="41">
        <f>M63</f>
        <v>0</v>
      </c>
      <c r="BH63" s="21">
        <f>G63*AO63</f>
        <v>0</v>
      </c>
      <c r="BI63" s="21">
        <f>G63*AP63</f>
        <v>0</v>
      </c>
      <c r="BJ63" s="21">
        <f>G63*H63</f>
        <v>0</v>
      </c>
      <c r="BK63" s="21" t="s">
        <v>414</v>
      </c>
      <c r="BL63" s="41">
        <v>766</v>
      </c>
    </row>
    <row r="64" spans="1:64" ht="12.75">
      <c r="A64" s="4" t="s">
        <v>48</v>
      </c>
      <c r="B64" s="13"/>
      <c r="C64" s="13" t="s">
        <v>149</v>
      </c>
      <c r="D64" s="137" t="s">
        <v>268</v>
      </c>
      <c r="E64" s="138"/>
      <c r="F64" s="13" t="s">
        <v>337</v>
      </c>
      <c r="G64" s="21">
        <v>1</v>
      </c>
      <c r="H64" s="21">
        <v>0</v>
      </c>
      <c r="I64" s="21">
        <f>G64*AO64</f>
        <v>0</v>
      </c>
      <c r="J64" s="21">
        <f>G64*AP64</f>
        <v>0</v>
      </c>
      <c r="K64" s="21">
        <f>G64*H64</f>
        <v>0</v>
      </c>
      <c r="L64" s="21">
        <v>0</v>
      </c>
      <c r="M64" s="21">
        <f>G64*L64</f>
        <v>0</v>
      </c>
      <c r="N64" s="35" t="s">
        <v>365</v>
      </c>
      <c r="O64" s="39"/>
      <c r="Z64" s="41">
        <f>IF(AQ64="5",BJ64,0)</f>
        <v>0</v>
      </c>
      <c r="AB64" s="41">
        <f>IF(AQ64="1",BH64,0)</f>
        <v>0</v>
      </c>
      <c r="AC64" s="41">
        <f>IF(AQ64="1",BI64,0)</f>
        <v>0</v>
      </c>
      <c r="AD64" s="41">
        <f>IF(AQ64="7",BH64,0)</f>
        <v>0</v>
      </c>
      <c r="AE64" s="41">
        <f>IF(AQ64="7",BI64,0)</f>
        <v>0</v>
      </c>
      <c r="AF64" s="41">
        <f>IF(AQ64="2",BH64,0)</f>
        <v>0</v>
      </c>
      <c r="AG64" s="41">
        <f>IF(AQ64="2",BI64,0)</f>
        <v>0</v>
      </c>
      <c r="AH64" s="41">
        <f>IF(AQ64="0",BJ64,0)</f>
        <v>0</v>
      </c>
      <c r="AI64" s="31"/>
      <c r="AJ64" s="21">
        <f>IF(AN64=0,K64,0)</f>
        <v>0</v>
      </c>
      <c r="AK64" s="21">
        <f>IF(AN64=15,K64,0)</f>
        <v>0</v>
      </c>
      <c r="AL64" s="21">
        <f>IF(AN64=21,K64,0)</f>
        <v>0</v>
      </c>
      <c r="AN64" s="41">
        <v>15</v>
      </c>
      <c r="AO64" s="41">
        <f>H64*0</f>
        <v>0</v>
      </c>
      <c r="AP64" s="41">
        <f>H64*(1-0)</f>
        <v>0</v>
      </c>
      <c r="AQ64" s="42" t="s">
        <v>12</v>
      </c>
      <c r="AV64" s="41">
        <f>AW64+AX64</f>
        <v>0</v>
      </c>
      <c r="AW64" s="41">
        <f>G64*AO64</f>
        <v>0</v>
      </c>
      <c r="AX64" s="41">
        <f>G64*AP64</f>
        <v>0</v>
      </c>
      <c r="AY64" s="44" t="s">
        <v>386</v>
      </c>
      <c r="AZ64" s="44" t="s">
        <v>404</v>
      </c>
      <c r="BA64" s="31" t="s">
        <v>409</v>
      </c>
      <c r="BC64" s="41">
        <f>AW64+AX64</f>
        <v>0</v>
      </c>
      <c r="BD64" s="41">
        <f>H64/(100-BE64)*100</f>
        <v>0</v>
      </c>
      <c r="BE64" s="41">
        <v>0</v>
      </c>
      <c r="BF64" s="41">
        <f>M64</f>
        <v>0</v>
      </c>
      <c r="BH64" s="21">
        <f>G64*AO64</f>
        <v>0</v>
      </c>
      <c r="BI64" s="21">
        <f>G64*AP64</f>
        <v>0</v>
      </c>
      <c r="BJ64" s="21">
        <f>G64*H64</f>
        <v>0</v>
      </c>
      <c r="BK64" s="21" t="s">
        <v>414</v>
      </c>
      <c r="BL64" s="41">
        <v>766</v>
      </c>
    </row>
    <row r="65" spans="1:64" ht="12.75">
      <c r="A65" s="4" t="s">
        <v>49</v>
      </c>
      <c r="B65" s="13"/>
      <c r="C65" s="13" t="s">
        <v>150</v>
      </c>
      <c r="D65" s="137" t="s">
        <v>269</v>
      </c>
      <c r="E65" s="138"/>
      <c r="F65" s="13" t="s">
        <v>337</v>
      </c>
      <c r="G65" s="21">
        <v>2</v>
      </c>
      <c r="H65" s="21">
        <v>0</v>
      </c>
      <c r="I65" s="21">
        <f>G65*AO65</f>
        <v>0</v>
      </c>
      <c r="J65" s="21">
        <f>G65*AP65</f>
        <v>0</v>
      </c>
      <c r="K65" s="21">
        <f>G65*H65</f>
        <v>0</v>
      </c>
      <c r="L65" s="21">
        <v>0.0018</v>
      </c>
      <c r="M65" s="21">
        <f>G65*L65</f>
        <v>0.0036</v>
      </c>
      <c r="N65" s="35" t="s">
        <v>365</v>
      </c>
      <c r="O65" s="39"/>
      <c r="Z65" s="41">
        <f>IF(AQ65="5",BJ65,0)</f>
        <v>0</v>
      </c>
      <c r="AB65" s="41">
        <f>IF(AQ65="1",BH65,0)</f>
        <v>0</v>
      </c>
      <c r="AC65" s="41">
        <f>IF(AQ65="1",BI65,0)</f>
        <v>0</v>
      </c>
      <c r="AD65" s="41">
        <f>IF(AQ65="7",BH65,0)</f>
        <v>0</v>
      </c>
      <c r="AE65" s="41">
        <f>IF(AQ65="7",BI65,0)</f>
        <v>0</v>
      </c>
      <c r="AF65" s="41">
        <f>IF(AQ65="2",BH65,0)</f>
        <v>0</v>
      </c>
      <c r="AG65" s="41">
        <f>IF(AQ65="2",BI65,0)</f>
        <v>0</v>
      </c>
      <c r="AH65" s="41">
        <f>IF(AQ65="0",BJ65,0)</f>
        <v>0</v>
      </c>
      <c r="AI65" s="31"/>
      <c r="AJ65" s="21">
        <f>IF(AN65=0,K65,0)</f>
        <v>0</v>
      </c>
      <c r="AK65" s="21">
        <f>IF(AN65=15,K65,0)</f>
        <v>0</v>
      </c>
      <c r="AL65" s="21">
        <f>IF(AN65=21,K65,0)</f>
        <v>0</v>
      </c>
      <c r="AN65" s="41">
        <v>15</v>
      </c>
      <c r="AO65" s="41">
        <f>H65*0</f>
        <v>0</v>
      </c>
      <c r="AP65" s="41">
        <f>H65*(1-0)</f>
        <v>0</v>
      </c>
      <c r="AQ65" s="42" t="s">
        <v>12</v>
      </c>
      <c r="AV65" s="41">
        <f>AW65+AX65</f>
        <v>0</v>
      </c>
      <c r="AW65" s="41">
        <f>G65*AO65</f>
        <v>0</v>
      </c>
      <c r="AX65" s="41">
        <f>G65*AP65</f>
        <v>0</v>
      </c>
      <c r="AY65" s="44" t="s">
        <v>386</v>
      </c>
      <c r="AZ65" s="44" t="s">
        <v>404</v>
      </c>
      <c r="BA65" s="31" t="s">
        <v>409</v>
      </c>
      <c r="BC65" s="41">
        <f>AW65+AX65</f>
        <v>0</v>
      </c>
      <c r="BD65" s="41">
        <f>H65/(100-BE65)*100</f>
        <v>0</v>
      </c>
      <c r="BE65" s="41">
        <v>0</v>
      </c>
      <c r="BF65" s="41">
        <f>M65</f>
        <v>0.0036</v>
      </c>
      <c r="BH65" s="21">
        <f>G65*AO65</f>
        <v>0</v>
      </c>
      <c r="BI65" s="21">
        <f>G65*AP65</f>
        <v>0</v>
      </c>
      <c r="BJ65" s="21">
        <f>G65*H65</f>
        <v>0</v>
      </c>
      <c r="BK65" s="21" t="s">
        <v>414</v>
      </c>
      <c r="BL65" s="41">
        <v>766</v>
      </c>
    </row>
    <row r="66" spans="1:64" ht="12.75">
      <c r="A66" s="4" t="s">
        <v>50</v>
      </c>
      <c r="B66" s="13"/>
      <c r="C66" s="13" t="s">
        <v>151</v>
      </c>
      <c r="D66" s="137" t="s">
        <v>270</v>
      </c>
      <c r="E66" s="138"/>
      <c r="F66" s="13" t="s">
        <v>337</v>
      </c>
      <c r="G66" s="21">
        <v>2</v>
      </c>
      <c r="H66" s="21">
        <v>0</v>
      </c>
      <c r="I66" s="21">
        <f>G66*AO66</f>
        <v>0</v>
      </c>
      <c r="J66" s="21">
        <f>G66*AP66</f>
        <v>0</v>
      </c>
      <c r="K66" s="21">
        <f>G66*H66</f>
        <v>0</v>
      </c>
      <c r="L66" s="21">
        <v>0</v>
      </c>
      <c r="M66" s="21">
        <f>G66*L66</f>
        <v>0</v>
      </c>
      <c r="N66" s="35" t="s">
        <v>365</v>
      </c>
      <c r="O66" s="39"/>
      <c r="Z66" s="41">
        <f>IF(AQ66="5",BJ66,0)</f>
        <v>0</v>
      </c>
      <c r="AB66" s="41">
        <f>IF(AQ66="1",BH66,0)</f>
        <v>0</v>
      </c>
      <c r="AC66" s="41">
        <f>IF(AQ66="1",BI66,0)</f>
        <v>0</v>
      </c>
      <c r="AD66" s="41">
        <f>IF(AQ66="7",BH66,0)</f>
        <v>0</v>
      </c>
      <c r="AE66" s="41">
        <f>IF(AQ66="7",BI66,0)</f>
        <v>0</v>
      </c>
      <c r="AF66" s="41">
        <f>IF(AQ66="2",BH66,0)</f>
        <v>0</v>
      </c>
      <c r="AG66" s="41">
        <f>IF(AQ66="2",BI66,0)</f>
        <v>0</v>
      </c>
      <c r="AH66" s="41">
        <f>IF(AQ66="0",BJ66,0)</f>
        <v>0</v>
      </c>
      <c r="AI66" s="31"/>
      <c r="AJ66" s="21">
        <f>IF(AN66=0,K66,0)</f>
        <v>0</v>
      </c>
      <c r="AK66" s="21">
        <f>IF(AN66=15,K66,0)</f>
        <v>0</v>
      </c>
      <c r="AL66" s="21">
        <f>IF(AN66=21,K66,0)</f>
        <v>0</v>
      </c>
      <c r="AN66" s="41">
        <v>15</v>
      </c>
      <c r="AO66" s="41">
        <f>H66*0</f>
        <v>0</v>
      </c>
      <c r="AP66" s="41">
        <f>H66*(1-0)</f>
        <v>0</v>
      </c>
      <c r="AQ66" s="42" t="s">
        <v>12</v>
      </c>
      <c r="AV66" s="41">
        <f>AW66+AX66</f>
        <v>0</v>
      </c>
      <c r="AW66" s="41">
        <f>G66*AO66</f>
        <v>0</v>
      </c>
      <c r="AX66" s="41">
        <f>G66*AP66</f>
        <v>0</v>
      </c>
      <c r="AY66" s="44" t="s">
        <v>386</v>
      </c>
      <c r="AZ66" s="44" t="s">
        <v>404</v>
      </c>
      <c r="BA66" s="31" t="s">
        <v>409</v>
      </c>
      <c r="BC66" s="41">
        <f>AW66+AX66</f>
        <v>0</v>
      </c>
      <c r="BD66" s="41">
        <f>H66/(100-BE66)*100</f>
        <v>0</v>
      </c>
      <c r="BE66" s="41">
        <v>0</v>
      </c>
      <c r="BF66" s="41">
        <f>M66</f>
        <v>0</v>
      </c>
      <c r="BH66" s="21">
        <f>G66*AO66</f>
        <v>0</v>
      </c>
      <c r="BI66" s="21">
        <f>G66*AP66</f>
        <v>0</v>
      </c>
      <c r="BJ66" s="21">
        <f>G66*H66</f>
        <v>0</v>
      </c>
      <c r="BK66" s="21" t="s">
        <v>414</v>
      </c>
      <c r="BL66" s="41">
        <v>766</v>
      </c>
    </row>
    <row r="67" spans="1:47" ht="12.75">
      <c r="A67" s="5"/>
      <c r="B67" s="14"/>
      <c r="C67" s="14" t="s">
        <v>152</v>
      </c>
      <c r="D67" s="139" t="s">
        <v>271</v>
      </c>
      <c r="E67" s="140"/>
      <c r="F67" s="19" t="s">
        <v>5</v>
      </c>
      <c r="G67" s="19" t="s">
        <v>5</v>
      </c>
      <c r="H67" s="19" t="s">
        <v>5</v>
      </c>
      <c r="I67" s="47">
        <f>SUM(I68:I68)</f>
        <v>0</v>
      </c>
      <c r="J67" s="47">
        <f>SUM(J68:J68)</f>
        <v>0</v>
      </c>
      <c r="K67" s="47">
        <f>SUM(K68:K68)</f>
        <v>0</v>
      </c>
      <c r="L67" s="31"/>
      <c r="M67" s="47">
        <f>SUM(M68:M68)</f>
        <v>0.016119599999999998</v>
      </c>
      <c r="N67" s="36"/>
      <c r="O67" s="39"/>
      <c r="AI67" s="31"/>
      <c r="AS67" s="47">
        <f>SUM(AJ68:AJ68)</f>
        <v>0</v>
      </c>
      <c r="AT67" s="47">
        <f>SUM(AK68:AK68)</f>
        <v>0</v>
      </c>
      <c r="AU67" s="47">
        <f>SUM(AL68:AL68)</f>
        <v>0</v>
      </c>
    </row>
    <row r="68" spans="1:64" ht="12.75">
      <c r="A68" s="4" t="s">
        <v>51</v>
      </c>
      <c r="B68" s="13"/>
      <c r="C68" s="13" t="s">
        <v>153</v>
      </c>
      <c r="D68" s="137" t="s">
        <v>272</v>
      </c>
      <c r="E68" s="138"/>
      <c r="F68" s="13" t="s">
        <v>338</v>
      </c>
      <c r="G68" s="21">
        <v>4.04</v>
      </c>
      <c r="H68" s="21">
        <v>0</v>
      </c>
      <c r="I68" s="21">
        <f>G68*AO68</f>
        <v>0</v>
      </c>
      <c r="J68" s="21">
        <f>G68*AP68</f>
        <v>0</v>
      </c>
      <c r="K68" s="21">
        <f>G68*H68</f>
        <v>0</v>
      </c>
      <c r="L68" s="21">
        <v>0.00399</v>
      </c>
      <c r="M68" s="21">
        <f>G68*L68</f>
        <v>0.016119599999999998</v>
      </c>
      <c r="N68" s="35" t="s">
        <v>365</v>
      </c>
      <c r="O68" s="39"/>
      <c r="Z68" s="41">
        <f>IF(AQ68="5",BJ68,0)</f>
        <v>0</v>
      </c>
      <c r="AB68" s="41">
        <f>IF(AQ68="1",BH68,0)</f>
        <v>0</v>
      </c>
      <c r="AC68" s="41">
        <f>IF(AQ68="1",BI68,0)</f>
        <v>0</v>
      </c>
      <c r="AD68" s="41">
        <f>IF(AQ68="7",BH68,0)</f>
        <v>0</v>
      </c>
      <c r="AE68" s="41">
        <f>IF(AQ68="7",BI68,0)</f>
        <v>0</v>
      </c>
      <c r="AF68" s="41">
        <f>IF(AQ68="2",BH68,0)</f>
        <v>0</v>
      </c>
      <c r="AG68" s="41">
        <f>IF(AQ68="2",BI68,0)</f>
        <v>0</v>
      </c>
      <c r="AH68" s="41">
        <f>IF(AQ68="0",BJ68,0)</f>
        <v>0</v>
      </c>
      <c r="AI68" s="31"/>
      <c r="AJ68" s="21">
        <f>IF(AN68=0,K68,0)</f>
        <v>0</v>
      </c>
      <c r="AK68" s="21">
        <f>IF(AN68=15,K68,0)</f>
        <v>0</v>
      </c>
      <c r="AL68" s="21">
        <f>IF(AN68=21,K68,0)</f>
        <v>0</v>
      </c>
      <c r="AN68" s="41">
        <v>15</v>
      </c>
      <c r="AO68" s="41">
        <f>H68*0.343929765886288</f>
        <v>0</v>
      </c>
      <c r="AP68" s="41">
        <f>H68*(1-0.343929765886288)</f>
        <v>0</v>
      </c>
      <c r="AQ68" s="42" t="s">
        <v>12</v>
      </c>
      <c r="AV68" s="41">
        <f>AW68+AX68</f>
        <v>0</v>
      </c>
      <c r="AW68" s="41">
        <f>G68*AO68</f>
        <v>0</v>
      </c>
      <c r="AX68" s="41">
        <f>G68*AP68</f>
        <v>0</v>
      </c>
      <c r="AY68" s="44" t="s">
        <v>387</v>
      </c>
      <c r="AZ68" s="44" t="s">
        <v>405</v>
      </c>
      <c r="BA68" s="31" t="s">
        <v>409</v>
      </c>
      <c r="BC68" s="41">
        <f>AW68+AX68</f>
        <v>0</v>
      </c>
      <c r="BD68" s="41">
        <f>H68/(100-BE68)*100</f>
        <v>0</v>
      </c>
      <c r="BE68" s="41">
        <v>0</v>
      </c>
      <c r="BF68" s="41">
        <f>M68</f>
        <v>0.016119599999999998</v>
      </c>
      <c r="BH68" s="21">
        <f>G68*AO68</f>
        <v>0</v>
      </c>
      <c r="BI68" s="21">
        <f>G68*AP68</f>
        <v>0</v>
      </c>
      <c r="BJ68" s="21">
        <f>G68*H68</f>
        <v>0</v>
      </c>
      <c r="BK68" s="21" t="s">
        <v>414</v>
      </c>
      <c r="BL68" s="41">
        <v>771</v>
      </c>
    </row>
    <row r="69" spans="1:47" ht="12.75">
      <c r="A69" s="5"/>
      <c r="B69" s="14"/>
      <c r="C69" s="14" t="s">
        <v>154</v>
      </c>
      <c r="D69" s="139" t="s">
        <v>273</v>
      </c>
      <c r="E69" s="140"/>
      <c r="F69" s="19" t="s">
        <v>5</v>
      </c>
      <c r="G69" s="19" t="s">
        <v>5</v>
      </c>
      <c r="H69" s="19"/>
      <c r="I69" s="47">
        <f>SUM(I70:I70)</f>
        <v>0</v>
      </c>
      <c r="J69" s="47">
        <f>SUM(J70:J70)</f>
        <v>0</v>
      </c>
      <c r="K69" s="47">
        <f>SUM(K70:K70)</f>
        <v>0</v>
      </c>
      <c r="L69" s="31"/>
      <c r="M69" s="47">
        <f>SUM(M70:M70)</f>
        <v>0</v>
      </c>
      <c r="N69" s="36"/>
      <c r="O69" s="39"/>
      <c r="AI69" s="31"/>
      <c r="AS69" s="47">
        <f>SUM(AJ70:AJ70)</f>
        <v>0</v>
      </c>
      <c r="AT69" s="47">
        <f>SUM(AK70:AK70)</f>
        <v>0</v>
      </c>
      <c r="AU69" s="47">
        <f>SUM(AL70:AL70)</f>
        <v>0</v>
      </c>
    </row>
    <row r="70" spans="1:64" ht="12.75">
      <c r="A70" s="4" t="s">
        <v>52</v>
      </c>
      <c r="B70" s="13"/>
      <c r="C70" s="13" t="s">
        <v>155</v>
      </c>
      <c r="D70" s="137" t="s">
        <v>274</v>
      </c>
      <c r="E70" s="138"/>
      <c r="F70" s="13" t="s">
        <v>339</v>
      </c>
      <c r="G70" s="21">
        <v>2</v>
      </c>
      <c r="H70" s="21">
        <v>0</v>
      </c>
      <c r="I70" s="21">
        <f>G70*AO70</f>
        <v>0</v>
      </c>
      <c r="J70" s="21">
        <f>G70*AP70</f>
        <v>0</v>
      </c>
      <c r="K70" s="21">
        <f>G70*H70</f>
        <v>0</v>
      </c>
      <c r="L70" s="21">
        <v>0</v>
      </c>
      <c r="M70" s="21">
        <f>G70*L70</f>
        <v>0</v>
      </c>
      <c r="N70" s="35" t="s">
        <v>365</v>
      </c>
      <c r="O70" s="39"/>
      <c r="Z70" s="41">
        <f>IF(AQ70="5",BJ70,0)</f>
        <v>0</v>
      </c>
      <c r="AB70" s="41">
        <f>IF(AQ70="1",BH70,0)</f>
        <v>0</v>
      </c>
      <c r="AC70" s="41">
        <f>IF(AQ70="1",BI70,0)</f>
        <v>0</v>
      </c>
      <c r="AD70" s="41">
        <f>IF(AQ70="7",BH70,0)</f>
        <v>0</v>
      </c>
      <c r="AE70" s="41">
        <f>IF(AQ70="7",BI70,0)</f>
        <v>0</v>
      </c>
      <c r="AF70" s="41">
        <f>IF(AQ70="2",BH70,0)</f>
        <v>0</v>
      </c>
      <c r="AG70" s="41">
        <f>IF(AQ70="2",BI70,0)</f>
        <v>0</v>
      </c>
      <c r="AH70" s="41">
        <f>IF(AQ70="0",BJ70,0)</f>
        <v>0</v>
      </c>
      <c r="AI70" s="31"/>
      <c r="AJ70" s="21">
        <f>IF(AN70=0,K70,0)</f>
        <v>0</v>
      </c>
      <c r="AK70" s="21">
        <f>IF(AN70=15,K70,0)</f>
        <v>0</v>
      </c>
      <c r="AL70" s="21">
        <f>IF(AN70=21,K70,0)</f>
        <v>0</v>
      </c>
      <c r="AN70" s="41">
        <v>15</v>
      </c>
      <c r="AO70" s="41">
        <f>H70*0</f>
        <v>0</v>
      </c>
      <c r="AP70" s="41">
        <f>H70*(1-0)</f>
        <v>0</v>
      </c>
      <c r="AQ70" s="42" t="s">
        <v>12</v>
      </c>
      <c r="AV70" s="41">
        <f>AW70+AX70</f>
        <v>0</v>
      </c>
      <c r="AW70" s="41">
        <f>G70*AO70</f>
        <v>0</v>
      </c>
      <c r="AX70" s="41">
        <f>G70*AP70</f>
        <v>0</v>
      </c>
      <c r="AY70" s="44" t="s">
        <v>388</v>
      </c>
      <c r="AZ70" s="44" t="s">
        <v>405</v>
      </c>
      <c r="BA70" s="31" t="s">
        <v>409</v>
      </c>
      <c r="BC70" s="41">
        <f>AW70+AX70</f>
        <v>0</v>
      </c>
      <c r="BD70" s="41">
        <f>H70/(100-BE70)*100</f>
        <v>0</v>
      </c>
      <c r="BE70" s="41">
        <v>0</v>
      </c>
      <c r="BF70" s="41">
        <f>M70</f>
        <v>0</v>
      </c>
      <c r="BH70" s="21">
        <f>G70*AO70</f>
        <v>0</v>
      </c>
      <c r="BI70" s="21">
        <f>G70*AP70</f>
        <v>0</v>
      </c>
      <c r="BJ70" s="21">
        <f>G70*H70</f>
        <v>0</v>
      </c>
      <c r="BK70" s="21" t="s">
        <v>414</v>
      </c>
      <c r="BL70" s="41">
        <v>775</v>
      </c>
    </row>
    <row r="71" spans="1:47" ht="12.75">
      <c r="A71" s="5"/>
      <c r="B71" s="14"/>
      <c r="C71" s="14" t="s">
        <v>156</v>
      </c>
      <c r="D71" s="139" t="s">
        <v>275</v>
      </c>
      <c r="E71" s="140"/>
      <c r="F71" s="19" t="s">
        <v>5</v>
      </c>
      <c r="G71" s="19" t="s">
        <v>5</v>
      </c>
      <c r="H71" s="19" t="s">
        <v>5</v>
      </c>
      <c r="I71" s="47">
        <f>SUM(I72:I73)</f>
        <v>0</v>
      </c>
      <c r="J71" s="47">
        <f>SUM(J72:J73)</f>
        <v>0</v>
      </c>
      <c r="K71" s="47">
        <f>SUM(K72:K73)</f>
        <v>0</v>
      </c>
      <c r="L71" s="31"/>
      <c r="M71" s="47">
        <f>SUM(M72:M73)</f>
        <v>0.37324080000000004</v>
      </c>
      <c r="N71" s="36"/>
      <c r="O71" s="39"/>
      <c r="AI71" s="31"/>
      <c r="AS71" s="47">
        <f>SUM(AJ72:AJ73)</f>
        <v>0</v>
      </c>
      <c r="AT71" s="47">
        <f>SUM(AK72:AK73)</f>
        <v>0</v>
      </c>
      <c r="AU71" s="47">
        <f>SUM(AL72:AL73)</f>
        <v>0</v>
      </c>
    </row>
    <row r="72" spans="1:64" ht="12.75">
      <c r="A72" s="4" t="s">
        <v>53</v>
      </c>
      <c r="B72" s="13"/>
      <c r="C72" s="13" t="s">
        <v>157</v>
      </c>
      <c r="D72" s="137" t="s">
        <v>276</v>
      </c>
      <c r="E72" s="138"/>
      <c r="F72" s="13" t="s">
        <v>338</v>
      </c>
      <c r="G72" s="21">
        <v>41.7</v>
      </c>
      <c r="H72" s="21">
        <v>0</v>
      </c>
      <c r="I72" s="21">
        <f>G72*AO72</f>
        <v>0</v>
      </c>
      <c r="J72" s="21">
        <f>G72*AP72</f>
        <v>0</v>
      </c>
      <c r="K72" s="21">
        <f>G72*H72</f>
        <v>0</v>
      </c>
      <c r="L72" s="21">
        <v>0.00108</v>
      </c>
      <c r="M72" s="21">
        <f>G72*L72</f>
        <v>0.04503600000000001</v>
      </c>
      <c r="N72" s="35" t="s">
        <v>365</v>
      </c>
      <c r="O72" s="39"/>
      <c r="Z72" s="41">
        <f>IF(AQ72="5",BJ72,0)</f>
        <v>0</v>
      </c>
      <c r="AB72" s="41">
        <f>IF(AQ72="1",BH72,0)</f>
        <v>0</v>
      </c>
      <c r="AC72" s="41">
        <f>IF(AQ72="1",BI72,0)</f>
        <v>0</v>
      </c>
      <c r="AD72" s="41">
        <f>IF(AQ72="7",BH72,0)</f>
        <v>0</v>
      </c>
      <c r="AE72" s="41">
        <f>IF(AQ72="7",BI72,0)</f>
        <v>0</v>
      </c>
      <c r="AF72" s="41">
        <f>IF(AQ72="2",BH72,0)</f>
        <v>0</v>
      </c>
      <c r="AG72" s="41">
        <f>IF(AQ72="2",BI72,0)</f>
        <v>0</v>
      </c>
      <c r="AH72" s="41">
        <f>IF(AQ72="0",BJ72,0)</f>
        <v>0</v>
      </c>
      <c r="AI72" s="31"/>
      <c r="AJ72" s="21">
        <f>IF(AN72=0,K72,0)</f>
        <v>0</v>
      </c>
      <c r="AK72" s="21">
        <f>IF(AN72=15,K72,0)</f>
        <v>0</v>
      </c>
      <c r="AL72" s="21">
        <f>IF(AN72=21,K72,0)</f>
        <v>0</v>
      </c>
      <c r="AN72" s="41">
        <v>15</v>
      </c>
      <c r="AO72" s="41">
        <f>H72*0</f>
        <v>0</v>
      </c>
      <c r="AP72" s="41">
        <f>H72*(1-0)</f>
        <v>0</v>
      </c>
      <c r="AQ72" s="42" t="s">
        <v>12</v>
      </c>
      <c r="AV72" s="41">
        <f>AW72+AX72</f>
        <v>0</v>
      </c>
      <c r="AW72" s="41">
        <f>G72*AO72</f>
        <v>0</v>
      </c>
      <c r="AX72" s="41">
        <f>G72*AP72</f>
        <v>0</v>
      </c>
      <c r="AY72" s="44" t="s">
        <v>389</v>
      </c>
      <c r="AZ72" s="44" t="s">
        <v>405</v>
      </c>
      <c r="BA72" s="31" t="s">
        <v>409</v>
      </c>
      <c r="BC72" s="41">
        <f>AW72+AX72</f>
        <v>0</v>
      </c>
      <c r="BD72" s="41">
        <f>H72/(100-BE72)*100</f>
        <v>0</v>
      </c>
      <c r="BE72" s="41">
        <v>0</v>
      </c>
      <c r="BF72" s="41">
        <f>M72</f>
        <v>0.04503600000000001</v>
      </c>
      <c r="BH72" s="21">
        <f>G72*AO72</f>
        <v>0</v>
      </c>
      <c r="BI72" s="21">
        <f>G72*AP72</f>
        <v>0</v>
      </c>
      <c r="BJ72" s="21">
        <f>G72*H72</f>
        <v>0</v>
      </c>
      <c r="BK72" s="21" t="s">
        <v>414</v>
      </c>
      <c r="BL72" s="41">
        <v>776</v>
      </c>
    </row>
    <row r="73" spans="1:64" ht="12.75">
      <c r="A73" s="4" t="s">
        <v>54</v>
      </c>
      <c r="B73" s="13"/>
      <c r="C73" s="13" t="s">
        <v>158</v>
      </c>
      <c r="D73" s="137" t="s">
        <v>277</v>
      </c>
      <c r="E73" s="138"/>
      <c r="F73" s="13" t="s">
        <v>338</v>
      </c>
      <c r="G73" s="21">
        <v>36.63</v>
      </c>
      <c r="H73" s="21">
        <v>0</v>
      </c>
      <c r="I73" s="21">
        <f>G73*AO73</f>
        <v>0</v>
      </c>
      <c r="J73" s="21">
        <f>G73*AP73</f>
        <v>0</v>
      </c>
      <c r="K73" s="21">
        <f>G73*H73</f>
        <v>0</v>
      </c>
      <c r="L73" s="21">
        <v>0.00896</v>
      </c>
      <c r="M73" s="21">
        <f>G73*L73</f>
        <v>0.3282048</v>
      </c>
      <c r="N73" s="35" t="s">
        <v>365</v>
      </c>
      <c r="O73" s="39"/>
      <c r="Z73" s="41">
        <f>IF(AQ73="5",BJ73,0)</f>
        <v>0</v>
      </c>
      <c r="AB73" s="41">
        <f>IF(AQ73="1",BH73,0)</f>
        <v>0</v>
      </c>
      <c r="AC73" s="41">
        <f>IF(AQ73="1",BI73,0)</f>
        <v>0</v>
      </c>
      <c r="AD73" s="41">
        <f>IF(AQ73="7",BH73,0)</f>
        <v>0</v>
      </c>
      <c r="AE73" s="41">
        <f>IF(AQ73="7",BI73,0)</f>
        <v>0</v>
      </c>
      <c r="AF73" s="41">
        <f>IF(AQ73="2",BH73,0)</f>
        <v>0</v>
      </c>
      <c r="AG73" s="41">
        <f>IF(AQ73="2",BI73,0)</f>
        <v>0</v>
      </c>
      <c r="AH73" s="41">
        <f>IF(AQ73="0",BJ73,0)</f>
        <v>0</v>
      </c>
      <c r="AI73" s="31"/>
      <c r="AJ73" s="21">
        <f>IF(AN73=0,K73,0)</f>
        <v>0</v>
      </c>
      <c r="AK73" s="21">
        <f>IF(AN73=15,K73,0)</f>
        <v>0</v>
      </c>
      <c r="AL73" s="21">
        <f>IF(AN73=21,K73,0)</f>
        <v>0</v>
      </c>
      <c r="AN73" s="41">
        <v>15</v>
      </c>
      <c r="AO73" s="41">
        <f>H73*0.716879828858436</f>
        <v>0</v>
      </c>
      <c r="AP73" s="41">
        <f>H73*(1-0.716879828858436)</f>
        <v>0</v>
      </c>
      <c r="AQ73" s="42" t="s">
        <v>12</v>
      </c>
      <c r="AV73" s="41">
        <f>AW73+AX73</f>
        <v>0</v>
      </c>
      <c r="AW73" s="41">
        <f>G73*AO73</f>
        <v>0</v>
      </c>
      <c r="AX73" s="41">
        <f>G73*AP73</f>
        <v>0</v>
      </c>
      <c r="AY73" s="44" t="s">
        <v>389</v>
      </c>
      <c r="AZ73" s="44" t="s">
        <v>405</v>
      </c>
      <c r="BA73" s="31" t="s">
        <v>409</v>
      </c>
      <c r="BC73" s="41">
        <f>AW73+AX73</f>
        <v>0</v>
      </c>
      <c r="BD73" s="41">
        <f>H73/(100-BE73)*100</f>
        <v>0</v>
      </c>
      <c r="BE73" s="41">
        <v>0</v>
      </c>
      <c r="BF73" s="41">
        <f>M73</f>
        <v>0.3282048</v>
      </c>
      <c r="BH73" s="21">
        <f>G73*AO73</f>
        <v>0</v>
      </c>
      <c r="BI73" s="21">
        <f>G73*AP73</f>
        <v>0</v>
      </c>
      <c r="BJ73" s="21">
        <f>G73*H73</f>
        <v>0</v>
      </c>
      <c r="BK73" s="21" t="s">
        <v>414</v>
      </c>
      <c r="BL73" s="41">
        <v>776</v>
      </c>
    </row>
    <row r="74" spans="1:47" ht="12.75">
      <c r="A74" s="5"/>
      <c r="B74" s="14"/>
      <c r="C74" s="14" t="s">
        <v>159</v>
      </c>
      <c r="D74" s="139" t="s">
        <v>278</v>
      </c>
      <c r="E74" s="140"/>
      <c r="F74" s="19" t="s">
        <v>5</v>
      </c>
      <c r="G74" s="19" t="s">
        <v>5</v>
      </c>
      <c r="H74" s="19" t="s">
        <v>5</v>
      </c>
      <c r="I74" s="47">
        <f>SUM(I75:I75)</f>
        <v>0</v>
      </c>
      <c r="J74" s="47">
        <f>SUM(J75:J75)</f>
        <v>0</v>
      </c>
      <c r="K74" s="47">
        <f>SUM(K75:K75)</f>
        <v>0</v>
      </c>
      <c r="L74" s="31"/>
      <c r="M74" s="47">
        <f>SUM(M75:M75)</f>
        <v>0</v>
      </c>
      <c r="N74" s="36"/>
      <c r="O74" s="39"/>
      <c r="AI74" s="31"/>
      <c r="AS74" s="47">
        <f>SUM(AJ75:AJ75)</f>
        <v>0</v>
      </c>
      <c r="AT74" s="47">
        <f>SUM(AK75:AK75)</f>
        <v>0</v>
      </c>
      <c r="AU74" s="47">
        <f>SUM(AL75:AL75)</f>
        <v>0</v>
      </c>
    </row>
    <row r="75" spans="1:64" ht="12.75">
      <c r="A75" s="4" t="s">
        <v>55</v>
      </c>
      <c r="B75" s="13"/>
      <c r="C75" s="13" t="s">
        <v>160</v>
      </c>
      <c r="D75" s="137" t="s">
        <v>279</v>
      </c>
      <c r="E75" s="138"/>
      <c r="F75" s="13" t="s">
        <v>338</v>
      </c>
      <c r="G75" s="21">
        <v>19.75</v>
      </c>
      <c r="H75" s="21">
        <v>0</v>
      </c>
      <c r="I75" s="21">
        <f>G75*AO75</f>
        <v>0</v>
      </c>
      <c r="J75" s="21">
        <f>G75*AP75</f>
        <v>0</v>
      </c>
      <c r="K75" s="21">
        <f>G75*H75</f>
        <v>0</v>
      </c>
      <c r="L75" s="21">
        <v>0</v>
      </c>
      <c r="M75" s="21">
        <f>G75*L75</f>
        <v>0</v>
      </c>
      <c r="N75" s="35" t="s">
        <v>365</v>
      </c>
      <c r="O75" s="39"/>
      <c r="Z75" s="41">
        <f>IF(AQ75="5",BJ75,0)</f>
        <v>0</v>
      </c>
      <c r="AB75" s="41">
        <f>IF(AQ75="1",BH75,0)</f>
        <v>0</v>
      </c>
      <c r="AC75" s="41">
        <f>IF(AQ75="1",BI75,0)</f>
        <v>0</v>
      </c>
      <c r="AD75" s="41">
        <f>IF(AQ75="7",BH75,0)</f>
        <v>0</v>
      </c>
      <c r="AE75" s="41">
        <f>IF(AQ75="7",BI75,0)</f>
        <v>0</v>
      </c>
      <c r="AF75" s="41">
        <f>IF(AQ75="2",BH75,0)</f>
        <v>0</v>
      </c>
      <c r="AG75" s="41">
        <f>IF(AQ75="2",BI75,0)</f>
        <v>0</v>
      </c>
      <c r="AH75" s="41">
        <f>IF(AQ75="0",BJ75,0)</f>
        <v>0</v>
      </c>
      <c r="AI75" s="31"/>
      <c r="AJ75" s="21">
        <f>IF(AN75=0,K75,0)</f>
        <v>0</v>
      </c>
      <c r="AK75" s="21">
        <f>IF(AN75=15,K75,0)</f>
        <v>0</v>
      </c>
      <c r="AL75" s="21">
        <f>IF(AN75=21,K75,0)</f>
        <v>0</v>
      </c>
      <c r="AN75" s="41">
        <v>15</v>
      </c>
      <c r="AO75" s="41">
        <f>H75*0</f>
        <v>0</v>
      </c>
      <c r="AP75" s="41">
        <f>H75*(1-0)</f>
        <v>0</v>
      </c>
      <c r="AQ75" s="42" t="s">
        <v>12</v>
      </c>
      <c r="AV75" s="41">
        <f>AW75+AX75</f>
        <v>0</v>
      </c>
      <c r="AW75" s="41">
        <f>G75*AO75</f>
        <v>0</v>
      </c>
      <c r="AX75" s="41">
        <f>G75*AP75</f>
        <v>0</v>
      </c>
      <c r="AY75" s="44" t="s">
        <v>390</v>
      </c>
      <c r="AZ75" s="44" t="s">
        <v>406</v>
      </c>
      <c r="BA75" s="31" t="s">
        <v>409</v>
      </c>
      <c r="BC75" s="41">
        <f>AW75+AX75</f>
        <v>0</v>
      </c>
      <c r="BD75" s="41">
        <f>H75/(100-BE75)*100</f>
        <v>0</v>
      </c>
      <c r="BE75" s="41">
        <v>0</v>
      </c>
      <c r="BF75" s="41">
        <f>M75</f>
        <v>0</v>
      </c>
      <c r="BH75" s="21">
        <f>G75*AO75</f>
        <v>0</v>
      </c>
      <c r="BI75" s="21">
        <f>G75*AP75</f>
        <v>0</v>
      </c>
      <c r="BJ75" s="21">
        <f>G75*H75</f>
        <v>0</v>
      </c>
      <c r="BK75" s="21" t="s">
        <v>414</v>
      </c>
      <c r="BL75" s="41">
        <v>781</v>
      </c>
    </row>
    <row r="76" spans="1:47" ht="12.75">
      <c r="A76" s="5"/>
      <c r="B76" s="14"/>
      <c r="C76" s="14" t="s">
        <v>161</v>
      </c>
      <c r="D76" s="139" t="s">
        <v>280</v>
      </c>
      <c r="E76" s="140"/>
      <c r="F76" s="19" t="s">
        <v>5</v>
      </c>
      <c r="G76" s="19" t="s">
        <v>5</v>
      </c>
      <c r="H76" s="19" t="s">
        <v>5</v>
      </c>
      <c r="I76" s="47">
        <f>SUM(I77:I79)</f>
        <v>0</v>
      </c>
      <c r="J76" s="47">
        <f>SUM(J77:J79)</f>
        <v>0</v>
      </c>
      <c r="K76" s="47">
        <f>SUM(K77:K79)</f>
        <v>0</v>
      </c>
      <c r="L76" s="31"/>
      <c r="M76" s="47">
        <f>SUM(M77:M79)</f>
        <v>0.0876372</v>
      </c>
      <c r="N76" s="36"/>
      <c r="O76" s="39"/>
      <c r="AI76" s="31"/>
      <c r="AS76" s="47">
        <f>SUM(AJ77:AJ79)</f>
        <v>0</v>
      </c>
      <c r="AT76" s="47">
        <f>SUM(AK77:AK79)</f>
        <v>0</v>
      </c>
      <c r="AU76" s="47">
        <f>SUM(AL77:AL79)</f>
        <v>0</v>
      </c>
    </row>
    <row r="77" spans="1:64" ht="12.75">
      <c r="A77" s="4" t="s">
        <v>56</v>
      </c>
      <c r="B77" s="13"/>
      <c r="C77" s="13" t="s">
        <v>162</v>
      </c>
      <c r="D77" s="137" t="s">
        <v>281</v>
      </c>
      <c r="E77" s="138"/>
      <c r="F77" s="13" t="s">
        <v>338</v>
      </c>
      <c r="G77" s="21">
        <v>137.72</v>
      </c>
      <c r="H77" s="21">
        <v>0</v>
      </c>
      <c r="I77" s="21">
        <f>G77*AO77</f>
        <v>0</v>
      </c>
      <c r="J77" s="21">
        <f>G77*AP77</f>
        <v>0</v>
      </c>
      <c r="K77" s="21">
        <f>G77*H77</f>
        <v>0</v>
      </c>
      <c r="L77" s="21">
        <v>0.0002</v>
      </c>
      <c r="M77" s="21">
        <f>G77*L77</f>
        <v>0.027544000000000003</v>
      </c>
      <c r="N77" s="35" t="s">
        <v>365</v>
      </c>
      <c r="O77" s="39"/>
      <c r="Z77" s="41">
        <f>IF(AQ77="5",BJ77,0)</f>
        <v>0</v>
      </c>
      <c r="AB77" s="41">
        <f>IF(AQ77="1",BH77,0)</f>
        <v>0</v>
      </c>
      <c r="AC77" s="41">
        <f>IF(AQ77="1",BI77,0)</f>
        <v>0</v>
      </c>
      <c r="AD77" s="41">
        <f>IF(AQ77="7",BH77,0)</f>
        <v>0</v>
      </c>
      <c r="AE77" s="41">
        <f>IF(AQ77="7",BI77,0)</f>
        <v>0</v>
      </c>
      <c r="AF77" s="41">
        <f>IF(AQ77="2",BH77,0)</f>
        <v>0</v>
      </c>
      <c r="AG77" s="41">
        <f>IF(AQ77="2",BI77,0)</f>
        <v>0</v>
      </c>
      <c r="AH77" s="41">
        <f>IF(AQ77="0",BJ77,0)</f>
        <v>0</v>
      </c>
      <c r="AI77" s="31"/>
      <c r="AJ77" s="21">
        <f>IF(AN77=0,K77,0)</f>
        <v>0</v>
      </c>
      <c r="AK77" s="21">
        <f>IF(AN77=15,K77,0)</f>
        <v>0</v>
      </c>
      <c r="AL77" s="21">
        <f>IF(AN77=21,K77,0)</f>
        <v>0</v>
      </c>
      <c r="AN77" s="41">
        <v>15</v>
      </c>
      <c r="AO77" s="41">
        <f>H77*0.600731707317073</f>
        <v>0</v>
      </c>
      <c r="AP77" s="41">
        <f>H77*(1-0.600731707317073)</f>
        <v>0</v>
      </c>
      <c r="AQ77" s="42" t="s">
        <v>12</v>
      </c>
      <c r="AV77" s="41">
        <f>AW77+AX77</f>
        <v>0</v>
      </c>
      <c r="AW77" s="41">
        <f>G77*AO77</f>
        <v>0</v>
      </c>
      <c r="AX77" s="41">
        <f>G77*AP77</f>
        <v>0</v>
      </c>
      <c r="AY77" s="44" t="s">
        <v>391</v>
      </c>
      <c r="AZ77" s="44" t="s">
        <v>406</v>
      </c>
      <c r="BA77" s="31" t="s">
        <v>409</v>
      </c>
      <c r="BC77" s="41">
        <f>AW77+AX77</f>
        <v>0</v>
      </c>
      <c r="BD77" s="41">
        <f>H77/(100-BE77)*100</f>
        <v>0</v>
      </c>
      <c r="BE77" s="41">
        <v>0</v>
      </c>
      <c r="BF77" s="41">
        <f>M77</f>
        <v>0.027544000000000003</v>
      </c>
      <c r="BH77" s="21">
        <f>G77*AO77</f>
        <v>0</v>
      </c>
      <c r="BI77" s="21">
        <f>G77*AP77</f>
        <v>0</v>
      </c>
      <c r="BJ77" s="21">
        <f>G77*H77</f>
        <v>0</v>
      </c>
      <c r="BK77" s="21" t="s">
        <v>414</v>
      </c>
      <c r="BL77" s="41">
        <v>784</v>
      </c>
    </row>
    <row r="78" spans="1:64" ht="12.75">
      <c r="A78" s="4" t="s">
        <v>57</v>
      </c>
      <c r="B78" s="13"/>
      <c r="C78" s="13" t="s">
        <v>163</v>
      </c>
      <c r="D78" s="137" t="s">
        <v>282</v>
      </c>
      <c r="E78" s="138"/>
      <c r="F78" s="13" t="s">
        <v>338</v>
      </c>
      <c r="G78" s="21">
        <v>137.72</v>
      </c>
      <c r="H78" s="21">
        <v>0</v>
      </c>
      <c r="I78" s="21">
        <f>G78*AO78</f>
        <v>0</v>
      </c>
      <c r="J78" s="21">
        <f>G78*AP78</f>
        <v>0</v>
      </c>
      <c r="K78" s="21">
        <f>G78*H78</f>
        <v>0</v>
      </c>
      <c r="L78" s="21">
        <v>0.00031</v>
      </c>
      <c r="M78" s="21">
        <f>G78*L78</f>
        <v>0.0426932</v>
      </c>
      <c r="N78" s="35" t="s">
        <v>365</v>
      </c>
      <c r="O78" s="39"/>
      <c r="Z78" s="41">
        <f>IF(AQ78="5",BJ78,0)</f>
        <v>0</v>
      </c>
      <c r="AB78" s="41">
        <f>IF(AQ78="1",BH78,0)</f>
        <v>0</v>
      </c>
      <c r="AC78" s="41">
        <f>IF(AQ78="1",BI78,0)</f>
        <v>0</v>
      </c>
      <c r="AD78" s="41">
        <f>IF(AQ78="7",BH78,0)</f>
        <v>0</v>
      </c>
      <c r="AE78" s="41">
        <f>IF(AQ78="7",BI78,0)</f>
        <v>0</v>
      </c>
      <c r="AF78" s="41">
        <f>IF(AQ78="2",BH78,0)</f>
        <v>0</v>
      </c>
      <c r="AG78" s="41">
        <f>IF(AQ78="2",BI78,0)</f>
        <v>0</v>
      </c>
      <c r="AH78" s="41">
        <f>IF(AQ78="0",BJ78,0)</f>
        <v>0</v>
      </c>
      <c r="AI78" s="31"/>
      <c r="AJ78" s="21">
        <f>IF(AN78=0,K78,0)</f>
        <v>0</v>
      </c>
      <c r="AK78" s="21">
        <f>IF(AN78=15,K78,0)</f>
        <v>0</v>
      </c>
      <c r="AL78" s="21">
        <f>IF(AN78=21,K78,0)</f>
        <v>0</v>
      </c>
      <c r="AN78" s="41">
        <v>15</v>
      </c>
      <c r="AO78" s="41">
        <f>H78*0.316751510510589</f>
        <v>0</v>
      </c>
      <c r="AP78" s="41">
        <f>H78*(1-0.316751510510589)</f>
        <v>0</v>
      </c>
      <c r="AQ78" s="42" t="s">
        <v>12</v>
      </c>
      <c r="AV78" s="41">
        <f>AW78+AX78</f>
        <v>0</v>
      </c>
      <c r="AW78" s="41">
        <f>G78*AO78</f>
        <v>0</v>
      </c>
      <c r="AX78" s="41">
        <f>G78*AP78</f>
        <v>0</v>
      </c>
      <c r="AY78" s="44" t="s">
        <v>391</v>
      </c>
      <c r="AZ78" s="44" t="s">
        <v>406</v>
      </c>
      <c r="BA78" s="31" t="s">
        <v>409</v>
      </c>
      <c r="BC78" s="41">
        <f>AW78+AX78</f>
        <v>0</v>
      </c>
      <c r="BD78" s="41">
        <f>H78/(100-BE78)*100</f>
        <v>0</v>
      </c>
      <c r="BE78" s="41">
        <v>0</v>
      </c>
      <c r="BF78" s="41">
        <f>M78</f>
        <v>0.0426932</v>
      </c>
      <c r="BH78" s="21">
        <f>G78*AO78</f>
        <v>0</v>
      </c>
      <c r="BI78" s="21">
        <f>G78*AP78</f>
        <v>0</v>
      </c>
      <c r="BJ78" s="21">
        <f>G78*H78</f>
        <v>0</v>
      </c>
      <c r="BK78" s="21" t="s">
        <v>414</v>
      </c>
      <c r="BL78" s="41">
        <v>784</v>
      </c>
    </row>
    <row r="79" spans="1:64" ht="12.75">
      <c r="A79" s="4" t="s">
        <v>58</v>
      </c>
      <c r="B79" s="13"/>
      <c r="C79" s="13" t="s">
        <v>164</v>
      </c>
      <c r="D79" s="137" t="s">
        <v>283</v>
      </c>
      <c r="E79" s="138"/>
      <c r="F79" s="13" t="s">
        <v>338</v>
      </c>
      <c r="G79" s="21">
        <v>60</v>
      </c>
      <c r="H79" s="21">
        <v>0</v>
      </c>
      <c r="I79" s="21">
        <f>G79*AO79</f>
        <v>0</v>
      </c>
      <c r="J79" s="21">
        <f>G79*AP79</f>
        <v>0</v>
      </c>
      <c r="K79" s="21">
        <f>G79*H79</f>
        <v>0</v>
      </c>
      <c r="L79" s="21">
        <v>0.00029</v>
      </c>
      <c r="M79" s="21">
        <f>G79*L79</f>
        <v>0.0174</v>
      </c>
      <c r="N79" s="35" t="s">
        <v>365</v>
      </c>
      <c r="O79" s="39"/>
      <c r="Z79" s="41">
        <f>IF(AQ79="5",BJ79,0)</f>
        <v>0</v>
      </c>
      <c r="AB79" s="41">
        <f>IF(AQ79="1",BH79,0)</f>
        <v>0</v>
      </c>
      <c r="AC79" s="41">
        <f>IF(AQ79="1",BI79,0)</f>
        <v>0</v>
      </c>
      <c r="AD79" s="41">
        <f>IF(AQ79="7",BH79,0)</f>
        <v>0</v>
      </c>
      <c r="AE79" s="41">
        <f>IF(AQ79="7",BI79,0)</f>
        <v>0</v>
      </c>
      <c r="AF79" s="41">
        <f>IF(AQ79="2",BH79,0)</f>
        <v>0</v>
      </c>
      <c r="AG79" s="41">
        <f>IF(AQ79="2",BI79,0)</f>
        <v>0</v>
      </c>
      <c r="AH79" s="41">
        <f>IF(AQ79="0",BJ79,0)</f>
        <v>0</v>
      </c>
      <c r="AI79" s="31"/>
      <c r="AJ79" s="21">
        <f>IF(AN79=0,K79,0)</f>
        <v>0</v>
      </c>
      <c r="AK79" s="21">
        <f>IF(AN79=15,K79,0)</f>
        <v>0</v>
      </c>
      <c r="AL79" s="21">
        <f>IF(AN79=21,K79,0)</f>
        <v>0</v>
      </c>
      <c r="AN79" s="41">
        <v>15</v>
      </c>
      <c r="AO79" s="41">
        <f>H79*0.229989658738366</f>
        <v>0</v>
      </c>
      <c r="AP79" s="41">
        <f>H79*(1-0.229989658738366)</f>
        <v>0</v>
      </c>
      <c r="AQ79" s="42" t="s">
        <v>12</v>
      </c>
      <c r="AV79" s="41">
        <f>AW79+AX79</f>
        <v>0</v>
      </c>
      <c r="AW79" s="41">
        <f>G79*AO79</f>
        <v>0</v>
      </c>
      <c r="AX79" s="41">
        <f>G79*AP79</f>
        <v>0</v>
      </c>
      <c r="AY79" s="44" t="s">
        <v>391</v>
      </c>
      <c r="AZ79" s="44" t="s">
        <v>406</v>
      </c>
      <c r="BA79" s="31" t="s">
        <v>409</v>
      </c>
      <c r="BC79" s="41">
        <f>AW79+AX79</f>
        <v>0</v>
      </c>
      <c r="BD79" s="41">
        <f>H79/(100-BE79)*100</f>
        <v>0</v>
      </c>
      <c r="BE79" s="41">
        <v>0</v>
      </c>
      <c r="BF79" s="41">
        <f>M79</f>
        <v>0.0174</v>
      </c>
      <c r="BH79" s="21">
        <f>G79*AO79</f>
        <v>0</v>
      </c>
      <c r="BI79" s="21">
        <f>G79*AP79</f>
        <v>0</v>
      </c>
      <c r="BJ79" s="21">
        <f>G79*H79</f>
        <v>0</v>
      </c>
      <c r="BK79" s="21" t="s">
        <v>414</v>
      </c>
      <c r="BL79" s="41">
        <v>784</v>
      </c>
    </row>
    <row r="80" spans="1:47" ht="12.75">
      <c r="A80" s="5"/>
      <c r="B80" s="14"/>
      <c r="C80" s="14" t="s">
        <v>165</v>
      </c>
      <c r="D80" s="139" t="s">
        <v>284</v>
      </c>
      <c r="E80" s="140"/>
      <c r="F80" s="19" t="s">
        <v>5</v>
      </c>
      <c r="G80" s="19" t="s">
        <v>5</v>
      </c>
      <c r="H80" s="19" t="s">
        <v>5</v>
      </c>
      <c r="I80" s="47">
        <f>SUM(I81:I83)</f>
        <v>0</v>
      </c>
      <c r="J80" s="47">
        <f>SUM(J81:J83)</f>
        <v>0</v>
      </c>
      <c r="K80" s="47">
        <f>SUM(K81:K83)</f>
        <v>0</v>
      </c>
      <c r="L80" s="31"/>
      <c r="M80" s="47">
        <f>SUM(M81:M83)</f>
        <v>0.0401828</v>
      </c>
      <c r="N80" s="36"/>
      <c r="O80" s="39"/>
      <c r="AI80" s="31"/>
      <c r="AS80" s="47">
        <f>SUM(AJ81:AJ83)</f>
        <v>0</v>
      </c>
      <c r="AT80" s="47">
        <f>SUM(AK81:AK83)</f>
        <v>0</v>
      </c>
      <c r="AU80" s="47">
        <f>SUM(AL81:AL83)</f>
        <v>0</v>
      </c>
    </row>
    <row r="81" spans="1:64" ht="12.75">
      <c r="A81" s="4" t="s">
        <v>59</v>
      </c>
      <c r="B81" s="13"/>
      <c r="C81" s="13" t="s">
        <v>166</v>
      </c>
      <c r="D81" s="137" t="s">
        <v>285</v>
      </c>
      <c r="E81" s="138"/>
      <c r="F81" s="13" t="s">
        <v>338</v>
      </c>
      <c r="G81" s="21">
        <v>40.67</v>
      </c>
      <c r="H81" s="21">
        <v>0</v>
      </c>
      <c r="I81" s="21">
        <f>G81*AO81</f>
        <v>0</v>
      </c>
      <c r="J81" s="21">
        <f>G81*AP81</f>
        <v>0</v>
      </c>
      <c r="K81" s="21">
        <f>G81*H81</f>
        <v>0</v>
      </c>
      <c r="L81" s="21">
        <v>4E-05</v>
      </c>
      <c r="M81" s="21">
        <f>G81*L81</f>
        <v>0.0016268000000000003</v>
      </c>
      <c r="N81" s="35" t="s">
        <v>365</v>
      </c>
      <c r="O81" s="39"/>
      <c r="Z81" s="41">
        <f>IF(AQ81="5",BJ81,0)</f>
        <v>0</v>
      </c>
      <c r="AB81" s="41">
        <f>IF(AQ81="1",BH81,0)</f>
        <v>0</v>
      </c>
      <c r="AC81" s="41">
        <f>IF(AQ81="1",BI81,0)</f>
        <v>0</v>
      </c>
      <c r="AD81" s="41">
        <f>IF(AQ81="7",BH81,0)</f>
        <v>0</v>
      </c>
      <c r="AE81" s="41">
        <f>IF(AQ81="7",BI81,0)</f>
        <v>0</v>
      </c>
      <c r="AF81" s="41">
        <f>IF(AQ81="2",BH81,0)</f>
        <v>0</v>
      </c>
      <c r="AG81" s="41">
        <f>IF(AQ81="2",BI81,0)</f>
        <v>0</v>
      </c>
      <c r="AH81" s="41">
        <f>IF(AQ81="0",BJ81,0)</f>
        <v>0</v>
      </c>
      <c r="AI81" s="31"/>
      <c r="AJ81" s="21">
        <f>IF(AN81=0,K81,0)</f>
        <v>0</v>
      </c>
      <c r="AK81" s="21">
        <f>IF(AN81=15,K81,0)</f>
        <v>0</v>
      </c>
      <c r="AL81" s="21">
        <f>IF(AN81=21,K81,0)</f>
        <v>0</v>
      </c>
      <c r="AN81" s="41">
        <v>15</v>
      </c>
      <c r="AO81" s="41">
        <f>H81*0.0124696232143746</f>
        <v>0</v>
      </c>
      <c r="AP81" s="41">
        <f>H81*(1-0.0124696232143746)</f>
        <v>0</v>
      </c>
      <c r="AQ81" s="42" t="s">
        <v>6</v>
      </c>
      <c r="AV81" s="41">
        <f>AW81+AX81</f>
        <v>0</v>
      </c>
      <c r="AW81" s="41">
        <f>G81*AO81</f>
        <v>0</v>
      </c>
      <c r="AX81" s="41">
        <f>G81*AP81</f>
        <v>0</v>
      </c>
      <c r="AY81" s="44" t="s">
        <v>392</v>
      </c>
      <c r="AZ81" s="44" t="s">
        <v>407</v>
      </c>
      <c r="BA81" s="31" t="s">
        <v>409</v>
      </c>
      <c r="BC81" s="41">
        <f>AW81+AX81</f>
        <v>0</v>
      </c>
      <c r="BD81" s="41">
        <f>H81/(100-BE81)*100</f>
        <v>0</v>
      </c>
      <c r="BE81" s="41">
        <v>0</v>
      </c>
      <c r="BF81" s="41">
        <f>M81</f>
        <v>0.0016268000000000003</v>
      </c>
      <c r="BH81" s="21">
        <f>G81*AO81</f>
        <v>0</v>
      </c>
      <c r="BI81" s="21">
        <f>G81*AP81</f>
        <v>0</v>
      </c>
      <c r="BJ81" s="21">
        <f>G81*H81</f>
        <v>0</v>
      </c>
      <c r="BK81" s="21" t="s">
        <v>414</v>
      </c>
      <c r="BL81" s="41">
        <v>95</v>
      </c>
    </row>
    <row r="82" spans="1:64" ht="12.75">
      <c r="A82" s="4" t="s">
        <v>60</v>
      </c>
      <c r="B82" s="13"/>
      <c r="C82" s="13" t="s">
        <v>167</v>
      </c>
      <c r="D82" s="137" t="s">
        <v>286</v>
      </c>
      <c r="E82" s="138"/>
      <c r="F82" s="13" t="s">
        <v>338</v>
      </c>
      <c r="G82" s="21">
        <v>875</v>
      </c>
      <c r="H82" s="21">
        <v>0</v>
      </c>
      <c r="I82" s="21">
        <f>G82*AO82</f>
        <v>0</v>
      </c>
      <c r="J82" s="21">
        <f>G82*AP82</f>
        <v>0</v>
      </c>
      <c r="K82" s="21">
        <f>G82*H82</f>
        <v>0</v>
      </c>
      <c r="L82" s="21">
        <v>0</v>
      </c>
      <c r="M82" s="21">
        <f>G82*L82</f>
        <v>0</v>
      </c>
      <c r="N82" s="35" t="s">
        <v>365</v>
      </c>
      <c r="O82" s="39"/>
      <c r="Z82" s="41">
        <f>IF(AQ82="5",BJ82,0)</f>
        <v>0</v>
      </c>
      <c r="AB82" s="41">
        <f>IF(AQ82="1",BH82,0)</f>
        <v>0</v>
      </c>
      <c r="AC82" s="41">
        <f>IF(AQ82="1",BI82,0)</f>
        <v>0</v>
      </c>
      <c r="AD82" s="41">
        <f>IF(AQ82="7",BH82,0)</f>
        <v>0</v>
      </c>
      <c r="AE82" s="41">
        <f>IF(AQ82="7",BI82,0)</f>
        <v>0</v>
      </c>
      <c r="AF82" s="41">
        <f>IF(AQ82="2",BH82,0)</f>
        <v>0</v>
      </c>
      <c r="AG82" s="41">
        <f>IF(AQ82="2",BI82,0)</f>
        <v>0</v>
      </c>
      <c r="AH82" s="41">
        <f>IF(AQ82="0",BJ82,0)</f>
        <v>0</v>
      </c>
      <c r="AI82" s="31"/>
      <c r="AJ82" s="21">
        <f>IF(AN82=0,K82,0)</f>
        <v>0</v>
      </c>
      <c r="AK82" s="21">
        <f>IF(AN82=15,K82,0)</f>
        <v>0</v>
      </c>
      <c r="AL82" s="21">
        <f>IF(AN82=21,K82,0)</f>
        <v>0</v>
      </c>
      <c r="AN82" s="41">
        <v>15</v>
      </c>
      <c r="AO82" s="41">
        <f>H82*0</f>
        <v>0</v>
      </c>
      <c r="AP82" s="41">
        <f>H82*(1-0)</f>
        <v>0</v>
      </c>
      <c r="AQ82" s="42" t="s">
        <v>6</v>
      </c>
      <c r="AV82" s="41">
        <f>AW82+AX82</f>
        <v>0</v>
      </c>
      <c r="AW82" s="41">
        <f>G82*AO82</f>
        <v>0</v>
      </c>
      <c r="AX82" s="41">
        <f>G82*AP82</f>
        <v>0</v>
      </c>
      <c r="AY82" s="44" t="s">
        <v>392</v>
      </c>
      <c r="AZ82" s="44" t="s">
        <v>407</v>
      </c>
      <c r="BA82" s="31" t="s">
        <v>409</v>
      </c>
      <c r="BC82" s="41">
        <f>AW82+AX82</f>
        <v>0</v>
      </c>
      <c r="BD82" s="41">
        <f>H82/(100-BE82)*100</f>
        <v>0</v>
      </c>
      <c r="BE82" s="41">
        <v>0</v>
      </c>
      <c r="BF82" s="41">
        <f>M82</f>
        <v>0</v>
      </c>
      <c r="BH82" s="21">
        <f>G82*AO82</f>
        <v>0</v>
      </c>
      <c r="BI82" s="21">
        <f>G82*AP82</f>
        <v>0</v>
      </c>
      <c r="BJ82" s="21">
        <f>G82*H82</f>
        <v>0</v>
      </c>
      <c r="BK82" s="21" t="s">
        <v>414</v>
      </c>
      <c r="BL82" s="41">
        <v>95</v>
      </c>
    </row>
    <row r="83" spans="1:64" ht="12.75">
      <c r="A83" s="4" t="s">
        <v>61</v>
      </c>
      <c r="B83" s="13"/>
      <c r="C83" s="13" t="s">
        <v>168</v>
      </c>
      <c r="D83" s="137" t="s">
        <v>287</v>
      </c>
      <c r="E83" s="138"/>
      <c r="F83" s="13" t="s">
        <v>339</v>
      </c>
      <c r="G83" s="21">
        <v>3.4</v>
      </c>
      <c r="H83" s="21">
        <v>0</v>
      </c>
      <c r="I83" s="21">
        <f>G83*AO83</f>
        <v>0</v>
      </c>
      <c r="J83" s="21">
        <f>G83*AP83</f>
        <v>0</v>
      </c>
      <c r="K83" s="21">
        <f>G83*H83</f>
        <v>0</v>
      </c>
      <c r="L83" s="21">
        <v>0.01134</v>
      </c>
      <c r="M83" s="21">
        <f>G83*L83</f>
        <v>0.038556</v>
      </c>
      <c r="N83" s="35" t="s">
        <v>365</v>
      </c>
      <c r="O83" s="39"/>
      <c r="Z83" s="41">
        <f>IF(AQ83="5",BJ83,0)</f>
        <v>0</v>
      </c>
      <c r="AB83" s="41">
        <f>IF(AQ83="1",BH83,0)</f>
        <v>0</v>
      </c>
      <c r="AC83" s="41">
        <f>IF(AQ83="1",BI83,0)</f>
        <v>0</v>
      </c>
      <c r="AD83" s="41">
        <f>IF(AQ83="7",BH83,0)</f>
        <v>0</v>
      </c>
      <c r="AE83" s="41">
        <f>IF(AQ83="7",BI83,0)</f>
        <v>0</v>
      </c>
      <c r="AF83" s="41">
        <f>IF(AQ83="2",BH83,0)</f>
        <v>0</v>
      </c>
      <c r="AG83" s="41">
        <f>IF(AQ83="2",BI83,0)</f>
        <v>0</v>
      </c>
      <c r="AH83" s="41">
        <f>IF(AQ83="0",BJ83,0)</f>
        <v>0</v>
      </c>
      <c r="AI83" s="31"/>
      <c r="AJ83" s="21">
        <f>IF(AN83=0,K83,0)</f>
        <v>0</v>
      </c>
      <c r="AK83" s="21">
        <f>IF(AN83=15,K83,0)</f>
        <v>0</v>
      </c>
      <c r="AL83" s="21">
        <f>IF(AN83=21,K83,0)</f>
        <v>0</v>
      </c>
      <c r="AN83" s="41">
        <v>15</v>
      </c>
      <c r="AO83" s="41">
        <f>H83*0.50921246923708</f>
        <v>0</v>
      </c>
      <c r="AP83" s="41">
        <f>H83*(1-0.50921246923708)</f>
        <v>0</v>
      </c>
      <c r="AQ83" s="42" t="s">
        <v>6</v>
      </c>
      <c r="AV83" s="41">
        <f>AW83+AX83</f>
        <v>0</v>
      </c>
      <c r="AW83" s="41">
        <f>G83*AO83</f>
        <v>0</v>
      </c>
      <c r="AX83" s="41">
        <f>G83*AP83</f>
        <v>0</v>
      </c>
      <c r="AY83" s="44" t="s">
        <v>392</v>
      </c>
      <c r="AZ83" s="44" t="s">
        <v>407</v>
      </c>
      <c r="BA83" s="31" t="s">
        <v>409</v>
      </c>
      <c r="BC83" s="41">
        <f>AW83+AX83</f>
        <v>0</v>
      </c>
      <c r="BD83" s="41">
        <f>H83/(100-BE83)*100</f>
        <v>0</v>
      </c>
      <c r="BE83" s="41">
        <v>0</v>
      </c>
      <c r="BF83" s="41">
        <f>M83</f>
        <v>0.038556</v>
      </c>
      <c r="BH83" s="21">
        <f>G83*AO83</f>
        <v>0</v>
      </c>
      <c r="BI83" s="21">
        <f>G83*AP83</f>
        <v>0</v>
      </c>
      <c r="BJ83" s="21">
        <f>G83*H83</f>
        <v>0</v>
      </c>
      <c r="BK83" s="21" t="s">
        <v>414</v>
      </c>
      <c r="BL83" s="41">
        <v>95</v>
      </c>
    </row>
    <row r="84" spans="1:47" ht="12.75">
      <c r="A84" s="5"/>
      <c r="B84" s="14"/>
      <c r="C84" s="14" t="s">
        <v>169</v>
      </c>
      <c r="D84" s="139" t="s">
        <v>288</v>
      </c>
      <c r="E84" s="140"/>
      <c r="F84" s="19" t="s">
        <v>5</v>
      </c>
      <c r="G84" s="19" t="s">
        <v>5</v>
      </c>
      <c r="H84" s="19" t="s">
        <v>5</v>
      </c>
      <c r="I84" s="47">
        <f>SUM(I85:I89)</f>
        <v>0</v>
      </c>
      <c r="J84" s="47">
        <f>SUM(J85:J89)</f>
        <v>0</v>
      </c>
      <c r="K84" s="47">
        <f>SUM(K85:K89)</f>
        <v>0</v>
      </c>
      <c r="L84" s="31"/>
      <c r="M84" s="47">
        <f>SUM(M85:M89)</f>
        <v>1.5519066</v>
      </c>
      <c r="N84" s="36"/>
      <c r="O84" s="39"/>
      <c r="AI84" s="31"/>
      <c r="AS84" s="47">
        <f>SUM(AJ85:AJ89)</f>
        <v>0</v>
      </c>
      <c r="AT84" s="47">
        <f>SUM(AK85:AK89)</f>
        <v>0</v>
      </c>
      <c r="AU84" s="47">
        <f>SUM(AL85:AL89)</f>
        <v>0</v>
      </c>
    </row>
    <row r="85" spans="1:64" ht="12.75">
      <c r="A85" s="4" t="s">
        <v>62</v>
      </c>
      <c r="B85" s="13"/>
      <c r="C85" s="13" t="s">
        <v>170</v>
      </c>
      <c r="D85" s="137" t="s">
        <v>289</v>
      </c>
      <c r="E85" s="138"/>
      <c r="F85" s="13" t="s">
        <v>337</v>
      </c>
      <c r="G85" s="21">
        <v>4</v>
      </c>
      <c r="H85" s="21">
        <v>0</v>
      </c>
      <c r="I85" s="21">
        <f>G85*AO85</f>
        <v>0</v>
      </c>
      <c r="J85" s="21">
        <f>G85*AP85</f>
        <v>0</v>
      </c>
      <c r="K85" s="21">
        <f>G85*H85</f>
        <v>0</v>
      </c>
      <c r="L85" s="21">
        <v>0</v>
      </c>
      <c r="M85" s="21">
        <f>G85*L85</f>
        <v>0</v>
      </c>
      <c r="N85" s="35" t="s">
        <v>365</v>
      </c>
      <c r="O85" s="39"/>
      <c r="Z85" s="41">
        <f>IF(AQ85="5",BJ85,0)</f>
        <v>0</v>
      </c>
      <c r="AB85" s="41">
        <f>IF(AQ85="1",BH85,0)</f>
        <v>0</v>
      </c>
      <c r="AC85" s="41">
        <f>IF(AQ85="1",BI85,0)</f>
        <v>0</v>
      </c>
      <c r="AD85" s="41">
        <f>IF(AQ85="7",BH85,0)</f>
        <v>0</v>
      </c>
      <c r="AE85" s="41">
        <f>IF(AQ85="7",BI85,0)</f>
        <v>0</v>
      </c>
      <c r="AF85" s="41">
        <f>IF(AQ85="2",BH85,0)</f>
        <v>0</v>
      </c>
      <c r="AG85" s="41">
        <f>IF(AQ85="2",BI85,0)</f>
        <v>0</v>
      </c>
      <c r="AH85" s="41">
        <f>IF(AQ85="0",BJ85,0)</f>
        <v>0</v>
      </c>
      <c r="AI85" s="31"/>
      <c r="AJ85" s="21">
        <f>IF(AN85=0,K85,0)</f>
        <v>0</v>
      </c>
      <c r="AK85" s="21">
        <f>IF(AN85=15,K85,0)</f>
        <v>0</v>
      </c>
      <c r="AL85" s="21">
        <f>IF(AN85=21,K85,0)</f>
        <v>0</v>
      </c>
      <c r="AN85" s="41">
        <v>15</v>
      </c>
      <c r="AO85" s="41">
        <f>H85*0</f>
        <v>0</v>
      </c>
      <c r="AP85" s="41">
        <f>H85*(1-0)</f>
        <v>0</v>
      </c>
      <c r="AQ85" s="42" t="s">
        <v>6</v>
      </c>
      <c r="AV85" s="41">
        <f>AW85+AX85</f>
        <v>0</v>
      </c>
      <c r="AW85" s="41">
        <f>G85*AO85</f>
        <v>0</v>
      </c>
      <c r="AX85" s="41">
        <f>G85*AP85</f>
        <v>0</v>
      </c>
      <c r="AY85" s="44" t="s">
        <v>393</v>
      </c>
      <c r="AZ85" s="44" t="s">
        <v>407</v>
      </c>
      <c r="BA85" s="31" t="s">
        <v>409</v>
      </c>
      <c r="BC85" s="41">
        <f>AW85+AX85</f>
        <v>0</v>
      </c>
      <c r="BD85" s="41">
        <f>H85/(100-BE85)*100</f>
        <v>0</v>
      </c>
      <c r="BE85" s="41">
        <v>0</v>
      </c>
      <c r="BF85" s="41">
        <f>M85</f>
        <v>0</v>
      </c>
      <c r="BH85" s="21">
        <f>G85*AO85</f>
        <v>0</v>
      </c>
      <c r="BI85" s="21">
        <f>G85*AP85</f>
        <v>0</v>
      </c>
      <c r="BJ85" s="21">
        <f>G85*H85</f>
        <v>0</v>
      </c>
      <c r="BK85" s="21" t="s">
        <v>414</v>
      </c>
      <c r="BL85" s="41">
        <v>96</v>
      </c>
    </row>
    <row r="86" spans="1:64" ht="12.75">
      <c r="A86" s="4" t="s">
        <v>63</v>
      </c>
      <c r="B86" s="13"/>
      <c r="C86" s="13" t="s">
        <v>171</v>
      </c>
      <c r="D86" s="137" t="s">
        <v>290</v>
      </c>
      <c r="E86" s="138"/>
      <c r="F86" s="13" t="s">
        <v>338</v>
      </c>
      <c r="G86" s="21">
        <v>3.2</v>
      </c>
      <c r="H86" s="21">
        <v>0</v>
      </c>
      <c r="I86" s="21">
        <f>G86*AO86</f>
        <v>0</v>
      </c>
      <c r="J86" s="21">
        <f>G86*AP86</f>
        <v>0</v>
      </c>
      <c r="K86" s="21">
        <f>G86*H86</f>
        <v>0</v>
      </c>
      <c r="L86" s="21">
        <v>0.07717</v>
      </c>
      <c r="M86" s="21">
        <f>G86*L86</f>
        <v>0.24694400000000002</v>
      </c>
      <c r="N86" s="35" t="s">
        <v>365</v>
      </c>
      <c r="O86" s="39"/>
      <c r="Z86" s="41">
        <f>IF(AQ86="5",BJ86,0)</f>
        <v>0</v>
      </c>
      <c r="AB86" s="41">
        <f>IF(AQ86="1",BH86,0)</f>
        <v>0</v>
      </c>
      <c r="AC86" s="41">
        <f>IF(AQ86="1",BI86,0)</f>
        <v>0</v>
      </c>
      <c r="AD86" s="41">
        <f>IF(AQ86="7",BH86,0)</f>
        <v>0</v>
      </c>
      <c r="AE86" s="41">
        <f>IF(AQ86="7",BI86,0)</f>
        <v>0</v>
      </c>
      <c r="AF86" s="41">
        <f>IF(AQ86="2",BH86,0)</f>
        <v>0</v>
      </c>
      <c r="AG86" s="41">
        <f>IF(AQ86="2",BI86,0)</f>
        <v>0</v>
      </c>
      <c r="AH86" s="41">
        <f>IF(AQ86="0",BJ86,0)</f>
        <v>0</v>
      </c>
      <c r="AI86" s="31"/>
      <c r="AJ86" s="21">
        <f>IF(AN86=0,K86,0)</f>
        <v>0</v>
      </c>
      <c r="AK86" s="21">
        <f>IF(AN86=15,K86,0)</f>
        <v>0</v>
      </c>
      <c r="AL86" s="21">
        <f>IF(AN86=21,K86,0)</f>
        <v>0</v>
      </c>
      <c r="AN86" s="41">
        <v>15</v>
      </c>
      <c r="AO86" s="41">
        <f>H86*0.0780175658720201</f>
        <v>0</v>
      </c>
      <c r="AP86" s="41">
        <f>H86*(1-0.0780175658720201)</f>
        <v>0</v>
      </c>
      <c r="AQ86" s="42" t="s">
        <v>6</v>
      </c>
      <c r="AV86" s="41">
        <f>AW86+AX86</f>
        <v>0</v>
      </c>
      <c r="AW86" s="41">
        <f>G86*AO86</f>
        <v>0</v>
      </c>
      <c r="AX86" s="41">
        <f>G86*AP86</f>
        <v>0</v>
      </c>
      <c r="AY86" s="44" t="s">
        <v>393</v>
      </c>
      <c r="AZ86" s="44" t="s">
        <v>407</v>
      </c>
      <c r="BA86" s="31" t="s">
        <v>409</v>
      </c>
      <c r="BC86" s="41">
        <f>AW86+AX86</f>
        <v>0</v>
      </c>
      <c r="BD86" s="41">
        <f>H86/(100-BE86)*100</f>
        <v>0</v>
      </c>
      <c r="BE86" s="41">
        <v>0</v>
      </c>
      <c r="BF86" s="41">
        <f>M86</f>
        <v>0.24694400000000002</v>
      </c>
      <c r="BH86" s="21">
        <f>G86*AO86</f>
        <v>0</v>
      </c>
      <c r="BI86" s="21">
        <f>G86*AP86</f>
        <v>0</v>
      </c>
      <c r="BJ86" s="21">
        <f>G86*H86</f>
        <v>0</v>
      </c>
      <c r="BK86" s="21" t="s">
        <v>414</v>
      </c>
      <c r="BL86" s="41">
        <v>96</v>
      </c>
    </row>
    <row r="87" spans="1:64" ht="12.75">
      <c r="A87" s="4" t="s">
        <v>64</v>
      </c>
      <c r="B87" s="13"/>
      <c r="C87" s="13" t="s">
        <v>172</v>
      </c>
      <c r="D87" s="137" t="s">
        <v>291</v>
      </c>
      <c r="E87" s="138"/>
      <c r="F87" s="13" t="s">
        <v>338</v>
      </c>
      <c r="G87" s="21">
        <v>12.24</v>
      </c>
      <c r="H87" s="21">
        <v>0</v>
      </c>
      <c r="I87" s="21">
        <f>G87*AO87</f>
        <v>0</v>
      </c>
      <c r="J87" s="21">
        <f>G87*AP87</f>
        <v>0</v>
      </c>
      <c r="K87" s="21">
        <f>G87*H87</f>
        <v>0</v>
      </c>
      <c r="L87" s="21">
        <v>0.05132</v>
      </c>
      <c r="M87" s="21">
        <f>G87*L87</f>
        <v>0.6281568</v>
      </c>
      <c r="N87" s="35" t="s">
        <v>365</v>
      </c>
      <c r="O87" s="39"/>
      <c r="Z87" s="41">
        <f>IF(AQ87="5",BJ87,0)</f>
        <v>0</v>
      </c>
      <c r="AB87" s="41">
        <f>IF(AQ87="1",BH87,0)</f>
        <v>0</v>
      </c>
      <c r="AC87" s="41">
        <f>IF(AQ87="1",BI87,0)</f>
        <v>0</v>
      </c>
      <c r="AD87" s="41">
        <f>IF(AQ87="7",BH87,0)</f>
        <v>0</v>
      </c>
      <c r="AE87" s="41">
        <f>IF(AQ87="7",BI87,0)</f>
        <v>0</v>
      </c>
      <c r="AF87" s="41">
        <f>IF(AQ87="2",BH87,0)</f>
        <v>0</v>
      </c>
      <c r="AG87" s="41">
        <f>IF(AQ87="2",BI87,0)</f>
        <v>0</v>
      </c>
      <c r="AH87" s="41">
        <f>IF(AQ87="0",BJ87,0)</f>
        <v>0</v>
      </c>
      <c r="AI87" s="31"/>
      <c r="AJ87" s="21">
        <f>IF(AN87=0,K87,0)</f>
        <v>0</v>
      </c>
      <c r="AK87" s="21">
        <f>IF(AN87=15,K87,0)</f>
        <v>0</v>
      </c>
      <c r="AL87" s="21">
        <f>IF(AN87=21,K87,0)</f>
        <v>0</v>
      </c>
      <c r="AN87" s="41">
        <v>15</v>
      </c>
      <c r="AO87" s="41">
        <f>H87*0.0390222222222222</f>
        <v>0</v>
      </c>
      <c r="AP87" s="41">
        <f>H87*(1-0.0390222222222222)</f>
        <v>0</v>
      </c>
      <c r="AQ87" s="42" t="s">
        <v>6</v>
      </c>
      <c r="AV87" s="41">
        <f>AW87+AX87</f>
        <v>0</v>
      </c>
      <c r="AW87" s="41">
        <f>G87*AO87</f>
        <v>0</v>
      </c>
      <c r="AX87" s="41">
        <f>G87*AP87</f>
        <v>0</v>
      </c>
      <c r="AY87" s="44" t="s">
        <v>393</v>
      </c>
      <c r="AZ87" s="44" t="s">
        <v>407</v>
      </c>
      <c r="BA87" s="31" t="s">
        <v>409</v>
      </c>
      <c r="BC87" s="41">
        <f>AW87+AX87</f>
        <v>0</v>
      </c>
      <c r="BD87" s="41">
        <f>H87/(100-BE87)*100</f>
        <v>0</v>
      </c>
      <c r="BE87" s="41">
        <v>0</v>
      </c>
      <c r="BF87" s="41">
        <f>M87</f>
        <v>0.6281568</v>
      </c>
      <c r="BH87" s="21">
        <f>G87*AO87</f>
        <v>0</v>
      </c>
      <c r="BI87" s="21">
        <f>G87*AP87</f>
        <v>0</v>
      </c>
      <c r="BJ87" s="21">
        <f>G87*H87</f>
        <v>0</v>
      </c>
      <c r="BK87" s="21" t="s">
        <v>414</v>
      </c>
      <c r="BL87" s="41">
        <v>96</v>
      </c>
    </row>
    <row r="88" spans="1:64" ht="12.75">
      <c r="A88" s="4" t="s">
        <v>65</v>
      </c>
      <c r="B88" s="13"/>
      <c r="C88" s="13" t="s">
        <v>173</v>
      </c>
      <c r="D88" s="137" t="s">
        <v>292</v>
      </c>
      <c r="E88" s="138"/>
      <c r="F88" s="13" t="s">
        <v>338</v>
      </c>
      <c r="G88" s="21">
        <v>2</v>
      </c>
      <c r="H88" s="21">
        <v>0</v>
      </c>
      <c r="I88" s="21">
        <f>G88*AO88</f>
        <v>0</v>
      </c>
      <c r="J88" s="21">
        <f>G88*AP88</f>
        <v>0</v>
      </c>
      <c r="K88" s="21">
        <f>G88*H88</f>
        <v>0</v>
      </c>
      <c r="L88" s="21">
        <v>0.066</v>
      </c>
      <c r="M88" s="21">
        <f>G88*L88</f>
        <v>0.132</v>
      </c>
      <c r="N88" s="35" t="s">
        <v>365</v>
      </c>
      <c r="O88" s="39"/>
      <c r="Z88" s="41">
        <f>IF(AQ88="5",BJ88,0)</f>
        <v>0</v>
      </c>
      <c r="AB88" s="41">
        <f>IF(AQ88="1",BH88,0)</f>
        <v>0</v>
      </c>
      <c r="AC88" s="41">
        <f>IF(AQ88="1",BI88,0)</f>
        <v>0</v>
      </c>
      <c r="AD88" s="41">
        <f>IF(AQ88="7",BH88,0)</f>
        <v>0</v>
      </c>
      <c r="AE88" s="41">
        <f>IF(AQ88="7",BI88,0)</f>
        <v>0</v>
      </c>
      <c r="AF88" s="41">
        <f>IF(AQ88="2",BH88,0)</f>
        <v>0</v>
      </c>
      <c r="AG88" s="41">
        <f>IF(AQ88="2",BI88,0)</f>
        <v>0</v>
      </c>
      <c r="AH88" s="41">
        <f>IF(AQ88="0",BJ88,0)</f>
        <v>0</v>
      </c>
      <c r="AI88" s="31"/>
      <c r="AJ88" s="21">
        <f>IF(AN88=0,K88,0)</f>
        <v>0</v>
      </c>
      <c r="AK88" s="21">
        <f>IF(AN88=15,K88,0)</f>
        <v>0</v>
      </c>
      <c r="AL88" s="21">
        <f>IF(AN88=21,K88,0)</f>
        <v>0</v>
      </c>
      <c r="AN88" s="41">
        <v>15</v>
      </c>
      <c r="AO88" s="41">
        <f>H88*0</f>
        <v>0</v>
      </c>
      <c r="AP88" s="41">
        <f>H88*(1-0)</f>
        <v>0</v>
      </c>
      <c r="AQ88" s="42" t="s">
        <v>6</v>
      </c>
      <c r="AV88" s="41">
        <f>AW88+AX88</f>
        <v>0</v>
      </c>
      <c r="AW88" s="41">
        <f>G88*AO88</f>
        <v>0</v>
      </c>
      <c r="AX88" s="41">
        <f>G88*AP88</f>
        <v>0</v>
      </c>
      <c r="AY88" s="44" t="s">
        <v>393</v>
      </c>
      <c r="AZ88" s="44" t="s">
        <v>407</v>
      </c>
      <c r="BA88" s="31" t="s">
        <v>409</v>
      </c>
      <c r="BC88" s="41">
        <f>AW88+AX88</f>
        <v>0</v>
      </c>
      <c r="BD88" s="41">
        <f>H88/(100-BE88)*100</f>
        <v>0</v>
      </c>
      <c r="BE88" s="41">
        <v>0</v>
      </c>
      <c r="BF88" s="41">
        <f>M88</f>
        <v>0.132</v>
      </c>
      <c r="BH88" s="21">
        <f>G88*AO88</f>
        <v>0</v>
      </c>
      <c r="BI88" s="21">
        <f>G88*AP88</f>
        <v>0</v>
      </c>
      <c r="BJ88" s="21">
        <f>G88*H88</f>
        <v>0</v>
      </c>
      <c r="BK88" s="21" t="s">
        <v>414</v>
      </c>
      <c r="BL88" s="41">
        <v>96</v>
      </c>
    </row>
    <row r="89" spans="1:64" ht="12.75">
      <c r="A89" s="4" t="s">
        <v>66</v>
      </c>
      <c r="B89" s="13"/>
      <c r="C89" s="13" t="s">
        <v>174</v>
      </c>
      <c r="D89" s="137" t="s">
        <v>293</v>
      </c>
      <c r="E89" s="138"/>
      <c r="F89" s="13" t="s">
        <v>338</v>
      </c>
      <c r="G89" s="21">
        <v>3.74</v>
      </c>
      <c r="H89" s="21">
        <v>0</v>
      </c>
      <c r="I89" s="21">
        <f>G89*AO89</f>
        <v>0</v>
      </c>
      <c r="J89" s="21">
        <f>G89*AP89</f>
        <v>0</v>
      </c>
      <c r="K89" s="21">
        <f>G89*H89</f>
        <v>0</v>
      </c>
      <c r="L89" s="21">
        <v>0.14567</v>
      </c>
      <c r="M89" s="21">
        <f>G89*L89</f>
        <v>0.5448058</v>
      </c>
      <c r="N89" s="35" t="s">
        <v>365</v>
      </c>
      <c r="O89" s="39"/>
      <c r="Z89" s="41">
        <f>IF(AQ89="5",BJ89,0)</f>
        <v>0</v>
      </c>
      <c r="AB89" s="41">
        <f>IF(AQ89="1",BH89,0)</f>
        <v>0</v>
      </c>
      <c r="AC89" s="41">
        <f>IF(AQ89="1",BI89,0)</f>
        <v>0</v>
      </c>
      <c r="AD89" s="41">
        <f>IF(AQ89="7",BH89,0)</f>
        <v>0</v>
      </c>
      <c r="AE89" s="41">
        <f>IF(AQ89="7",BI89,0)</f>
        <v>0</v>
      </c>
      <c r="AF89" s="41">
        <f>IF(AQ89="2",BH89,0)</f>
        <v>0</v>
      </c>
      <c r="AG89" s="41">
        <f>IF(AQ89="2",BI89,0)</f>
        <v>0</v>
      </c>
      <c r="AH89" s="41">
        <f>IF(AQ89="0",BJ89,0)</f>
        <v>0</v>
      </c>
      <c r="AI89" s="31"/>
      <c r="AJ89" s="21">
        <f>IF(AN89=0,K89,0)</f>
        <v>0</v>
      </c>
      <c r="AK89" s="21">
        <f>IF(AN89=15,K89,0)</f>
        <v>0</v>
      </c>
      <c r="AL89" s="21">
        <f>IF(AN89=21,K89,0)</f>
        <v>0</v>
      </c>
      <c r="AN89" s="41">
        <v>15</v>
      </c>
      <c r="AO89" s="41">
        <f>H89*0.14144</f>
        <v>0</v>
      </c>
      <c r="AP89" s="41">
        <f>H89*(1-0.14144)</f>
        <v>0</v>
      </c>
      <c r="AQ89" s="42" t="s">
        <v>6</v>
      </c>
      <c r="AV89" s="41">
        <f>AW89+AX89</f>
        <v>0</v>
      </c>
      <c r="AW89" s="41">
        <f>G89*AO89</f>
        <v>0</v>
      </c>
      <c r="AX89" s="41">
        <f>G89*AP89</f>
        <v>0</v>
      </c>
      <c r="AY89" s="44" t="s">
        <v>393</v>
      </c>
      <c r="AZ89" s="44" t="s">
        <v>407</v>
      </c>
      <c r="BA89" s="31" t="s">
        <v>409</v>
      </c>
      <c r="BC89" s="41">
        <f>AW89+AX89</f>
        <v>0</v>
      </c>
      <c r="BD89" s="41">
        <f>H89/(100-BE89)*100</f>
        <v>0</v>
      </c>
      <c r="BE89" s="41">
        <v>0</v>
      </c>
      <c r="BF89" s="41">
        <f>M89</f>
        <v>0.5448058</v>
      </c>
      <c r="BH89" s="21">
        <f>G89*AO89</f>
        <v>0</v>
      </c>
      <c r="BI89" s="21">
        <f>G89*AP89</f>
        <v>0</v>
      </c>
      <c r="BJ89" s="21">
        <f>G89*H89</f>
        <v>0</v>
      </c>
      <c r="BK89" s="21" t="s">
        <v>414</v>
      </c>
      <c r="BL89" s="41">
        <v>96</v>
      </c>
    </row>
    <row r="90" spans="1:47" ht="12.75">
      <c r="A90" s="5"/>
      <c r="B90" s="14"/>
      <c r="C90" s="14" t="s">
        <v>175</v>
      </c>
      <c r="D90" s="139" t="s">
        <v>294</v>
      </c>
      <c r="E90" s="140"/>
      <c r="F90" s="19" t="s">
        <v>5</v>
      </c>
      <c r="G90" s="19" t="s">
        <v>5</v>
      </c>
      <c r="H90" s="19" t="s">
        <v>5</v>
      </c>
      <c r="I90" s="47">
        <f>SUM(I91:I91)</f>
        <v>0</v>
      </c>
      <c r="J90" s="47">
        <f>SUM(J91:J91)</f>
        <v>0</v>
      </c>
      <c r="K90" s="47">
        <f>SUM(K91:K91)</f>
        <v>0</v>
      </c>
      <c r="L90" s="31"/>
      <c r="M90" s="47">
        <f>SUM(M91:M91)</f>
        <v>0.09033</v>
      </c>
      <c r="N90" s="36"/>
      <c r="O90" s="39"/>
      <c r="AI90" s="31"/>
      <c r="AS90" s="47">
        <f>SUM(AJ91:AJ91)</f>
        <v>0</v>
      </c>
      <c r="AT90" s="47">
        <f>SUM(AK91:AK91)</f>
        <v>0</v>
      </c>
      <c r="AU90" s="47">
        <f>SUM(AL91:AL91)</f>
        <v>0</v>
      </c>
    </row>
    <row r="91" spans="1:64" ht="12.75">
      <c r="A91" s="4" t="s">
        <v>67</v>
      </c>
      <c r="B91" s="13"/>
      <c r="C91" s="13" t="s">
        <v>176</v>
      </c>
      <c r="D91" s="137" t="s">
        <v>295</v>
      </c>
      <c r="E91" s="138"/>
      <c r="F91" s="13" t="s">
        <v>337</v>
      </c>
      <c r="G91" s="21">
        <v>1</v>
      </c>
      <c r="H91" s="21">
        <v>0</v>
      </c>
      <c r="I91" s="21">
        <f>G91*AO91</f>
        <v>0</v>
      </c>
      <c r="J91" s="21">
        <f>G91*AP91</f>
        <v>0</v>
      </c>
      <c r="K91" s="21">
        <f>G91*H91</f>
        <v>0</v>
      </c>
      <c r="L91" s="21">
        <v>0.09033</v>
      </c>
      <c r="M91" s="21">
        <f>G91*L91</f>
        <v>0.09033</v>
      </c>
      <c r="N91" s="35" t="s">
        <v>365</v>
      </c>
      <c r="O91" s="39"/>
      <c r="Z91" s="41">
        <f>IF(AQ91="5",BJ91,0)</f>
        <v>0</v>
      </c>
      <c r="AB91" s="41">
        <f>IF(AQ91="1",BH91,0)</f>
        <v>0</v>
      </c>
      <c r="AC91" s="41">
        <f>IF(AQ91="1",BI91,0)</f>
        <v>0</v>
      </c>
      <c r="AD91" s="41">
        <f>IF(AQ91="7",BH91,0)</f>
        <v>0</v>
      </c>
      <c r="AE91" s="41">
        <f>IF(AQ91="7",BI91,0)</f>
        <v>0</v>
      </c>
      <c r="AF91" s="41">
        <f>IF(AQ91="2",BH91,0)</f>
        <v>0</v>
      </c>
      <c r="AG91" s="41">
        <f>IF(AQ91="2",BI91,0)</f>
        <v>0</v>
      </c>
      <c r="AH91" s="41">
        <f>IF(AQ91="0",BJ91,0)</f>
        <v>0</v>
      </c>
      <c r="AI91" s="31"/>
      <c r="AJ91" s="21">
        <f>IF(AN91=0,K91,0)</f>
        <v>0</v>
      </c>
      <c r="AK91" s="21">
        <f>IF(AN91=15,K91,0)</f>
        <v>0</v>
      </c>
      <c r="AL91" s="21">
        <f>IF(AN91=21,K91,0)</f>
        <v>0</v>
      </c>
      <c r="AN91" s="41">
        <v>15</v>
      </c>
      <c r="AO91" s="41">
        <f>H91*0.0328107606679035</f>
        <v>0</v>
      </c>
      <c r="AP91" s="41">
        <f>H91*(1-0.0328107606679035)</f>
        <v>0</v>
      </c>
      <c r="AQ91" s="42" t="s">
        <v>6</v>
      </c>
      <c r="AV91" s="41">
        <f>AW91+AX91</f>
        <v>0</v>
      </c>
      <c r="AW91" s="41">
        <f>G91*AO91</f>
        <v>0</v>
      </c>
      <c r="AX91" s="41">
        <f>G91*AP91</f>
        <v>0</v>
      </c>
      <c r="AY91" s="44" t="s">
        <v>394</v>
      </c>
      <c r="AZ91" s="44" t="s">
        <v>407</v>
      </c>
      <c r="BA91" s="31" t="s">
        <v>409</v>
      </c>
      <c r="BC91" s="41">
        <f>AW91+AX91</f>
        <v>0</v>
      </c>
      <c r="BD91" s="41">
        <f>H91/(100-BE91)*100</f>
        <v>0</v>
      </c>
      <c r="BE91" s="41">
        <v>0</v>
      </c>
      <c r="BF91" s="41">
        <f>M91</f>
        <v>0.09033</v>
      </c>
      <c r="BH91" s="21">
        <f>G91*AO91</f>
        <v>0</v>
      </c>
      <c r="BI91" s="21">
        <f>G91*AP91</f>
        <v>0</v>
      </c>
      <c r="BJ91" s="21">
        <f>G91*H91</f>
        <v>0</v>
      </c>
      <c r="BK91" s="21" t="s">
        <v>414</v>
      </c>
      <c r="BL91" s="41">
        <v>97</v>
      </c>
    </row>
    <row r="92" spans="1:47" ht="12.75">
      <c r="A92" s="5"/>
      <c r="B92" s="14"/>
      <c r="C92" s="14" t="s">
        <v>177</v>
      </c>
      <c r="D92" s="139" t="s">
        <v>296</v>
      </c>
      <c r="E92" s="140"/>
      <c r="F92" s="19" t="s">
        <v>5</v>
      </c>
      <c r="G92" s="19" t="s">
        <v>5</v>
      </c>
      <c r="H92" s="19" t="s">
        <v>5</v>
      </c>
      <c r="I92" s="47">
        <f>SUM(I93:I93)</f>
        <v>0</v>
      </c>
      <c r="J92" s="47">
        <f>SUM(J93:J93)</f>
        <v>0</v>
      </c>
      <c r="K92" s="47">
        <f>SUM(K93:K93)</f>
        <v>0</v>
      </c>
      <c r="L92" s="31"/>
      <c r="M92" s="47">
        <f>SUM(M93:M93)</f>
        <v>0</v>
      </c>
      <c r="N92" s="36"/>
      <c r="O92" s="39"/>
      <c r="AI92" s="31"/>
      <c r="AS92" s="47">
        <f>SUM(AJ93:AJ93)</f>
        <v>0</v>
      </c>
      <c r="AT92" s="47">
        <f>SUM(AK93:AK93)</f>
        <v>0</v>
      </c>
      <c r="AU92" s="47">
        <f>SUM(AL93:AL93)</f>
        <v>0</v>
      </c>
    </row>
    <row r="93" spans="1:64" ht="12.75">
      <c r="A93" s="4" t="s">
        <v>68</v>
      </c>
      <c r="B93" s="13"/>
      <c r="C93" s="13" t="s">
        <v>178</v>
      </c>
      <c r="D93" s="137" t="s">
        <v>297</v>
      </c>
      <c r="E93" s="138"/>
      <c r="F93" s="13" t="s">
        <v>341</v>
      </c>
      <c r="G93" s="21">
        <v>4.17</v>
      </c>
      <c r="H93" s="21">
        <v>0</v>
      </c>
      <c r="I93" s="21">
        <f>G93*AO93</f>
        <v>0</v>
      </c>
      <c r="J93" s="21">
        <f>G93*AP93</f>
        <v>0</v>
      </c>
      <c r="K93" s="21">
        <f>G93*H93</f>
        <v>0</v>
      </c>
      <c r="L93" s="21">
        <v>0</v>
      </c>
      <c r="M93" s="21">
        <f>G93*L93</f>
        <v>0</v>
      </c>
      <c r="N93" s="35" t="s">
        <v>365</v>
      </c>
      <c r="O93" s="39"/>
      <c r="Z93" s="41">
        <f>IF(AQ93="5",BJ93,0)</f>
        <v>0</v>
      </c>
      <c r="AB93" s="41">
        <f>IF(AQ93="1",BH93,0)</f>
        <v>0</v>
      </c>
      <c r="AC93" s="41">
        <f>IF(AQ93="1",BI93,0)</f>
        <v>0</v>
      </c>
      <c r="AD93" s="41">
        <f>IF(AQ93="7",BH93,0)</f>
        <v>0</v>
      </c>
      <c r="AE93" s="41">
        <f>IF(AQ93="7",BI93,0)</f>
        <v>0</v>
      </c>
      <c r="AF93" s="41">
        <f>IF(AQ93="2",BH93,0)</f>
        <v>0</v>
      </c>
      <c r="AG93" s="41">
        <f>IF(AQ93="2",BI93,0)</f>
        <v>0</v>
      </c>
      <c r="AH93" s="41">
        <f>IF(AQ93="0",BJ93,0)</f>
        <v>0</v>
      </c>
      <c r="AI93" s="31"/>
      <c r="AJ93" s="21">
        <f>IF(AN93=0,K93,0)</f>
        <v>0</v>
      </c>
      <c r="AK93" s="21">
        <f>IF(AN93=15,K93,0)</f>
        <v>0</v>
      </c>
      <c r="AL93" s="21">
        <f>IF(AN93=21,K93,0)</f>
        <v>0</v>
      </c>
      <c r="AN93" s="41">
        <v>15</v>
      </c>
      <c r="AO93" s="41">
        <f>H93*0</f>
        <v>0</v>
      </c>
      <c r="AP93" s="41">
        <f>H93*(1-0)</f>
        <v>0</v>
      </c>
      <c r="AQ93" s="42" t="s">
        <v>10</v>
      </c>
      <c r="AV93" s="41">
        <f>AW93+AX93</f>
        <v>0</v>
      </c>
      <c r="AW93" s="41">
        <f>G93*AO93</f>
        <v>0</v>
      </c>
      <c r="AX93" s="41">
        <f>G93*AP93</f>
        <v>0</v>
      </c>
      <c r="AY93" s="44" t="s">
        <v>395</v>
      </c>
      <c r="AZ93" s="44" t="s">
        <v>407</v>
      </c>
      <c r="BA93" s="31" t="s">
        <v>409</v>
      </c>
      <c r="BC93" s="41">
        <f>AW93+AX93</f>
        <v>0</v>
      </c>
      <c r="BD93" s="41">
        <f>H93/(100-BE93)*100</f>
        <v>0</v>
      </c>
      <c r="BE93" s="41">
        <v>0</v>
      </c>
      <c r="BF93" s="41">
        <f>M93</f>
        <v>0</v>
      </c>
      <c r="BH93" s="21">
        <f>G93*AO93</f>
        <v>0</v>
      </c>
      <c r="BI93" s="21">
        <f>G93*AP93</f>
        <v>0</v>
      </c>
      <c r="BJ93" s="21">
        <f>G93*H93</f>
        <v>0</v>
      </c>
      <c r="BK93" s="21" t="s">
        <v>414</v>
      </c>
      <c r="BL93" s="41" t="s">
        <v>177</v>
      </c>
    </row>
    <row r="94" spans="1:47" ht="12.75">
      <c r="A94" s="5"/>
      <c r="B94" s="14"/>
      <c r="C94" s="14" t="s">
        <v>179</v>
      </c>
      <c r="D94" s="139" t="s">
        <v>298</v>
      </c>
      <c r="E94" s="140"/>
      <c r="F94" s="19" t="s">
        <v>5</v>
      </c>
      <c r="G94" s="19" t="s">
        <v>5</v>
      </c>
      <c r="H94" s="19" t="s">
        <v>5</v>
      </c>
      <c r="I94" s="47">
        <f>SUM(I95:I96)</f>
        <v>0</v>
      </c>
      <c r="J94" s="47">
        <f>SUM(J95:J96)</f>
        <v>0</v>
      </c>
      <c r="K94" s="47">
        <f>SUM(K95:K96)</f>
        <v>0</v>
      </c>
      <c r="L94" s="31"/>
      <c r="M94" s="47">
        <f>SUM(M95:M96)</f>
        <v>0</v>
      </c>
      <c r="N94" s="36"/>
      <c r="O94" s="39"/>
      <c r="AI94" s="31"/>
      <c r="AS94" s="47">
        <f>SUM(AJ95:AJ96)</f>
        <v>0</v>
      </c>
      <c r="AT94" s="47">
        <f>SUM(AK95:AK96)</f>
        <v>0</v>
      </c>
      <c r="AU94" s="47">
        <f>SUM(AL95:AL96)</f>
        <v>0</v>
      </c>
    </row>
    <row r="95" spans="1:64" ht="12.75">
      <c r="A95" s="4" t="s">
        <v>69</v>
      </c>
      <c r="B95" s="13"/>
      <c r="C95" s="13" t="s">
        <v>180</v>
      </c>
      <c r="D95" s="137" t="s">
        <v>299</v>
      </c>
      <c r="E95" s="138"/>
      <c r="F95" s="13" t="s">
        <v>337</v>
      </c>
      <c r="G95" s="21">
        <v>1</v>
      </c>
      <c r="H95" s="21">
        <v>0</v>
      </c>
      <c r="I95" s="21">
        <f>G95*AO95</f>
        <v>0</v>
      </c>
      <c r="J95" s="21">
        <f>G95*AP95</f>
        <v>0</v>
      </c>
      <c r="K95" s="21">
        <f>G95*H95</f>
        <v>0</v>
      </c>
      <c r="L95" s="21">
        <v>0</v>
      </c>
      <c r="M95" s="21">
        <f>G95*L95</f>
        <v>0</v>
      </c>
      <c r="N95" s="35" t="s">
        <v>365</v>
      </c>
      <c r="O95" s="39"/>
      <c r="Z95" s="41">
        <f>IF(AQ95="5",BJ95,0)</f>
        <v>0</v>
      </c>
      <c r="AB95" s="41">
        <f>IF(AQ95="1",BH95,0)</f>
        <v>0</v>
      </c>
      <c r="AC95" s="41">
        <f>IF(AQ95="1",BI95,0)</f>
        <v>0</v>
      </c>
      <c r="AD95" s="41">
        <f>IF(AQ95="7",BH95,0)</f>
        <v>0</v>
      </c>
      <c r="AE95" s="41">
        <f>IF(AQ95="7",BI95,0)</f>
        <v>0</v>
      </c>
      <c r="AF95" s="41">
        <f>IF(AQ95="2",BH95,0)</f>
        <v>0</v>
      </c>
      <c r="AG95" s="41">
        <f>IF(AQ95="2",BI95,0)</f>
        <v>0</v>
      </c>
      <c r="AH95" s="41">
        <f>IF(AQ95="0",BJ95,0)</f>
        <v>0</v>
      </c>
      <c r="AI95" s="31"/>
      <c r="AJ95" s="21">
        <f>IF(AN95=0,K95,0)</f>
        <v>0</v>
      </c>
      <c r="AK95" s="21">
        <f>IF(AN95=15,K95,0)</f>
        <v>0</v>
      </c>
      <c r="AL95" s="21">
        <f>IF(AN95=21,K95,0)</f>
        <v>0</v>
      </c>
      <c r="AN95" s="41">
        <v>15</v>
      </c>
      <c r="AO95" s="41">
        <f>H95*0</f>
        <v>0</v>
      </c>
      <c r="AP95" s="41">
        <f>H95*(1-0)</f>
        <v>0</v>
      </c>
      <c r="AQ95" s="42" t="s">
        <v>7</v>
      </c>
      <c r="AV95" s="41">
        <f>AW95+AX95</f>
        <v>0</v>
      </c>
      <c r="AW95" s="41">
        <f>G95*AO95</f>
        <v>0</v>
      </c>
      <c r="AX95" s="41">
        <f>G95*AP95</f>
        <v>0</v>
      </c>
      <c r="AY95" s="44" t="s">
        <v>396</v>
      </c>
      <c r="AZ95" s="44" t="s">
        <v>407</v>
      </c>
      <c r="BA95" s="31" t="s">
        <v>409</v>
      </c>
      <c r="BC95" s="41">
        <f>AW95+AX95</f>
        <v>0</v>
      </c>
      <c r="BD95" s="41">
        <f>H95/(100-BE95)*100</f>
        <v>0</v>
      </c>
      <c r="BE95" s="41">
        <v>0</v>
      </c>
      <c r="BF95" s="41">
        <f>M95</f>
        <v>0</v>
      </c>
      <c r="BH95" s="21">
        <f>G95*AO95</f>
        <v>0</v>
      </c>
      <c r="BI95" s="21">
        <f>G95*AP95</f>
        <v>0</v>
      </c>
      <c r="BJ95" s="21">
        <f>G95*H95</f>
        <v>0</v>
      </c>
      <c r="BK95" s="21" t="s">
        <v>414</v>
      </c>
      <c r="BL95" s="41" t="s">
        <v>179</v>
      </c>
    </row>
    <row r="96" spans="1:64" ht="12.75">
      <c r="A96" s="4" t="s">
        <v>70</v>
      </c>
      <c r="B96" s="13"/>
      <c r="C96" s="13" t="s">
        <v>181</v>
      </c>
      <c r="D96" s="137" t="s">
        <v>300</v>
      </c>
      <c r="E96" s="138"/>
      <c r="F96" s="13" t="s">
        <v>337</v>
      </c>
      <c r="G96" s="21">
        <v>1</v>
      </c>
      <c r="H96" s="21">
        <v>0</v>
      </c>
      <c r="I96" s="21">
        <f>G96*AO96</f>
        <v>0</v>
      </c>
      <c r="J96" s="21">
        <f>G96*AP96</f>
        <v>0</v>
      </c>
      <c r="K96" s="21">
        <f>G96*H96</f>
        <v>0</v>
      </c>
      <c r="L96" s="21">
        <v>0</v>
      </c>
      <c r="M96" s="21">
        <f>G96*L96</f>
        <v>0</v>
      </c>
      <c r="N96" s="35" t="s">
        <v>365</v>
      </c>
      <c r="O96" s="39"/>
      <c r="Z96" s="41">
        <f>IF(AQ96="5",BJ96,0)</f>
        <v>0</v>
      </c>
      <c r="AB96" s="41">
        <f>IF(AQ96="1",BH96,0)</f>
        <v>0</v>
      </c>
      <c r="AC96" s="41">
        <f>IF(AQ96="1",BI96,0)</f>
        <v>0</v>
      </c>
      <c r="AD96" s="41">
        <f>IF(AQ96="7",BH96,0)</f>
        <v>0</v>
      </c>
      <c r="AE96" s="41">
        <f>IF(AQ96="7",BI96,0)</f>
        <v>0</v>
      </c>
      <c r="AF96" s="41">
        <f>IF(AQ96="2",BH96,0)</f>
        <v>0</v>
      </c>
      <c r="AG96" s="41">
        <f>IF(AQ96="2",BI96,0)</f>
        <v>0</v>
      </c>
      <c r="AH96" s="41">
        <f>IF(AQ96="0",BJ96,0)</f>
        <v>0</v>
      </c>
      <c r="AI96" s="31"/>
      <c r="AJ96" s="21">
        <f>IF(AN96=0,K96,0)</f>
        <v>0</v>
      </c>
      <c r="AK96" s="21">
        <f>IF(AN96=15,K96,0)</f>
        <v>0</v>
      </c>
      <c r="AL96" s="21">
        <f>IF(AN96=21,K96,0)</f>
        <v>0</v>
      </c>
      <c r="AN96" s="41">
        <v>15</v>
      </c>
      <c r="AO96" s="41">
        <f>H96*0</f>
        <v>0</v>
      </c>
      <c r="AP96" s="41">
        <f>H96*(1-0)</f>
        <v>0</v>
      </c>
      <c r="AQ96" s="42" t="s">
        <v>7</v>
      </c>
      <c r="AV96" s="41">
        <f>AW96+AX96</f>
        <v>0</v>
      </c>
      <c r="AW96" s="41">
        <f>G96*AO96</f>
        <v>0</v>
      </c>
      <c r="AX96" s="41">
        <f>G96*AP96</f>
        <v>0</v>
      </c>
      <c r="AY96" s="44" t="s">
        <v>396</v>
      </c>
      <c r="AZ96" s="44" t="s">
        <v>407</v>
      </c>
      <c r="BA96" s="31" t="s">
        <v>409</v>
      </c>
      <c r="BC96" s="41">
        <f>AW96+AX96</f>
        <v>0</v>
      </c>
      <c r="BD96" s="41">
        <f>H96/(100-BE96)*100</f>
        <v>0</v>
      </c>
      <c r="BE96" s="41">
        <v>0</v>
      </c>
      <c r="BF96" s="41">
        <f>M96</f>
        <v>0</v>
      </c>
      <c r="BH96" s="21">
        <f>G96*AO96</f>
        <v>0</v>
      </c>
      <c r="BI96" s="21">
        <f>G96*AP96</f>
        <v>0</v>
      </c>
      <c r="BJ96" s="21">
        <f>G96*H96</f>
        <v>0</v>
      </c>
      <c r="BK96" s="21" t="s">
        <v>414</v>
      </c>
      <c r="BL96" s="41" t="s">
        <v>179</v>
      </c>
    </row>
    <row r="97" spans="1:47" ht="12.75">
      <c r="A97" s="5"/>
      <c r="B97" s="14"/>
      <c r="C97" s="14" t="s">
        <v>182</v>
      </c>
      <c r="D97" s="139" t="s">
        <v>301</v>
      </c>
      <c r="E97" s="140"/>
      <c r="F97" s="19" t="s">
        <v>5</v>
      </c>
      <c r="G97" s="19" t="s">
        <v>5</v>
      </c>
      <c r="H97" s="19" t="s">
        <v>5</v>
      </c>
      <c r="I97" s="47">
        <f>SUM(I98:I98)</f>
        <v>0</v>
      </c>
      <c r="J97" s="47">
        <f>SUM(J98:J98)</f>
        <v>0</v>
      </c>
      <c r="K97" s="47">
        <f>SUM(K98:K98)</f>
        <v>0</v>
      </c>
      <c r="L97" s="31"/>
      <c r="M97" s="47">
        <f>SUM(M98:M98)</f>
        <v>0.00013</v>
      </c>
      <c r="N97" s="36"/>
      <c r="O97" s="39"/>
      <c r="AI97" s="31"/>
      <c r="AS97" s="47">
        <f>SUM(AJ98:AJ98)</f>
        <v>0</v>
      </c>
      <c r="AT97" s="47">
        <f>SUM(AK98:AK98)</f>
        <v>0</v>
      </c>
      <c r="AU97" s="47">
        <f>SUM(AL98:AL98)</f>
        <v>0</v>
      </c>
    </row>
    <row r="98" spans="1:64" ht="12.75">
      <c r="A98" s="4" t="s">
        <v>71</v>
      </c>
      <c r="B98" s="13"/>
      <c r="C98" s="13" t="s">
        <v>183</v>
      </c>
      <c r="D98" s="137" t="s">
        <v>302</v>
      </c>
      <c r="E98" s="138"/>
      <c r="F98" s="13" t="s">
        <v>337</v>
      </c>
      <c r="G98" s="21">
        <v>1</v>
      </c>
      <c r="H98" s="21">
        <v>0</v>
      </c>
      <c r="I98" s="21">
        <f>G98*AO98</f>
        <v>0</v>
      </c>
      <c r="J98" s="21">
        <f>G98*AP98</f>
        <v>0</v>
      </c>
      <c r="K98" s="21">
        <f>G98*H98</f>
        <v>0</v>
      </c>
      <c r="L98" s="21">
        <v>0.00013</v>
      </c>
      <c r="M98" s="21">
        <f>G98*L98</f>
        <v>0.00013</v>
      </c>
      <c r="N98" s="35" t="s">
        <v>365</v>
      </c>
      <c r="O98" s="39"/>
      <c r="Z98" s="41">
        <f>IF(AQ98="5",BJ98,0)</f>
        <v>0</v>
      </c>
      <c r="AB98" s="41">
        <f>IF(AQ98="1",BH98,0)</f>
        <v>0</v>
      </c>
      <c r="AC98" s="41">
        <f>IF(AQ98="1",BI98,0)</f>
        <v>0</v>
      </c>
      <c r="AD98" s="41">
        <f>IF(AQ98="7",BH98,0)</f>
        <v>0</v>
      </c>
      <c r="AE98" s="41">
        <f>IF(AQ98="7",BI98,0)</f>
        <v>0</v>
      </c>
      <c r="AF98" s="41">
        <f>IF(AQ98="2",BH98,0)</f>
        <v>0</v>
      </c>
      <c r="AG98" s="41">
        <f>IF(AQ98="2",BI98,0)</f>
        <v>0</v>
      </c>
      <c r="AH98" s="41">
        <f>IF(AQ98="0",BJ98,0)</f>
        <v>0</v>
      </c>
      <c r="AI98" s="31"/>
      <c r="AJ98" s="21">
        <f>IF(AN98=0,K98,0)</f>
        <v>0</v>
      </c>
      <c r="AK98" s="21">
        <f>IF(AN98=15,K98,0)</f>
        <v>0</v>
      </c>
      <c r="AL98" s="21">
        <f>IF(AN98=21,K98,0)</f>
        <v>0</v>
      </c>
      <c r="AN98" s="41">
        <v>15</v>
      </c>
      <c r="AO98" s="41">
        <f>H98*0.0852730657840298</f>
        <v>0</v>
      </c>
      <c r="AP98" s="41">
        <f>H98*(1-0.0852730657840298)</f>
        <v>0</v>
      </c>
      <c r="AQ98" s="42" t="s">
        <v>7</v>
      </c>
      <c r="AV98" s="41">
        <f>AW98+AX98</f>
        <v>0</v>
      </c>
      <c r="AW98" s="41">
        <f>G98*AO98</f>
        <v>0</v>
      </c>
      <c r="AX98" s="41">
        <f>G98*AP98</f>
        <v>0</v>
      </c>
      <c r="AY98" s="44" t="s">
        <v>397</v>
      </c>
      <c r="AZ98" s="44" t="s">
        <v>407</v>
      </c>
      <c r="BA98" s="31" t="s">
        <v>409</v>
      </c>
      <c r="BC98" s="41">
        <f>AW98+AX98</f>
        <v>0</v>
      </c>
      <c r="BD98" s="41">
        <f>H98/(100-BE98)*100</f>
        <v>0</v>
      </c>
      <c r="BE98" s="41">
        <v>0</v>
      </c>
      <c r="BF98" s="41">
        <f>M98</f>
        <v>0.00013</v>
      </c>
      <c r="BH98" s="21">
        <f>G98*AO98</f>
        <v>0</v>
      </c>
      <c r="BI98" s="21">
        <f>G98*AP98</f>
        <v>0</v>
      </c>
      <c r="BJ98" s="21">
        <f>G98*H98</f>
        <v>0</v>
      </c>
      <c r="BK98" s="21" t="s">
        <v>414</v>
      </c>
      <c r="BL98" s="41" t="s">
        <v>182</v>
      </c>
    </row>
    <row r="99" spans="1:47" ht="12.75">
      <c r="A99" s="5"/>
      <c r="B99" s="14"/>
      <c r="C99" s="14" t="s">
        <v>184</v>
      </c>
      <c r="D99" s="139" t="s">
        <v>303</v>
      </c>
      <c r="E99" s="140"/>
      <c r="F99" s="19" t="s">
        <v>5</v>
      </c>
      <c r="G99" s="19" t="s">
        <v>5</v>
      </c>
      <c r="H99" s="19" t="s">
        <v>5</v>
      </c>
      <c r="I99" s="47">
        <f>SUM(I100:I107)</f>
        <v>0</v>
      </c>
      <c r="J99" s="47">
        <f>SUM(J100:J107)</f>
        <v>0</v>
      </c>
      <c r="K99" s="47">
        <f>SUM(K100:K107)</f>
        <v>0</v>
      </c>
      <c r="L99" s="31"/>
      <c r="M99" s="47">
        <f>SUM(M100:M107)</f>
        <v>0</v>
      </c>
      <c r="N99" s="36"/>
      <c r="O99" s="39"/>
      <c r="AI99" s="31"/>
      <c r="AS99" s="47">
        <f>SUM(AJ100:AJ107)</f>
        <v>0</v>
      </c>
      <c r="AT99" s="47">
        <f>SUM(AK100:AK107)</f>
        <v>0</v>
      </c>
      <c r="AU99" s="47">
        <f>SUM(AL100:AL107)</f>
        <v>0</v>
      </c>
    </row>
    <row r="100" spans="1:64" ht="12.75">
      <c r="A100" s="4" t="s">
        <v>72</v>
      </c>
      <c r="B100" s="13"/>
      <c r="C100" s="13" t="s">
        <v>185</v>
      </c>
      <c r="D100" s="137" t="s">
        <v>304</v>
      </c>
      <c r="E100" s="138"/>
      <c r="F100" s="13" t="s">
        <v>341</v>
      </c>
      <c r="G100" s="21">
        <v>1.69</v>
      </c>
      <c r="H100" s="21">
        <v>0</v>
      </c>
      <c r="I100" s="21">
        <f aca="true" t="shared" si="72" ref="I100:I107">G100*AO100</f>
        <v>0</v>
      </c>
      <c r="J100" s="21">
        <f aca="true" t="shared" si="73" ref="J100:J107">G100*AP100</f>
        <v>0</v>
      </c>
      <c r="K100" s="21">
        <f aca="true" t="shared" si="74" ref="K100:K107">G100*H100</f>
        <v>0</v>
      </c>
      <c r="L100" s="21">
        <v>0</v>
      </c>
      <c r="M100" s="21">
        <f aca="true" t="shared" si="75" ref="M100:M107">G100*L100</f>
        <v>0</v>
      </c>
      <c r="N100" s="35" t="s">
        <v>365</v>
      </c>
      <c r="O100" s="39"/>
      <c r="Z100" s="41">
        <f aca="true" t="shared" si="76" ref="Z100:Z107">IF(AQ100="5",BJ100,0)</f>
        <v>0</v>
      </c>
      <c r="AB100" s="41">
        <f aca="true" t="shared" si="77" ref="AB100:AB107">IF(AQ100="1",BH100,0)</f>
        <v>0</v>
      </c>
      <c r="AC100" s="41">
        <f aca="true" t="shared" si="78" ref="AC100:AC107">IF(AQ100="1",BI100,0)</f>
        <v>0</v>
      </c>
      <c r="AD100" s="41">
        <f aca="true" t="shared" si="79" ref="AD100:AD107">IF(AQ100="7",BH100,0)</f>
        <v>0</v>
      </c>
      <c r="AE100" s="41">
        <f aca="true" t="shared" si="80" ref="AE100:AE107">IF(AQ100="7",BI100,0)</f>
        <v>0</v>
      </c>
      <c r="AF100" s="41">
        <f aca="true" t="shared" si="81" ref="AF100:AF107">IF(AQ100="2",BH100,0)</f>
        <v>0</v>
      </c>
      <c r="AG100" s="41">
        <f aca="true" t="shared" si="82" ref="AG100:AG107">IF(AQ100="2",BI100,0)</f>
        <v>0</v>
      </c>
      <c r="AH100" s="41">
        <f aca="true" t="shared" si="83" ref="AH100:AH107">IF(AQ100="0",BJ100,0)</f>
        <v>0</v>
      </c>
      <c r="AI100" s="31"/>
      <c r="AJ100" s="21">
        <f aca="true" t="shared" si="84" ref="AJ100:AJ107">IF(AN100=0,K100,0)</f>
        <v>0</v>
      </c>
      <c r="AK100" s="21">
        <f aca="true" t="shared" si="85" ref="AK100:AK107">IF(AN100=15,K100,0)</f>
        <v>0</v>
      </c>
      <c r="AL100" s="21">
        <f aca="true" t="shared" si="86" ref="AL100:AL107">IF(AN100=21,K100,0)</f>
        <v>0</v>
      </c>
      <c r="AN100" s="41">
        <v>15</v>
      </c>
      <c r="AO100" s="41">
        <f aca="true" t="shared" si="87" ref="AO100:AO107">H100*0</f>
        <v>0</v>
      </c>
      <c r="AP100" s="41">
        <f aca="true" t="shared" si="88" ref="AP100:AP107">H100*(1-0)</f>
        <v>0</v>
      </c>
      <c r="AQ100" s="42" t="s">
        <v>10</v>
      </c>
      <c r="AV100" s="41">
        <f aca="true" t="shared" si="89" ref="AV100:AV107">AW100+AX100</f>
        <v>0</v>
      </c>
      <c r="AW100" s="41">
        <f aca="true" t="shared" si="90" ref="AW100:AW107">G100*AO100</f>
        <v>0</v>
      </c>
      <c r="AX100" s="41">
        <f aca="true" t="shared" si="91" ref="AX100:AX107">G100*AP100</f>
        <v>0</v>
      </c>
      <c r="AY100" s="44" t="s">
        <v>398</v>
      </c>
      <c r="AZ100" s="44" t="s">
        <v>407</v>
      </c>
      <c r="BA100" s="31" t="s">
        <v>409</v>
      </c>
      <c r="BC100" s="41">
        <f aca="true" t="shared" si="92" ref="BC100:BC107">AW100+AX100</f>
        <v>0</v>
      </c>
      <c r="BD100" s="41">
        <f aca="true" t="shared" si="93" ref="BD100:BD107">H100/(100-BE100)*100</f>
        <v>0</v>
      </c>
      <c r="BE100" s="41">
        <v>0</v>
      </c>
      <c r="BF100" s="41">
        <f aca="true" t="shared" si="94" ref="BF100:BF107">M100</f>
        <v>0</v>
      </c>
      <c r="BH100" s="21">
        <f aca="true" t="shared" si="95" ref="BH100:BH107">G100*AO100</f>
        <v>0</v>
      </c>
      <c r="BI100" s="21">
        <f aca="true" t="shared" si="96" ref="BI100:BI107">G100*AP100</f>
        <v>0</v>
      </c>
      <c r="BJ100" s="21">
        <f aca="true" t="shared" si="97" ref="BJ100:BJ107">G100*H100</f>
        <v>0</v>
      </c>
      <c r="BK100" s="21" t="s">
        <v>414</v>
      </c>
      <c r="BL100" s="41" t="s">
        <v>184</v>
      </c>
    </row>
    <row r="101" spans="1:64" ht="12.75">
      <c r="A101" s="4" t="s">
        <v>73</v>
      </c>
      <c r="B101" s="13"/>
      <c r="C101" s="13" t="s">
        <v>186</v>
      </c>
      <c r="D101" s="137" t="s">
        <v>305</v>
      </c>
      <c r="E101" s="138"/>
      <c r="F101" s="13" t="s">
        <v>341</v>
      </c>
      <c r="G101" s="21">
        <v>1.69</v>
      </c>
      <c r="H101" s="21">
        <v>0</v>
      </c>
      <c r="I101" s="21">
        <f t="shared" si="72"/>
        <v>0</v>
      </c>
      <c r="J101" s="21">
        <f t="shared" si="73"/>
        <v>0</v>
      </c>
      <c r="K101" s="21">
        <f t="shared" si="74"/>
        <v>0</v>
      </c>
      <c r="L101" s="21">
        <v>0</v>
      </c>
      <c r="M101" s="21">
        <f t="shared" si="75"/>
        <v>0</v>
      </c>
      <c r="N101" s="35" t="s">
        <v>365</v>
      </c>
      <c r="O101" s="39"/>
      <c r="Z101" s="41">
        <f t="shared" si="76"/>
        <v>0</v>
      </c>
      <c r="AB101" s="41">
        <f t="shared" si="77"/>
        <v>0</v>
      </c>
      <c r="AC101" s="41">
        <f t="shared" si="78"/>
        <v>0</v>
      </c>
      <c r="AD101" s="41">
        <f t="shared" si="79"/>
        <v>0</v>
      </c>
      <c r="AE101" s="41">
        <f t="shared" si="80"/>
        <v>0</v>
      </c>
      <c r="AF101" s="41">
        <f t="shared" si="81"/>
        <v>0</v>
      </c>
      <c r="AG101" s="41">
        <f t="shared" si="82"/>
        <v>0</v>
      </c>
      <c r="AH101" s="41">
        <f t="shared" si="83"/>
        <v>0</v>
      </c>
      <c r="AI101" s="31"/>
      <c r="AJ101" s="21">
        <f t="shared" si="84"/>
        <v>0</v>
      </c>
      <c r="AK101" s="21">
        <f t="shared" si="85"/>
        <v>0</v>
      </c>
      <c r="AL101" s="21">
        <f t="shared" si="86"/>
        <v>0</v>
      </c>
      <c r="AN101" s="41">
        <v>15</v>
      </c>
      <c r="AO101" s="41">
        <f t="shared" si="87"/>
        <v>0</v>
      </c>
      <c r="AP101" s="41">
        <f t="shared" si="88"/>
        <v>0</v>
      </c>
      <c r="AQ101" s="42" t="s">
        <v>10</v>
      </c>
      <c r="AV101" s="41">
        <f t="shared" si="89"/>
        <v>0</v>
      </c>
      <c r="AW101" s="41">
        <f t="shared" si="90"/>
        <v>0</v>
      </c>
      <c r="AX101" s="41">
        <f t="shared" si="91"/>
        <v>0</v>
      </c>
      <c r="AY101" s="44" t="s">
        <v>398</v>
      </c>
      <c r="AZ101" s="44" t="s">
        <v>407</v>
      </c>
      <c r="BA101" s="31" t="s">
        <v>409</v>
      </c>
      <c r="BC101" s="41">
        <f t="shared" si="92"/>
        <v>0</v>
      </c>
      <c r="BD101" s="41">
        <f t="shared" si="93"/>
        <v>0</v>
      </c>
      <c r="BE101" s="41">
        <v>0</v>
      </c>
      <c r="BF101" s="41">
        <f t="shared" si="94"/>
        <v>0</v>
      </c>
      <c r="BH101" s="21">
        <f t="shared" si="95"/>
        <v>0</v>
      </c>
      <c r="BI101" s="21">
        <f t="shared" si="96"/>
        <v>0</v>
      </c>
      <c r="BJ101" s="21">
        <f t="shared" si="97"/>
        <v>0</v>
      </c>
      <c r="BK101" s="21" t="s">
        <v>414</v>
      </c>
      <c r="BL101" s="41" t="s">
        <v>184</v>
      </c>
    </row>
    <row r="102" spans="1:64" ht="12.75">
      <c r="A102" s="4" t="s">
        <v>74</v>
      </c>
      <c r="B102" s="13"/>
      <c r="C102" s="13" t="s">
        <v>187</v>
      </c>
      <c r="D102" s="137" t="s">
        <v>306</v>
      </c>
      <c r="E102" s="138"/>
      <c r="F102" s="13" t="s">
        <v>341</v>
      </c>
      <c r="G102" s="21">
        <v>1.69</v>
      </c>
      <c r="H102" s="21">
        <v>0</v>
      </c>
      <c r="I102" s="21">
        <f t="shared" si="72"/>
        <v>0</v>
      </c>
      <c r="J102" s="21">
        <f t="shared" si="73"/>
        <v>0</v>
      </c>
      <c r="K102" s="21">
        <f t="shared" si="74"/>
        <v>0</v>
      </c>
      <c r="L102" s="21">
        <v>0</v>
      </c>
      <c r="M102" s="21">
        <f t="shared" si="75"/>
        <v>0</v>
      </c>
      <c r="N102" s="35" t="s">
        <v>365</v>
      </c>
      <c r="O102" s="39"/>
      <c r="Z102" s="41">
        <f t="shared" si="76"/>
        <v>0</v>
      </c>
      <c r="AB102" s="41">
        <f t="shared" si="77"/>
        <v>0</v>
      </c>
      <c r="AC102" s="41">
        <f t="shared" si="78"/>
        <v>0</v>
      </c>
      <c r="AD102" s="41">
        <f t="shared" si="79"/>
        <v>0</v>
      </c>
      <c r="AE102" s="41">
        <f t="shared" si="80"/>
        <v>0</v>
      </c>
      <c r="AF102" s="41">
        <f t="shared" si="81"/>
        <v>0</v>
      </c>
      <c r="AG102" s="41">
        <f t="shared" si="82"/>
        <v>0</v>
      </c>
      <c r="AH102" s="41">
        <f t="shared" si="83"/>
        <v>0</v>
      </c>
      <c r="AI102" s="31"/>
      <c r="AJ102" s="21">
        <f t="shared" si="84"/>
        <v>0</v>
      </c>
      <c r="AK102" s="21">
        <f t="shared" si="85"/>
        <v>0</v>
      </c>
      <c r="AL102" s="21">
        <f t="shared" si="86"/>
        <v>0</v>
      </c>
      <c r="AN102" s="41">
        <v>15</v>
      </c>
      <c r="AO102" s="41">
        <f t="shared" si="87"/>
        <v>0</v>
      </c>
      <c r="AP102" s="41">
        <f t="shared" si="88"/>
        <v>0</v>
      </c>
      <c r="AQ102" s="42" t="s">
        <v>10</v>
      </c>
      <c r="AV102" s="41">
        <f t="shared" si="89"/>
        <v>0</v>
      </c>
      <c r="AW102" s="41">
        <f t="shared" si="90"/>
        <v>0</v>
      </c>
      <c r="AX102" s="41">
        <f t="shared" si="91"/>
        <v>0</v>
      </c>
      <c r="AY102" s="44" t="s">
        <v>398</v>
      </c>
      <c r="AZ102" s="44" t="s">
        <v>407</v>
      </c>
      <c r="BA102" s="31" t="s">
        <v>409</v>
      </c>
      <c r="BC102" s="41">
        <f t="shared" si="92"/>
        <v>0</v>
      </c>
      <c r="BD102" s="41">
        <f t="shared" si="93"/>
        <v>0</v>
      </c>
      <c r="BE102" s="41">
        <v>0</v>
      </c>
      <c r="BF102" s="41">
        <f t="shared" si="94"/>
        <v>0</v>
      </c>
      <c r="BH102" s="21">
        <f t="shared" si="95"/>
        <v>0</v>
      </c>
      <c r="BI102" s="21">
        <f t="shared" si="96"/>
        <v>0</v>
      </c>
      <c r="BJ102" s="21">
        <f t="shared" si="97"/>
        <v>0</v>
      </c>
      <c r="BK102" s="21" t="s">
        <v>414</v>
      </c>
      <c r="BL102" s="41" t="s">
        <v>184</v>
      </c>
    </row>
    <row r="103" spans="1:64" ht="12.75">
      <c r="A103" s="4" t="s">
        <v>75</v>
      </c>
      <c r="B103" s="13"/>
      <c r="C103" s="13" t="s">
        <v>188</v>
      </c>
      <c r="D103" s="137" t="s">
        <v>307</v>
      </c>
      <c r="E103" s="138"/>
      <c r="F103" s="13" t="s">
        <v>341</v>
      </c>
      <c r="G103" s="21">
        <v>16.9</v>
      </c>
      <c r="H103" s="21">
        <v>0</v>
      </c>
      <c r="I103" s="21">
        <f t="shared" si="72"/>
        <v>0</v>
      </c>
      <c r="J103" s="21">
        <f t="shared" si="73"/>
        <v>0</v>
      </c>
      <c r="K103" s="21">
        <f t="shared" si="74"/>
        <v>0</v>
      </c>
      <c r="L103" s="21">
        <v>0</v>
      </c>
      <c r="M103" s="21">
        <f t="shared" si="75"/>
        <v>0</v>
      </c>
      <c r="N103" s="35" t="s">
        <v>365</v>
      </c>
      <c r="O103" s="39"/>
      <c r="Z103" s="41">
        <f t="shared" si="76"/>
        <v>0</v>
      </c>
      <c r="AB103" s="41">
        <f t="shared" si="77"/>
        <v>0</v>
      </c>
      <c r="AC103" s="41">
        <f t="shared" si="78"/>
        <v>0</v>
      </c>
      <c r="AD103" s="41">
        <f t="shared" si="79"/>
        <v>0</v>
      </c>
      <c r="AE103" s="41">
        <f t="shared" si="80"/>
        <v>0</v>
      </c>
      <c r="AF103" s="41">
        <f t="shared" si="81"/>
        <v>0</v>
      </c>
      <c r="AG103" s="41">
        <f t="shared" si="82"/>
        <v>0</v>
      </c>
      <c r="AH103" s="41">
        <f t="shared" si="83"/>
        <v>0</v>
      </c>
      <c r="AI103" s="31"/>
      <c r="AJ103" s="21">
        <f t="shared" si="84"/>
        <v>0</v>
      </c>
      <c r="AK103" s="21">
        <f t="shared" si="85"/>
        <v>0</v>
      </c>
      <c r="AL103" s="21">
        <f t="shared" si="86"/>
        <v>0</v>
      </c>
      <c r="AN103" s="41">
        <v>15</v>
      </c>
      <c r="AO103" s="41">
        <f t="shared" si="87"/>
        <v>0</v>
      </c>
      <c r="AP103" s="41">
        <f t="shared" si="88"/>
        <v>0</v>
      </c>
      <c r="AQ103" s="42" t="s">
        <v>10</v>
      </c>
      <c r="AV103" s="41">
        <f t="shared" si="89"/>
        <v>0</v>
      </c>
      <c r="AW103" s="41">
        <f t="shared" si="90"/>
        <v>0</v>
      </c>
      <c r="AX103" s="41">
        <f t="shared" si="91"/>
        <v>0</v>
      </c>
      <c r="AY103" s="44" t="s">
        <v>398</v>
      </c>
      <c r="AZ103" s="44" t="s">
        <v>407</v>
      </c>
      <c r="BA103" s="31" t="s">
        <v>409</v>
      </c>
      <c r="BC103" s="41">
        <f t="shared" si="92"/>
        <v>0</v>
      </c>
      <c r="BD103" s="41">
        <f t="shared" si="93"/>
        <v>0</v>
      </c>
      <c r="BE103" s="41">
        <v>0</v>
      </c>
      <c r="BF103" s="41">
        <f t="shared" si="94"/>
        <v>0</v>
      </c>
      <c r="BH103" s="21">
        <f t="shared" si="95"/>
        <v>0</v>
      </c>
      <c r="BI103" s="21">
        <f t="shared" si="96"/>
        <v>0</v>
      </c>
      <c r="BJ103" s="21">
        <f t="shared" si="97"/>
        <v>0</v>
      </c>
      <c r="BK103" s="21" t="s">
        <v>414</v>
      </c>
      <c r="BL103" s="41" t="s">
        <v>184</v>
      </c>
    </row>
    <row r="104" spans="1:64" ht="12.75">
      <c r="A104" s="4" t="s">
        <v>76</v>
      </c>
      <c r="B104" s="13"/>
      <c r="C104" s="13" t="s">
        <v>189</v>
      </c>
      <c r="D104" s="137" t="s">
        <v>308</v>
      </c>
      <c r="E104" s="138"/>
      <c r="F104" s="13" t="s">
        <v>341</v>
      </c>
      <c r="G104" s="21">
        <v>1.69</v>
      </c>
      <c r="H104" s="21">
        <v>0</v>
      </c>
      <c r="I104" s="21">
        <f t="shared" si="72"/>
        <v>0</v>
      </c>
      <c r="J104" s="21">
        <f t="shared" si="73"/>
        <v>0</v>
      </c>
      <c r="K104" s="21">
        <f t="shared" si="74"/>
        <v>0</v>
      </c>
      <c r="L104" s="21">
        <v>0</v>
      </c>
      <c r="M104" s="21">
        <f t="shared" si="75"/>
        <v>0</v>
      </c>
      <c r="N104" s="35" t="s">
        <v>365</v>
      </c>
      <c r="O104" s="39"/>
      <c r="Z104" s="41">
        <f t="shared" si="76"/>
        <v>0</v>
      </c>
      <c r="AB104" s="41">
        <f t="shared" si="77"/>
        <v>0</v>
      </c>
      <c r="AC104" s="41">
        <f t="shared" si="78"/>
        <v>0</v>
      </c>
      <c r="AD104" s="41">
        <f t="shared" si="79"/>
        <v>0</v>
      </c>
      <c r="AE104" s="41">
        <f t="shared" si="80"/>
        <v>0</v>
      </c>
      <c r="AF104" s="41">
        <f t="shared" si="81"/>
        <v>0</v>
      </c>
      <c r="AG104" s="41">
        <f t="shared" si="82"/>
        <v>0</v>
      </c>
      <c r="AH104" s="41">
        <f t="shared" si="83"/>
        <v>0</v>
      </c>
      <c r="AI104" s="31"/>
      <c r="AJ104" s="21">
        <f t="shared" si="84"/>
        <v>0</v>
      </c>
      <c r="AK104" s="21">
        <f t="shared" si="85"/>
        <v>0</v>
      </c>
      <c r="AL104" s="21">
        <f t="shared" si="86"/>
        <v>0</v>
      </c>
      <c r="AN104" s="41">
        <v>15</v>
      </c>
      <c r="AO104" s="41">
        <f t="shared" si="87"/>
        <v>0</v>
      </c>
      <c r="AP104" s="41">
        <f t="shared" si="88"/>
        <v>0</v>
      </c>
      <c r="AQ104" s="42" t="s">
        <v>10</v>
      </c>
      <c r="AV104" s="41">
        <f t="shared" si="89"/>
        <v>0</v>
      </c>
      <c r="AW104" s="41">
        <f t="shared" si="90"/>
        <v>0</v>
      </c>
      <c r="AX104" s="41">
        <f t="shared" si="91"/>
        <v>0</v>
      </c>
      <c r="AY104" s="44" t="s">
        <v>398</v>
      </c>
      <c r="AZ104" s="44" t="s">
        <v>407</v>
      </c>
      <c r="BA104" s="31" t="s">
        <v>409</v>
      </c>
      <c r="BC104" s="41">
        <f t="shared" si="92"/>
        <v>0</v>
      </c>
      <c r="BD104" s="41">
        <f t="shared" si="93"/>
        <v>0</v>
      </c>
      <c r="BE104" s="41">
        <v>0</v>
      </c>
      <c r="BF104" s="41">
        <f t="shared" si="94"/>
        <v>0</v>
      </c>
      <c r="BH104" s="21">
        <f t="shared" si="95"/>
        <v>0</v>
      </c>
      <c r="BI104" s="21">
        <f t="shared" si="96"/>
        <v>0</v>
      </c>
      <c r="BJ104" s="21">
        <f t="shared" si="97"/>
        <v>0</v>
      </c>
      <c r="BK104" s="21" t="s">
        <v>414</v>
      </c>
      <c r="BL104" s="41" t="s">
        <v>184</v>
      </c>
    </row>
    <row r="105" spans="1:64" ht="12.75">
      <c r="A105" s="4" t="s">
        <v>77</v>
      </c>
      <c r="B105" s="13"/>
      <c r="C105" s="13" t="s">
        <v>190</v>
      </c>
      <c r="D105" s="137" t="s">
        <v>309</v>
      </c>
      <c r="E105" s="138"/>
      <c r="F105" s="13" t="s">
        <v>341</v>
      </c>
      <c r="G105" s="21">
        <v>1.69</v>
      </c>
      <c r="H105" s="21">
        <v>0</v>
      </c>
      <c r="I105" s="21">
        <f t="shared" si="72"/>
        <v>0</v>
      </c>
      <c r="J105" s="21">
        <f t="shared" si="73"/>
        <v>0</v>
      </c>
      <c r="K105" s="21">
        <f t="shared" si="74"/>
        <v>0</v>
      </c>
      <c r="L105" s="21">
        <v>0</v>
      </c>
      <c r="M105" s="21">
        <f t="shared" si="75"/>
        <v>0</v>
      </c>
      <c r="N105" s="35" t="s">
        <v>365</v>
      </c>
      <c r="O105" s="39"/>
      <c r="Z105" s="41">
        <f t="shared" si="76"/>
        <v>0</v>
      </c>
      <c r="AB105" s="41">
        <f t="shared" si="77"/>
        <v>0</v>
      </c>
      <c r="AC105" s="41">
        <f t="shared" si="78"/>
        <v>0</v>
      </c>
      <c r="AD105" s="41">
        <f t="shared" si="79"/>
        <v>0</v>
      </c>
      <c r="AE105" s="41">
        <f t="shared" si="80"/>
        <v>0</v>
      </c>
      <c r="AF105" s="41">
        <f t="shared" si="81"/>
        <v>0</v>
      </c>
      <c r="AG105" s="41">
        <f t="shared" si="82"/>
        <v>0</v>
      </c>
      <c r="AH105" s="41">
        <f t="shared" si="83"/>
        <v>0</v>
      </c>
      <c r="AI105" s="31"/>
      <c r="AJ105" s="21">
        <f t="shared" si="84"/>
        <v>0</v>
      </c>
      <c r="AK105" s="21">
        <f t="shared" si="85"/>
        <v>0</v>
      </c>
      <c r="AL105" s="21">
        <f t="shared" si="86"/>
        <v>0</v>
      </c>
      <c r="AN105" s="41">
        <v>15</v>
      </c>
      <c r="AO105" s="41">
        <f t="shared" si="87"/>
        <v>0</v>
      </c>
      <c r="AP105" s="41">
        <f t="shared" si="88"/>
        <v>0</v>
      </c>
      <c r="AQ105" s="42" t="s">
        <v>10</v>
      </c>
      <c r="AV105" s="41">
        <f t="shared" si="89"/>
        <v>0</v>
      </c>
      <c r="AW105" s="41">
        <f t="shared" si="90"/>
        <v>0</v>
      </c>
      <c r="AX105" s="41">
        <f t="shared" si="91"/>
        <v>0</v>
      </c>
      <c r="AY105" s="44" t="s">
        <v>398</v>
      </c>
      <c r="AZ105" s="44" t="s">
        <v>407</v>
      </c>
      <c r="BA105" s="31" t="s">
        <v>409</v>
      </c>
      <c r="BC105" s="41">
        <f t="shared" si="92"/>
        <v>0</v>
      </c>
      <c r="BD105" s="41">
        <f t="shared" si="93"/>
        <v>0</v>
      </c>
      <c r="BE105" s="41">
        <v>0</v>
      </c>
      <c r="BF105" s="41">
        <f t="shared" si="94"/>
        <v>0</v>
      </c>
      <c r="BH105" s="21">
        <f t="shared" si="95"/>
        <v>0</v>
      </c>
      <c r="BI105" s="21">
        <f t="shared" si="96"/>
        <v>0</v>
      </c>
      <c r="BJ105" s="21">
        <f t="shared" si="97"/>
        <v>0</v>
      </c>
      <c r="BK105" s="21" t="s">
        <v>414</v>
      </c>
      <c r="BL105" s="41" t="s">
        <v>184</v>
      </c>
    </row>
    <row r="106" spans="1:64" ht="12.75">
      <c r="A106" s="4" t="s">
        <v>78</v>
      </c>
      <c r="B106" s="13"/>
      <c r="C106" s="13" t="s">
        <v>191</v>
      </c>
      <c r="D106" s="137" t="s">
        <v>310</v>
      </c>
      <c r="E106" s="138"/>
      <c r="F106" s="13" t="s">
        <v>341</v>
      </c>
      <c r="G106" s="21">
        <v>1.28</v>
      </c>
      <c r="H106" s="21">
        <v>0</v>
      </c>
      <c r="I106" s="21">
        <f t="shared" si="72"/>
        <v>0</v>
      </c>
      <c r="J106" s="21">
        <f t="shared" si="73"/>
        <v>0</v>
      </c>
      <c r="K106" s="21">
        <f t="shared" si="74"/>
        <v>0</v>
      </c>
      <c r="L106" s="21">
        <v>0</v>
      </c>
      <c r="M106" s="21">
        <f t="shared" si="75"/>
        <v>0</v>
      </c>
      <c r="N106" s="35" t="s">
        <v>365</v>
      </c>
      <c r="O106" s="39"/>
      <c r="Z106" s="41">
        <f t="shared" si="76"/>
        <v>0</v>
      </c>
      <c r="AB106" s="41">
        <f t="shared" si="77"/>
        <v>0</v>
      </c>
      <c r="AC106" s="41">
        <f t="shared" si="78"/>
        <v>0</v>
      </c>
      <c r="AD106" s="41">
        <f t="shared" si="79"/>
        <v>0</v>
      </c>
      <c r="AE106" s="41">
        <f t="shared" si="80"/>
        <v>0</v>
      </c>
      <c r="AF106" s="41">
        <f t="shared" si="81"/>
        <v>0</v>
      </c>
      <c r="AG106" s="41">
        <f t="shared" si="82"/>
        <v>0</v>
      </c>
      <c r="AH106" s="41">
        <f t="shared" si="83"/>
        <v>0</v>
      </c>
      <c r="AI106" s="31"/>
      <c r="AJ106" s="21">
        <f t="shared" si="84"/>
        <v>0</v>
      </c>
      <c r="AK106" s="21">
        <f t="shared" si="85"/>
        <v>0</v>
      </c>
      <c r="AL106" s="21">
        <f t="shared" si="86"/>
        <v>0</v>
      </c>
      <c r="AN106" s="41">
        <v>15</v>
      </c>
      <c r="AO106" s="41">
        <f t="shared" si="87"/>
        <v>0</v>
      </c>
      <c r="AP106" s="41">
        <f t="shared" si="88"/>
        <v>0</v>
      </c>
      <c r="AQ106" s="42" t="s">
        <v>10</v>
      </c>
      <c r="AV106" s="41">
        <f t="shared" si="89"/>
        <v>0</v>
      </c>
      <c r="AW106" s="41">
        <f t="shared" si="90"/>
        <v>0</v>
      </c>
      <c r="AX106" s="41">
        <f t="shared" si="91"/>
        <v>0</v>
      </c>
      <c r="AY106" s="44" t="s">
        <v>398</v>
      </c>
      <c r="AZ106" s="44" t="s">
        <v>407</v>
      </c>
      <c r="BA106" s="31" t="s">
        <v>409</v>
      </c>
      <c r="BC106" s="41">
        <f t="shared" si="92"/>
        <v>0</v>
      </c>
      <c r="BD106" s="41">
        <f t="shared" si="93"/>
        <v>0</v>
      </c>
      <c r="BE106" s="41">
        <v>0</v>
      </c>
      <c r="BF106" s="41">
        <f t="shared" si="94"/>
        <v>0</v>
      </c>
      <c r="BH106" s="21">
        <f t="shared" si="95"/>
        <v>0</v>
      </c>
      <c r="BI106" s="21">
        <f t="shared" si="96"/>
        <v>0</v>
      </c>
      <c r="BJ106" s="21">
        <f t="shared" si="97"/>
        <v>0</v>
      </c>
      <c r="BK106" s="21" t="s">
        <v>414</v>
      </c>
      <c r="BL106" s="41" t="s">
        <v>184</v>
      </c>
    </row>
    <row r="107" spans="1:64" ht="12.75">
      <c r="A107" s="4" t="s">
        <v>79</v>
      </c>
      <c r="B107" s="13"/>
      <c r="C107" s="13" t="s">
        <v>192</v>
      </c>
      <c r="D107" s="137" t="s">
        <v>311</v>
      </c>
      <c r="E107" s="138"/>
      <c r="F107" s="13" t="s">
        <v>341</v>
      </c>
      <c r="G107" s="21">
        <v>0.41</v>
      </c>
      <c r="H107" s="21">
        <v>0</v>
      </c>
      <c r="I107" s="21">
        <f t="shared" si="72"/>
        <v>0</v>
      </c>
      <c r="J107" s="21">
        <f t="shared" si="73"/>
        <v>0</v>
      </c>
      <c r="K107" s="21">
        <f t="shared" si="74"/>
        <v>0</v>
      </c>
      <c r="L107" s="21">
        <v>0</v>
      </c>
      <c r="M107" s="21">
        <f t="shared" si="75"/>
        <v>0</v>
      </c>
      <c r="N107" s="35" t="s">
        <v>365</v>
      </c>
      <c r="O107" s="39"/>
      <c r="Z107" s="41">
        <f t="shared" si="76"/>
        <v>0</v>
      </c>
      <c r="AB107" s="41">
        <f t="shared" si="77"/>
        <v>0</v>
      </c>
      <c r="AC107" s="41">
        <f t="shared" si="78"/>
        <v>0</v>
      </c>
      <c r="AD107" s="41">
        <f t="shared" si="79"/>
        <v>0</v>
      </c>
      <c r="AE107" s="41">
        <f t="shared" si="80"/>
        <v>0</v>
      </c>
      <c r="AF107" s="41">
        <f t="shared" si="81"/>
        <v>0</v>
      </c>
      <c r="AG107" s="41">
        <f t="shared" si="82"/>
        <v>0</v>
      </c>
      <c r="AH107" s="41">
        <f t="shared" si="83"/>
        <v>0</v>
      </c>
      <c r="AI107" s="31"/>
      <c r="AJ107" s="21">
        <f t="shared" si="84"/>
        <v>0</v>
      </c>
      <c r="AK107" s="21">
        <f t="shared" si="85"/>
        <v>0</v>
      </c>
      <c r="AL107" s="21">
        <f t="shared" si="86"/>
        <v>0</v>
      </c>
      <c r="AN107" s="41">
        <v>15</v>
      </c>
      <c r="AO107" s="41">
        <f t="shared" si="87"/>
        <v>0</v>
      </c>
      <c r="AP107" s="41">
        <f t="shared" si="88"/>
        <v>0</v>
      </c>
      <c r="AQ107" s="42" t="s">
        <v>10</v>
      </c>
      <c r="AV107" s="41">
        <f t="shared" si="89"/>
        <v>0</v>
      </c>
      <c r="AW107" s="41">
        <f t="shared" si="90"/>
        <v>0</v>
      </c>
      <c r="AX107" s="41">
        <f t="shared" si="91"/>
        <v>0</v>
      </c>
      <c r="AY107" s="44" t="s">
        <v>398</v>
      </c>
      <c r="AZ107" s="44" t="s">
        <v>407</v>
      </c>
      <c r="BA107" s="31" t="s">
        <v>409</v>
      </c>
      <c r="BC107" s="41">
        <f t="shared" si="92"/>
        <v>0</v>
      </c>
      <c r="BD107" s="41">
        <f t="shared" si="93"/>
        <v>0</v>
      </c>
      <c r="BE107" s="41">
        <v>0</v>
      </c>
      <c r="BF107" s="41">
        <f t="shared" si="94"/>
        <v>0</v>
      </c>
      <c r="BH107" s="21">
        <f t="shared" si="95"/>
        <v>0</v>
      </c>
      <c r="BI107" s="21">
        <f t="shared" si="96"/>
        <v>0</v>
      </c>
      <c r="BJ107" s="21">
        <f t="shared" si="97"/>
        <v>0</v>
      </c>
      <c r="BK107" s="21" t="s">
        <v>414</v>
      </c>
      <c r="BL107" s="41" t="s">
        <v>184</v>
      </c>
    </row>
    <row r="108" spans="1:47" ht="12.75">
      <c r="A108" s="5"/>
      <c r="B108" s="14"/>
      <c r="C108" s="14"/>
      <c r="D108" s="139" t="s">
        <v>312</v>
      </c>
      <c r="E108" s="140"/>
      <c r="F108" s="19" t="s">
        <v>5</v>
      </c>
      <c r="G108" s="19" t="s">
        <v>5</v>
      </c>
      <c r="H108" s="19" t="s">
        <v>5</v>
      </c>
      <c r="I108" s="47">
        <f>SUM(I109:I127)</f>
        <v>0</v>
      </c>
      <c r="J108" s="47">
        <f>SUM(J109:J127)</f>
        <v>0</v>
      </c>
      <c r="K108" s="47">
        <f>SUM(K109:K127)</f>
        <v>0</v>
      </c>
      <c r="L108" s="31"/>
      <c r="M108" s="47">
        <f>SUM(M109:M127)</f>
        <v>0.31670999999999994</v>
      </c>
      <c r="N108" s="36"/>
      <c r="O108" s="39"/>
      <c r="AI108" s="31"/>
      <c r="AS108" s="47">
        <f>SUM(AJ109:AJ127)</f>
        <v>0</v>
      </c>
      <c r="AT108" s="47">
        <f>SUM(AK109:AK127)</f>
        <v>0</v>
      </c>
      <c r="AU108" s="47">
        <f>SUM(AL109:AL127)</f>
        <v>0</v>
      </c>
    </row>
    <row r="109" spans="1:64" ht="12.75">
      <c r="A109" s="6" t="s">
        <v>80</v>
      </c>
      <c r="B109" s="15"/>
      <c r="C109" s="15" t="s">
        <v>193</v>
      </c>
      <c r="D109" s="141" t="s">
        <v>313</v>
      </c>
      <c r="E109" s="142"/>
      <c r="F109" s="15" t="s">
        <v>337</v>
      </c>
      <c r="G109" s="22">
        <v>1</v>
      </c>
      <c r="H109" s="22">
        <v>0</v>
      </c>
      <c r="I109" s="22">
        <f aca="true" t="shared" si="98" ref="I109:I127">G109*AO109</f>
        <v>0</v>
      </c>
      <c r="J109" s="22">
        <f aca="true" t="shared" si="99" ref="J109:J127">G109*AP109</f>
        <v>0</v>
      </c>
      <c r="K109" s="22">
        <f aca="true" t="shared" si="100" ref="K109:K127">G109*H109</f>
        <v>0</v>
      </c>
      <c r="L109" s="22">
        <v>0.027</v>
      </c>
      <c r="M109" s="22">
        <f aca="true" t="shared" si="101" ref="M109:M127">G109*L109</f>
        <v>0.027</v>
      </c>
      <c r="N109" s="37" t="s">
        <v>365</v>
      </c>
      <c r="O109" s="39"/>
      <c r="Z109" s="41">
        <f aca="true" t="shared" si="102" ref="Z109:Z127">IF(AQ109="5",BJ109,0)</f>
        <v>0</v>
      </c>
      <c r="AB109" s="41">
        <f aca="true" t="shared" si="103" ref="AB109:AB127">IF(AQ109="1",BH109,0)</f>
        <v>0</v>
      </c>
      <c r="AC109" s="41">
        <f aca="true" t="shared" si="104" ref="AC109:AC127">IF(AQ109="1",BI109,0)</f>
        <v>0</v>
      </c>
      <c r="AD109" s="41">
        <f aca="true" t="shared" si="105" ref="AD109:AD127">IF(AQ109="7",BH109,0)</f>
        <v>0</v>
      </c>
      <c r="AE109" s="41">
        <f aca="true" t="shared" si="106" ref="AE109:AE127">IF(AQ109="7",BI109,0)</f>
        <v>0</v>
      </c>
      <c r="AF109" s="41">
        <f aca="true" t="shared" si="107" ref="AF109:AF127">IF(AQ109="2",BH109,0)</f>
        <v>0</v>
      </c>
      <c r="AG109" s="41">
        <f aca="true" t="shared" si="108" ref="AG109:AG127">IF(AQ109="2",BI109,0)</f>
        <v>0</v>
      </c>
      <c r="AH109" s="41">
        <f aca="true" t="shared" si="109" ref="AH109:AH127">IF(AQ109="0",BJ109,0)</f>
        <v>0</v>
      </c>
      <c r="AI109" s="31"/>
      <c r="AJ109" s="22">
        <f aca="true" t="shared" si="110" ref="AJ109:AJ127">IF(AN109=0,K109,0)</f>
        <v>0</v>
      </c>
      <c r="AK109" s="22">
        <f aca="true" t="shared" si="111" ref="AK109:AK127">IF(AN109=15,K109,0)</f>
        <v>0</v>
      </c>
      <c r="AL109" s="22">
        <f aca="true" t="shared" si="112" ref="AL109:AL127">IF(AN109=21,K109,0)</f>
        <v>0</v>
      </c>
      <c r="AN109" s="41">
        <v>15</v>
      </c>
      <c r="AO109" s="41">
        <f aca="true" t="shared" si="113" ref="AO109:AO127">H109*1</f>
        <v>0</v>
      </c>
      <c r="AP109" s="41">
        <f aca="true" t="shared" si="114" ref="AP109:AP127">H109*(1-1)</f>
        <v>0</v>
      </c>
      <c r="AQ109" s="43" t="s">
        <v>376</v>
      </c>
      <c r="AV109" s="41">
        <f aca="true" t="shared" si="115" ref="AV109:AV127">AW109+AX109</f>
        <v>0</v>
      </c>
      <c r="AW109" s="41">
        <f aca="true" t="shared" si="116" ref="AW109:AW127">G109*AO109</f>
        <v>0</v>
      </c>
      <c r="AX109" s="41">
        <f aca="true" t="shared" si="117" ref="AX109:AX127">G109*AP109</f>
        <v>0</v>
      </c>
      <c r="AY109" s="44" t="s">
        <v>399</v>
      </c>
      <c r="AZ109" s="44" t="s">
        <v>408</v>
      </c>
      <c r="BA109" s="31" t="s">
        <v>409</v>
      </c>
      <c r="BC109" s="41">
        <f aca="true" t="shared" si="118" ref="BC109:BC127">AW109+AX109</f>
        <v>0</v>
      </c>
      <c r="BD109" s="41">
        <f aca="true" t="shared" si="119" ref="BD109:BD127">H109/(100-BE109)*100</f>
        <v>0</v>
      </c>
      <c r="BE109" s="41">
        <v>0</v>
      </c>
      <c r="BF109" s="41">
        <f aca="true" t="shared" si="120" ref="BF109:BF127">M109</f>
        <v>0.027</v>
      </c>
      <c r="BH109" s="22">
        <f aca="true" t="shared" si="121" ref="BH109:BH127">G109*AO109</f>
        <v>0</v>
      </c>
      <c r="BI109" s="22">
        <f aca="true" t="shared" si="122" ref="BI109:BI127">G109*AP109</f>
        <v>0</v>
      </c>
      <c r="BJ109" s="22">
        <f aca="true" t="shared" si="123" ref="BJ109:BJ127">G109*H109</f>
        <v>0</v>
      </c>
      <c r="BK109" s="22" t="s">
        <v>415</v>
      </c>
      <c r="BL109" s="41"/>
    </row>
    <row r="110" spans="1:64" ht="12.75">
      <c r="A110" s="6" t="s">
        <v>81</v>
      </c>
      <c r="B110" s="15"/>
      <c r="C110" s="15" t="s">
        <v>194</v>
      </c>
      <c r="D110" s="141" t="s">
        <v>314</v>
      </c>
      <c r="E110" s="142"/>
      <c r="F110" s="15" t="s">
        <v>337</v>
      </c>
      <c r="G110" s="22">
        <v>1</v>
      </c>
      <c r="H110" s="22">
        <v>0</v>
      </c>
      <c r="I110" s="22">
        <f t="shared" si="98"/>
        <v>0</v>
      </c>
      <c r="J110" s="22">
        <f t="shared" si="99"/>
        <v>0</v>
      </c>
      <c r="K110" s="22">
        <f t="shared" si="100"/>
        <v>0</v>
      </c>
      <c r="L110" s="22">
        <v>0.098</v>
      </c>
      <c r="M110" s="22">
        <f t="shared" si="101"/>
        <v>0.098</v>
      </c>
      <c r="N110" s="37" t="s">
        <v>365</v>
      </c>
      <c r="O110" s="39"/>
      <c r="Z110" s="41">
        <f t="shared" si="102"/>
        <v>0</v>
      </c>
      <c r="AB110" s="41">
        <f t="shared" si="103"/>
        <v>0</v>
      </c>
      <c r="AC110" s="41">
        <f t="shared" si="104"/>
        <v>0</v>
      </c>
      <c r="AD110" s="41">
        <f t="shared" si="105"/>
        <v>0</v>
      </c>
      <c r="AE110" s="41">
        <f t="shared" si="106"/>
        <v>0</v>
      </c>
      <c r="AF110" s="41">
        <f t="shared" si="107"/>
        <v>0</v>
      </c>
      <c r="AG110" s="41">
        <f t="shared" si="108"/>
        <v>0</v>
      </c>
      <c r="AH110" s="41">
        <f t="shared" si="109"/>
        <v>0</v>
      </c>
      <c r="AI110" s="31"/>
      <c r="AJ110" s="22">
        <f t="shared" si="110"/>
        <v>0</v>
      </c>
      <c r="AK110" s="22">
        <f t="shared" si="111"/>
        <v>0</v>
      </c>
      <c r="AL110" s="22">
        <f t="shared" si="112"/>
        <v>0</v>
      </c>
      <c r="AN110" s="41">
        <v>15</v>
      </c>
      <c r="AO110" s="41">
        <f t="shared" si="113"/>
        <v>0</v>
      </c>
      <c r="AP110" s="41">
        <f t="shared" si="114"/>
        <v>0</v>
      </c>
      <c r="AQ110" s="43" t="s">
        <v>376</v>
      </c>
      <c r="AV110" s="41">
        <f t="shared" si="115"/>
        <v>0</v>
      </c>
      <c r="AW110" s="41">
        <f t="shared" si="116"/>
        <v>0</v>
      </c>
      <c r="AX110" s="41">
        <f t="shared" si="117"/>
        <v>0</v>
      </c>
      <c r="AY110" s="44" t="s">
        <v>399</v>
      </c>
      <c r="AZ110" s="44" t="s">
        <v>408</v>
      </c>
      <c r="BA110" s="31" t="s">
        <v>409</v>
      </c>
      <c r="BC110" s="41">
        <f t="shared" si="118"/>
        <v>0</v>
      </c>
      <c r="BD110" s="41">
        <f t="shared" si="119"/>
        <v>0</v>
      </c>
      <c r="BE110" s="41">
        <v>0</v>
      </c>
      <c r="BF110" s="41">
        <f t="shared" si="120"/>
        <v>0.098</v>
      </c>
      <c r="BH110" s="22">
        <f t="shared" si="121"/>
        <v>0</v>
      </c>
      <c r="BI110" s="22">
        <f t="shared" si="122"/>
        <v>0</v>
      </c>
      <c r="BJ110" s="22">
        <f t="shared" si="123"/>
        <v>0</v>
      </c>
      <c r="BK110" s="22" t="s">
        <v>415</v>
      </c>
      <c r="BL110" s="41"/>
    </row>
    <row r="111" spans="1:64" ht="12.75">
      <c r="A111" s="6" t="s">
        <v>82</v>
      </c>
      <c r="B111" s="15"/>
      <c r="C111" s="15" t="s">
        <v>195</v>
      </c>
      <c r="D111" s="141" t="s">
        <v>315</v>
      </c>
      <c r="E111" s="142"/>
      <c r="F111" s="15" t="s">
        <v>342</v>
      </c>
      <c r="G111" s="22">
        <v>1</v>
      </c>
      <c r="H111" s="22">
        <v>0</v>
      </c>
      <c r="I111" s="22">
        <f t="shared" si="98"/>
        <v>0</v>
      </c>
      <c r="J111" s="22">
        <f t="shared" si="99"/>
        <v>0</v>
      </c>
      <c r="K111" s="22">
        <f t="shared" si="100"/>
        <v>0</v>
      </c>
      <c r="L111" s="22">
        <v>0.001</v>
      </c>
      <c r="M111" s="22">
        <f t="shared" si="101"/>
        <v>0.001</v>
      </c>
      <c r="N111" s="37" t="s">
        <v>366</v>
      </c>
      <c r="O111" s="39"/>
      <c r="Z111" s="41">
        <f t="shared" si="102"/>
        <v>0</v>
      </c>
      <c r="AB111" s="41">
        <f t="shared" si="103"/>
        <v>0</v>
      </c>
      <c r="AC111" s="41">
        <f t="shared" si="104"/>
        <v>0</v>
      </c>
      <c r="AD111" s="41">
        <f t="shared" si="105"/>
        <v>0</v>
      </c>
      <c r="AE111" s="41">
        <f t="shared" si="106"/>
        <v>0</v>
      </c>
      <c r="AF111" s="41">
        <f t="shared" si="107"/>
        <v>0</v>
      </c>
      <c r="AG111" s="41">
        <f t="shared" si="108"/>
        <v>0</v>
      </c>
      <c r="AH111" s="41">
        <f t="shared" si="109"/>
        <v>0</v>
      </c>
      <c r="AI111" s="31"/>
      <c r="AJ111" s="22">
        <f t="shared" si="110"/>
        <v>0</v>
      </c>
      <c r="AK111" s="22">
        <f t="shared" si="111"/>
        <v>0</v>
      </c>
      <c r="AL111" s="22">
        <f t="shared" si="112"/>
        <v>0</v>
      </c>
      <c r="AN111" s="41">
        <v>15</v>
      </c>
      <c r="AO111" s="41">
        <f t="shared" si="113"/>
        <v>0</v>
      </c>
      <c r="AP111" s="41">
        <f t="shared" si="114"/>
        <v>0</v>
      </c>
      <c r="AQ111" s="43" t="s">
        <v>376</v>
      </c>
      <c r="AV111" s="41">
        <f t="shared" si="115"/>
        <v>0</v>
      </c>
      <c r="AW111" s="41">
        <f t="shared" si="116"/>
        <v>0</v>
      </c>
      <c r="AX111" s="41">
        <f t="shared" si="117"/>
        <v>0</v>
      </c>
      <c r="AY111" s="44" t="s">
        <v>399</v>
      </c>
      <c r="AZ111" s="44" t="s">
        <v>408</v>
      </c>
      <c r="BA111" s="31" t="s">
        <v>409</v>
      </c>
      <c r="BC111" s="41">
        <f t="shared" si="118"/>
        <v>0</v>
      </c>
      <c r="BD111" s="41">
        <f t="shared" si="119"/>
        <v>0</v>
      </c>
      <c r="BE111" s="41">
        <v>0</v>
      </c>
      <c r="BF111" s="41">
        <f t="shared" si="120"/>
        <v>0.001</v>
      </c>
      <c r="BH111" s="22">
        <f t="shared" si="121"/>
        <v>0</v>
      </c>
      <c r="BI111" s="22">
        <f t="shared" si="122"/>
        <v>0</v>
      </c>
      <c r="BJ111" s="22">
        <f t="shared" si="123"/>
        <v>0</v>
      </c>
      <c r="BK111" s="22" t="s">
        <v>415</v>
      </c>
      <c r="BL111" s="41"/>
    </row>
    <row r="112" spans="1:64" ht="12.75">
      <c r="A112" s="6" t="s">
        <v>83</v>
      </c>
      <c r="B112" s="15"/>
      <c r="C112" s="15" t="s">
        <v>196</v>
      </c>
      <c r="D112" s="141" t="s">
        <v>316</v>
      </c>
      <c r="E112" s="142"/>
      <c r="F112" s="15" t="s">
        <v>337</v>
      </c>
      <c r="G112" s="22">
        <v>1</v>
      </c>
      <c r="H112" s="22">
        <v>0</v>
      </c>
      <c r="I112" s="22">
        <f t="shared" si="98"/>
        <v>0</v>
      </c>
      <c r="J112" s="22">
        <f t="shared" si="99"/>
        <v>0</v>
      </c>
      <c r="K112" s="22">
        <f t="shared" si="100"/>
        <v>0</v>
      </c>
      <c r="L112" s="22">
        <v>0.026</v>
      </c>
      <c r="M112" s="22">
        <f t="shared" si="101"/>
        <v>0.026</v>
      </c>
      <c r="N112" s="37" t="s">
        <v>365</v>
      </c>
      <c r="O112" s="39"/>
      <c r="Z112" s="41">
        <f t="shared" si="102"/>
        <v>0</v>
      </c>
      <c r="AB112" s="41">
        <f t="shared" si="103"/>
        <v>0</v>
      </c>
      <c r="AC112" s="41">
        <f t="shared" si="104"/>
        <v>0</v>
      </c>
      <c r="AD112" s="41">
        <f t="shared" si="105"/>
        <v>0</v>
      </c>
      <c r="AE112" s="41">
        <f t="shared" si="106"/>
        <v>0</v>
      </c>
      <c r="AF112" s="41">
        <f t="shared" si="107"/>
        <v>0</v>
      </c>
      <c r="AG112" s="41">
        <f t="shared" si="108"/>
        <v>0</v>
      </c>
      <c r="AH112" s="41">
        <f t="shared" si="109"/>
        <v>0</v>
      </c>
      <c r="AI112" s="31"/>
      <c r="AJ112" s="22">
        <f t="shared" si="110"/>
        <v>0</v>
      </c>
      <c r="AK112" s="22">
        <f t="shared" si="111"/>
        <v>0</v>
      </c>
      <c r="AL112" s="22">
        <f t="shared" si="112"/>
        <v>0</v>
      </c>
      <c r="AN112" s="41">
        <v>15</v>
      </c>
      <c r="AO112" s="41">
        <f t="shared" si="113"/>
        <v>0</v>
      </c>
      <c r="AP112" s="41">
        <f t="shared" si="114"/>
        <v>0</v>
      </c>
      <c r="AQ112" s="43" t="s">
        <v>376</v>
      </c>
      <c r="AV112" s="41">
        <f t="shared" si="115"/>
        <v>0</v>
      </c>
      <c r="AW112" s="41">
        <f t="shared" si="116"/>
        <v>0</v>
      </c>
      <c r="AX112" s="41">
        <f t="shared" si="117"/>
        <v>0</v>
      </c>
      <c r="AY112" s="44" t="s">
        <v>399</v>
      </c>
      <c r="AZ112" s="44" t="s">
        <v>408</v>
      </c>
      <c r="BA112" s="31" t="s">
        <v>409</v>
      </c>
      <c r="BC112" s="41">
        <f t="shared" si="118"/>
        <v>0</v>
      </c>
      <c r="BD112" s="41">
        <f t="shared" si="119"/>
        <v>0</v>
      </c>
      <c r="BE112" s="41">
        <v>0</v>
      </c>
      <c r="BF112" s="41">
        <f t="shared" si="120"/>
        <v>0.026</v>
      </c>
      <c r="BH112" s="22">
        <f t="shared" si="121"/>
        <v>0</v>
      </c>
      <c r="BI112" s="22">
        <f t="shared" si="122"/>
        <v>0</v>
      </c>
      <c r="BJ112" s="22">
        <f t="shared" si="123"/>
        <v>0</v>
      </c>
      <c r="BK112" s="22" t="s">
        <v>415</v>
      </c>
      <c r="BL112" s="41"/>
    </row>
    <row r="113" spans="1:64" ht="12.75">
      <c r="A113" s="6" t="s">
        <v>84</v>
      </c>
      <c r="B113" s="15"/>
      <c r="C113" s="15" t="s">
        <v>197</v>
      </c>
      <c r="D113" s="141" t="s">
        <v>317</v>
      </c>
      <c r="E113" s="142"/>
      <c r="F113" s="15" t="s">
        <v>337</v>
      </c>
      <c r="G113" s="22">
        <v>1</v>
      </c>
      <c r="H113" s="22">
        <v>0</v>
      </c>
      <c r="I113" s="22">
        <f t="shared" si="98"/>
        <v>0</v>
      </c>
      <c r="J113" s="22">
        <f t="shared" si="99"/>
        <v>0</v>
      </c>
      <c r="K113" s="22">
        <f t="shared" si="100"/>
        <v>0</v>
      </c>
      <c r="L113" s="22">
        <v>0.016</v>
      </c>
      <c r="M113" s="22">
        <f t="shared" si="101"/>
        <v>0.016</v>
      </c>
      <c r="N113" s="37" t="s">
        <v>365</v>
      </c>
      <c r="O113" s="39"/>
      <c r="Z113" s="41">
        <f t="shared" si="102"/>
        <v>0</v>
      </c>
      <c r="AB113" s="41">
        <f t="shared" si="103"/>
        <v>0</v>
      </c>
      <c r="AC113" s="41">
        <f t="shared" si="104"/>
        <v>0</v>
      </c>
      <c r="AD113" s="41">
        <f t="shared" si="105"/>
        <v>0</v>
      </c>
      <c r="AE113" s="41">
        <f t="shared" si="106"/>
        <v>0</v>
      </c>
      <c r="AF113" s="41">
        <f t="shared" si="107"/>
        <v>0</v>
      </c>
      <c r="AG113" s="41">
        <f t="shared" si="108"/>
        <v>0</v>
      </c>
      <c r="AH113" s="41">
        <f t="shared" si="109"/>
        <v>0</v>
      </c>
      <c r="AI113" s="31"/>
      <c r="AJ113" s="22">
        <f t="shared" si="110"/>
        <v>0</v>
      </c>
      <c r="AK113" s="22">
        <f t="shared" si="111"/>
        <v>0</v>
      </c>
      <c r="AL113" s="22">
        <f t="shared" si="112"/>
        <v>0</v>
      </c>
      <c r="AN113" s="41">
        <v>15</v>
      </c>
      <c r="AO113" s="41">
        <f t="shared" si="113"/>
        <v>0</v>
      </c>
      <c r="AP113" s="41">
        <f t="shared" si="114"/>
        <v>0</v>
      </c>
      <c r="AQ113" s="43" t="s">
        <v>376</v>
      </c>
      <c r="AV113" s="41">
        <f t="shared" si="115"/>
        <v>0</v>
      </c>
      <c r="AW113" s="41">
        <f t="shared" si="116"/>
        <v>0</v>
      </c>
      <c r="AX113" s="41">
        <f t="shared" si="117"/>
        <v>0</v>
      </c>
      <c r="AY113" s="44" t="s">
        <v>399</v>
      </c>
      <c r="AZ113" s="44" t="s">
        <v>408</v>
      </c>
      <c r="BA113" s="31" t="s">
        <v>409</v>
      </c>
      <c r="BC113" s="41">
        <f t="shared" si="118"/>
        <v>0</v>
      </c>
      <c r="BD113" s="41">
        <f t="shared" si="119"/>
        <v>0</v>
      </c>
      <c r="BE113" s="41">
        <v>0</v>
      </c>
      <c r="BF113" s="41">
        <f t="shared" si="120"/>
        <v>0.016</v>
      </c>
      <c r="BH113" s="22">
        <f t="shared" si="121"/>
        <v>0</v>
      </c>
      <c r="BI113" s="22">
        <f t="shared" si="122"/>
        <v>0</v>
      </c>
      <c r="BJ113" s="22">
        <f t="shared" si="123"/>
        <v>0</v>
      </c>
      <c r="BK113" s="22" t="s">
        <v>415</v>
      </c>
      <c r="BL113" s="41"/>
    </row>
    <row r="114" spans="1:64" ht="12.75">
      <c r="A114" s="6" t="s">
        <v>85</v>
      </c>
      <c r="B114" s="15"/>
      <c r="C114" s="15" t="s">
        <v>198</v>
      </c>
      <c r="D114" s="141" t="s">
        <v>318</v>
      </c>
      <c r="E114" s="142"/>
      <c r="F114" s="15" t="s">
        <v>337</v>
      </c>
      <c r="G114" s="22">
        <v>1</v>
      </c>
      <c r="H114" s="22">
        <v>0</v>
      </c>
      <c r="I114" s="22">
        <f t="shared" si="98"/>
        <v>0</v>
      </c>
      <c r="J114" s="22">
        <f t="shared" si="99"/>
        <v>0</v>
      </c>
      <c r="K114" s="22">
        <f t="shared" si="100"/>
        <v>0</v>
      </c>
      <c r="L114" s="22">
        <v>0.018</v>
      </c>
      <c r="M114" s="22">
        <f t="shared" si="101"/>
        <v>0.018</v>
      </c>
      <c r="N114" s="37" t="s">
        <v>365</v>
      </c>
      <c r="O114" s="39"/>
      <c r="Z114" s="41">
        <f t="shared" si="102"/>
        <v>0</v>
      </c>
      <c r="AB114" s="41">
        <f t="shared" si="103"/>
        <v>0</v>
      </c>
      <c r="AC114" s="41">
        <f t="shared" si="104"/>
        <v>0</v>
      </c>
      <c r="AD114" s="41">
        <f t="shared" si="105"/>
        <v>0</v>
      </c>
      <c r="AE114" s="41">
        <f t="shared" si="106"/>
        <v>0</v>
      </c>
      <c r="AF114" s="41">
        <f t="shared" si="107"/>
        <v>0</v>
      </c>
      <c r="AG114" s="41">
        <f t="shared" si="108"/>
        <v>0</v>
      </c>
      <c r="AH114" s="41">
        <f t="shared" si="109"/>
        <v>0</v>
      </c>
      <c r="AI114" s="31"/>
      <c r="AJ114" s="22">
        <f t="shared" si="110"/>
        <v>0</v>
      </c>
      <c r="AK114" s="22">
        <f t="shared" si="111"/>
        <v>0</v>
      </c>
      <c r="AL114" s="22">
        <f t="shared" si="112"/>
        <v>0</v>
      </c>
      <c r="AN114" s="41">
        <v>15</v>
      </c>
      <c r="AO114" s="41">
        <f t="shared" si="113"/>
        <v>0</v>
      </c>
      <c r="AP114" s="41">
        <f t="shared" si="114"/>
        <v>0</v>
      </c>
      <c r="AQ114" s="43" t="s">
        <v>376</v>
      </c>
      <c r="AV114" s="41">
        <f t="shared" si="115"/>
        <v>0</v>
      </c>
      <c r="AW114" s="41">
        <f t="shared" si="116"/>
        <v>0</v>
      </c>
      <c r="AX114" s="41">
        <f t="shared" si="117"/>
        <v>0</v>
      </c>
      <c r="AY114" s="44" t="s">
        <v>399</v>
      </c>
      <c r="AZ114" s="44" t="s">
        <v>408</v>
      </c>
      <c r="BA114" s="31" t="s">
        <v>409</v>
      </c>
      <c r="BC114" s="41">
        <f t="shared" si="118"/>
        <v>0</v>
      </c>
      <c r="BD114" s="41">
        <f t="shared" si="119"/>
        <v>0</v>
      </c>
      <c r="BE114" s="41">
        <v>0</v>
      </c>
      <c r="BF114" s="41">
        <f t="shared" si="120"/>
        <v>0.018</v>
      </c>
      <c r="BH114" s="22">
        <f t="shared" si="121"/>
        <v>0</v>
      </c>
      <c r="BI114" s="22">
        <f t="shared" si="122"/>
        <v>0</v>
      </c>
      <c r="BJ114" s="22">
        <f t="shared" si="123"/>
        <v>0</v>
      </c>
      <c r="BK114" s="22" t="s">
        <v>415</v>
      </c>
      <c r="BL114" s="41"/>
    </row>
    <row r="115" spans="1:64" ht="12.75">
      <c r="A115" s="6" t="s">
        <v>86</v>
      </c>
      <c r="B115" s="15"/>
      <c r="C115" s="15" t="s">
        <v>199</v>
      </c>
      <c r="D115" s="141" t="s">
        <v>319</v>
      </c>
      <c r="E115" s="142"/>
      <c r="F115" s="15" t="s">
        <v>337</v>
      </c>
      <c r="G115" s="22">
        <v>1</v>
      </c>
      <c r="H115" s="22">
        <v>0</v>
      </c>
      <c r="I115" s="22">
        <f t="shared" si="98"/>
        <v>0</v>
      </c>
      <c r="J115" s="22">
        <f t="shared" si="99"/>
        <v>0</v>
      </c>
      <c r="K115" s="22">
        <f t="shared" si="100"/>
        <v>0</v>
      </c>
      <c r="L115" s="22">
        <v>0.026</v>
      </c>
      <c r="M115" s="22">
        <f t="shared" si="101"/>
        <v>0.026</v>
      </c>
      <c r="N115" s="37" t="s">
        <v>365</v>
      </c>
      <c r="O115" s="39"/>
      <c r="Z115" s="41">
        <f t="shared" si="102"/>
        <v>0</v>
      </c>
      <c r="AB115" s="41">
        <f t="shared" si="103"/>
        <v>0</v>
      </c>
      <c r="AC115" s="41">
        <f t="shared" si="104"/>
        <v>0</v>
      </c>
      <c r="AD115" s="41">
        <f t="shared" si="105"/>
        <v>0</v>
      </c>
      <c r="AE115" s="41">
        <f t="shared" si="106"/>
        <v>0</v>
      </c>
      <c r="AF115" s="41">
        <f t="shared" si="107"/>
        <v>0</v>
      </c>
      <c r="AG115" s="41">
        <f t="shared" si="108"/>
        <v>0</v>
      </c>
      <c r="AH115" s="41">
        <f t="shared" si="109"/>
        <v>0</v>
      </c>
      <c r="AI115" s="31"/>
      <c r="AJ115" s="22">
        <f t="shared" si="110"/>
        <v>0</v>
      </c>
      <c r="AK115" s="22">
        <f t="shared" si="111"/>
        <v>0</v>
      </c>
      <c r="AL115" s="22">
        <f t="shared" si="112"/>
        <v>0</v>
      </c>
      <c r="AN115" s="41">
        <v>15</v>
      </c>
      <c r="AO115" s="41">
        <f t="shared" si="113"/>
        <v>0</v>
      </c>
      <c r="AP115" s="41">
        <f t="shared" si="114"/>
        <v>0</v>
      </c>
      <c r="AQ115" s="43" t="s">
        <v>376</v>
      </c>
      <c r="AV115" s="41">
        <f t="shared" si="115"/>
        <v>0</v>
      </c>
      <c r="AW115" s="41">
        <f t="shared" si="116"/>
        <v>0</v>
      </c>
      <c r="AX115" s="41">
        <f t="shared" si="117"/>
        <v>0</v>
      </c>
      <c r="AY115" s="44" t="s">
        <v>399</v>
      </c>
      <c r="AZ115" s="44" t="s">
        <v>408</v>
      </c>
      <c r="BA115" s="31" t="s">
        <v>409</v>
      </c>
      <c r="BC115" s="41">
        <f t="shared" si="118"/>
        <v>0</v>
      </c>
      <c r="BD115" s="41">
        <f t="shared" si="119"/>
        <v>0</v>
      </c>
      <c r="BE115" s="41">
        <v>0</v>
      </c>
      <c r="BF115" s="41">
        <f t="shared" si="120"/>
        <v>0.026</v>
      </c>
      <c r="BH115" s="22">
        <f t="shared" si="121"/>
        <v>0</v>
      </c>
      <c r="BI115" s="22">
        <f t="shared" si="122"/>
        <v>0</v>
      </c>
      <c r="BJ115" s="22">
        <f t="shared" si="123"/>
        <v>0</v>
      </c>
      <c r="BK115" s="22" t="s">
        <v>415</v>
      </c>
      <c r="BL115" s="41"/>
    </row>
    <row r="116" spans="1:64" ht="12.75">
      <c r="A116" s="6" t="s">
        <v>87</v>
      </c>
      <c r="B116" s="15"/>
      <c r="C116" s="15" t="s">
        <v>200</v>
      </c>
      <c r="D116" s="141" t="s">
        <v>320</v>
      </c>
      <c r="E116" s="142"/>
      <c r="F116" s="15" t="s">
        <v>337</v>
      </c>
      <c r="G116" s="22">
        <v>1</v>
      </c>
      <c r="H116" s="22">
        <v>0</v>
      </c>
      <c r="I116" s="22">
        <f t="shared" si="98"/>
        <v>0</v>
      </c>
      <c r="J116" s="22">
        <f t="shared" si="99"/>
        <v>0</v>
      </c>
      <c r="K116" s="22">
        <f t="shared" si="100"/>
        <v>0</v>
      </c>
      <c r="L116" s="22">
        <v>0.052</v>
      </c>
      <c r="M116" s="22">
        <f t="shared" si="101"/>
        <v>0.052</v>
      </c>
      <c r="N116" s="37" t="s">
        <v>365</v>
      </c>
      <c r="O116" s="39"/>
      <c r="Z116" s="41">
        <f t="shared" si="102"/>
        <v>0</v>
      </c>
      <c r="AB116" s="41">
        <f t="shared" si="103"/>
        <v>0</v>
      </c>
      <c r="AC116" s="41">
        <f t="shared" si="104"/>
        <v>0</v>
      </c>
      <c r="AD116" s="41">
        <f t="shared" si="105"/>
        <v>0</v>
      </c>
      <c r="AE116" s="41">
        <f t="shared" si="106"/>
        <v>0</v>
      </c>
      <c r="AF116" s="41">
        <f t="shared" si="107"/>
        <v>0</v>
      </c>
      <c r="AG116" s="41">
        <f t="shared" si="108"/>
        <v>0</v>
      </c>
      <c r="AH116" s="41">
        <f t="shared" si="109"/>
        <v>0</v>
      </c>
      <c r="AI116" s="31"/>
      <c r="AJ116" s="22">
        <f t="shared" si="110"/>
        <v>0</v>
      </c>
      <c r="AK116" s="22">
        <f t="shared" si="111"/>
        <v>0</v>
      </c>
      <c r="AL116" s="22">
        <f t="shared" si="112"/>
        <v>0</v>
      </c>
      <c r="AN116" s="41">
        <v>15</v>
      </c>
      <c r="AO116" s="41">
        <f t="shared" si="113"/>
        <v>0</v>
      </c>
      <c r="AP116" s="41">
        <f t="shared" si="114"/>
        <v>0</v>
      </c>
      <c r="AQ116" s="43" t="s">
        <v>376</v>
      </c>
      <c r="AV116" s="41">
        <f t="shared" si="115"/>
        <v>0</v>
      </c>
      <c r="AW116" s="41">
        <f t="shared" si="116"/>
        <v>0</v>
      </c>
      <c r="AX116" s="41">
        <f t="shared" si="117"/>
        <v>0</v>
      </c>
      <c r="AY116" s="44" t="s">
        <v>399</v>
      </c>
      <c r="AZ116" s="44" t="s">
        <v>408</v>
      </c>
      <c r="BA116" s="31" t="s">
        <v>409</v>
      </c>
      <c r="BC116" s="41">
        <f t="shared" si="118"/>
        <v>0</v>
      </c>
      <c r="BD116" s="41">
        <f t="shared" si="119"/>
        <v>0</v>
      </c>
      <c r="BE116" s="41">
        <v>0</v>
      </c>
      <c r="BF116" s="41">
        <f t="shared" si="120"/>
        <v>0.052</v>
      </c>
      <c r="BH116" s="22">
        <f t="shared" si="121"/>
        <v>0</v>
      </c>
      <c r="BI116" s="22">
        <f t="shared" si="122"/>
        <v>0</v>
      </c>
      <c r="BJ116" s="22">
        <f t="shared" si="123"/>
        <v>0</v>
      </c>
      <c r="BK116" s="22" t="s">
        <v>415</v>
      </c>
      <c r="BL116" s="41"/>
    </row>
    <row r="117" spans="1:64" ht="12.75">
      <c r="A117" s="6" t="s">
        <v>88</v>
      </c>
      <c r="B117" s="15"/>
      <c r="C117" s="15" t="s">
        <v>201</v>
      </c>
      <c r="D117" s="141" t="s">
        <v>321</v>
      </c>
      <c r="E117" s="142"/>
      <c r="F117" s="15" t="s">
        <v>337</v>
      </c>
      <c r="G117" s="22">
        <v>1</v>
      </c>
      <c r="H117" s="22">
        <v>0</v>
      </c>
      <c r="I117" s="22">
        <f t="shared" si="98"/>
        <v>0</v>
      </c>
      <c r="J117" s="22">
        <f t="shared" si="99"/>
        <v>0</v>
      </c>
      <c r="K117" s="22">
        <f t="shared" si="100"/>
        <v>0</v>
      </c>
      <c r="L117" s="22">
        <v>0.00047</v>
      </c>
      <c r="M117" s="22">
        <f t="shared" si="101"/>
        <v>0.00047</v>
      </c>
      <c r="N117" s="37" t="s">
        <v>365</v>
      </c>
      <c r="O117" s="39"/>
      <c r="Z117" s="41">
        <f t="shared" si="102"/>
        <v>0</v>
      </c>
      <c r="AB117" s="41">
        <f t="shared" si="103"/>
        <v>0</v>
      </c>
      <c r="AC117" s="41">
        <f t="shared" si="104"/>
        <v>0</v>
      </c>
      <c r="AD117" s="41">
        <f t="shared" si="105"/>
        <v>0</v>
      </c>
      <c r="AE117" s="41">
        <f t="shared" si="106"/>
        <v>0</v>
      </c>
      <c r="AF117" s="41">
        <f t="shared" si="107"/>
        <v>0</v>
      </c>
      <c r="AG117" s="41">
        <f t="shared" si="108"/>
        <v>0</v>
      </c>
      <c r="AH117" s="41">
        <f t="shared" si="109"/>
        <v>0</v>
      </c>
      <c r="AI117" s="31"/>
      <c r="AJ117" s="22">
        <f t="shared" si="110"/>
        <v>0</v>
      </c>
      <c r="AK117" s="22">
        <f t="shared" si="111"/>
        <v>0</v>
      </c>
      <c r="AL117" s="22">
        <f t="shared" si="112"/>
        <v>0</v>
      </c>
      <c r="AN117" s="41">
        <v>15</v>
      </c>
      <c r="AO117" s="41">
        <f t="shared" si="113"/>
        <v>0</v>
      </c>
      <c r="AP117" s="41">
        <f t="shared" si="114"/>
        <v>0</v>
      </c>
      <c r="AQ117" s="43" t="s">
        <v>376</v>
      </c>
      <c r="AV117" s="41">
        <f t="shared" si="115"/>
        <v>0</v>
      </c>
      <c r="AW117" s="41">
        <f t="shared" si="116"/>
        <v>0</v>
      </c>
      <c r="AX117" s="41">
        <f t="shared" si="117"/>
        <v>0</v>
      </c>
      <c r="AY117" s="44" t="s">
        <v>399</v>
      </c>
      <c r="AZ117" s="44" t="s">
        <v>408</v>
      </c>
      <c r="BA117" s="31" t="s">
        <v>409</v>
      </c>
      <c r="BC117" s="41">
        <f t="shared" si="118"/>
        <v>0</v>
      </c>
      <c r="BD117" s="41">
        <f t="shared" si="119"/>
        <v>0</v>
      </c>
      <c r="BE117" s="41">
        <v>0</v>
      </c>
      <c r="BF117" s="41">
        <f t="shared" si="120"/>
        <v>0.00047</v>
      </c>
      <c r="BH117" s="22">
        <f t="shared" si="121"/>
        <v>0</v>
      </c>
      <c r="BI117" s="22">
        <f t="shared" si="122"/>
        <v>0</v>
      </c>
      <c r="BJ117" s="22">
        <f t="shared" si="123"/>
        <v>0</v>
      </c>
      <c r="BK117" s="22" t="s">
        <v>415</v>
      </c>
      <c r="BL117" s="41"/>
    </row>
    <row r="118" spans="1:64" ht="12.75">
      <c r="A118" s="6" t="s">
        <v>89</v>
      </c>
      <c r="B118" s="15"/>
      <c r="C118" s="15" t="s">
        <v>202</v>
      </c>
      <c r="D118" s="141" t="s">
        <v>322</v>
      </c>
      <c r="E118" s="142"/>
      <c r="F118" s="15" t="s">
        <v>337</v>
      </c>
      <c r="G118" s="22">
        <v>1</v>
      </c>
      <c r="H118" s="22">
        <v>0</v>
      </c>
      <c r="I118" s="22">
        <f t="shared" si="98"/>
        <v>0</v>
      </c>
      <c r="J118" s="22">
        <f t="shared" si="99"/>
        <v>0</v>
      </c>
      <c r="K118" s="22">
        <f t="shared" si="100"/>
        <v>0</v>
      </c>
      <c r="L118" s="22">
        <v>0.0016</v>
      </c>
      <c r="M118" s="22">
        <f t="shared" si="101"/>
        <v>0.0016</v>
      </c>
      <c r="N118" s="37" t="s">
        <v>365</v>
      </c>
      <c r="O118" s="39"/>
      <c r="Z118" s="41">
        <f t="shared" si="102"/>
        <v>0</v>
      </c>
      <c r="AB118" s="41">
        <f t="shared" si="103"/>
        <v>0</v>
      </c>
      <c r="AC118" s="41">
        <f t="shared" si="104"/>
        <v>0</v>
      </c>
      <c r="AD118" s="41">
        <f t="shared" si="105"/>
        <v>0</v>
      </c>
      <c r="AE118" s="41">
        <f t="shared" si="106"/>
        <v>0</v>
      </c>
      <c r="AF118" s="41">
        <f t="shared" si="107"/>
        <v>0</v>
      </c>
      <c r="AG118" s="41">
        <f t="shared" si="108"/>
        <v>0</v>
      </c>
      <c r="AH118" s="41">
        <f t="shared" si="109"/>
        <v>0</v>
      </c>
      <c r="AI118" s="31"/>
      <c r="AJ118" s="22">
        <f t="shared" si="110"/>
        <v>0</v>
      </c>
      <c r="AK118" s="22">
        <f t="shared" si="111"/>
        <v>0</v>
      </c>
      <c r="AL118" s="22">
        <f t="shared" si="112"/>
        <v>0</v>
      </c>
      <c r="AN118" s="41">
        <v>15</v>
      </c>
      <c r="AO118" s="41">
        <f t="shared" si="113"/>
        <v>0</v>
      </c>
      <c r="AP118" s="41">
        <f t="shared" si="114"/>
        <v>0</v>
      </c>
      <c r="AQ118" s="43" t="s">
        <v>376</v>
      </c>
      <c r="AV118" s="41">
        <f t="shared" si="115"/>
        <v>0</v>
      </c>
      <c r="AW118" s="41">
        <f t="shared" si="116"/>
        <v>0</v>
      </c>
      <c r="AX118" s="41">
        <f t="shared" si="117"/>
        <v>0</v>
      </c>
      <c r="AY118" s="44" t="s">
        <v>399</v>
      </c>
      <c r="AZ118" s="44" t="s">
        <v>408</v>
      </c>
      <c r="BA118" s="31" t="s">
        <v>409</v>
      </c>
      <c r="BC118" s="41">
        <f t="shared" si="118"/>
        <v>0</v>
      </c>
      <c r="BD118" s="41">
        <f t="shared" si="119"/>
        <v>0</v>
      </c>
      <c r="BE118" s="41">
        <v>0</v>
      </c>
      <c r="BF118" s="41">
        <f t="shared" si="120"/>
        <v>0.0016</v>
      </c>
      <c r="BH118" s="22">
        <f t="shared" si="121"/>
        <v>0</v>
      </c>
      <c r="BI118" s="22">
        <f t="shared" si="122"/>
        <v>0</v>
      </c>
      <c r="BJ118" s="22">
        <f t="shared" si="123"/>
        <v>0</v>
      </c>
      <c r="BK118" s="22" t="s">
        <v>415</v>
      </c>
      <c r="BL118" s="41"/>
    </row>
    <row r="119" spans="1:64" ht="12.75">
      <c r="A119" s="6" t="s">
        <v>90</v>
      </c>
      <c r="B119" s="15"/>
      <c r="C119" s="15" t="s">
        <v>203</v>
      </c>
      <c r="D119" s="141" t="s">
        <v>323</v>
      </c>
      <c r="E119" s="142"/>
      <c r="F119" s="15" t="s">
        <v>337</v>
      </c>
      <c r="G119" s="22">
        <v>1</v>
      </c>
      <c r="H119" s="22">
        <v>0</v>
      </c>
      <c r="I119" s="22">
        <f t="shared" si="98"/>
        <v>0</v>
      </c>
      <c r="J119" s="22">
        <f t="shared" si="99"/>
        <v>0</v>
      </c>
      <c r="K119" s="22">
        <f t="shared" si="100"/>
        <v>0</v>
      </c>
      <c r="L119" s="22">
        <v>0.0009</v>
      </c>
      <c r="M119" s="22">
        <f t="shared" si="101"/>
        <v>0.0009</v>
      </c>
      <c r="N119" s="37" t="s">
        <v>365</v>
      </c>
      <c r="O119" s="39"/>
      <c r="Z119" s="41">
        <f t="shared" si="102"/>
        <v>0</v>
      </c>
      <c r="AB119" s="41">
        <f t="shared" si="103"/>
        <v>0</v>
      </c>
      <c r="AC119" s="41">
        <f t="shared" si="104"/>
        <v>0</v>
      </c>
      <c r="AD119" s="41">
        <f t="shared" si="105"/>
        <v>0</v>
      </c>
      <c r="AE119" s="41">
        <f t="shared" si="106"/>
        <v>0</v>
      </c>
      <c r="AF119" s="41">
        <f t="shared" si="107"/>
        <v>0</v>
      </c>
      <c r="AG119" s="41">
        <f t="shared" si="108"/>
        <v>0</v>
      </c>
      <c r="AH119" s="41">
        <f t="shared" si="109"/>
        <v>0</v>
      </c>
      <c r="AI119" s="31"/>
      <c r="AJ119" s="22">
        <f t="shared" si="110"/>
        <v>0</v>
      </c>
      <c r="AK119" s="22">
        <f t="shared" si="111"/>
        <v>0</v>
      </c>
      <c r="AL119" s="22">
        <f t="shared" si="112"/>
        <v>0</v>
      </c>
      <c r="AN119" s="41">
        <v>15</v>
      </c>
      <c r="AO119" s="41">
        <f t="shared" si="113"/>
        <v>0</v>
      </c>
      <c r="AP119" s="41">
        <f t="shared" si="114"/>
        <v>0</v>
      </c>
      <c r="AQ119" s="43" t="s">
        <v>376</v>
      </c>
      <c r="AV119" s="41">
        <f t="shared" si="115"/>
        <v>0</v>
      </c>
      <c r="AW119" s="41">
        <f t="shared" si="116"/>
        <v>0</v>
      </c>
      <c r="AX119" s="41">
        <f t="shared" si="117"/>
        <v>0</v>
      </c>
      <c r="AY119" s="44" t="s">
        <v>399</v>
      </c>
      <c r="AZ119" s="44" t="s">
        <v>408</v>
      </c>
      <c r="BA119" s="31" t="s">
        <v>409</v>
      </c>
      <c r="BC119" s="41">
        <f t="shared" si="118"/>
        <v>0</v>
      </c>
      <c r="BD119" s="41">
        <f t="shared" si="119"/>
        <v>0</v>
      </c>
      <c r="BE119" s="41">
        <v>0</v>
      </c>
      <c r="BF119" s="41">
        <f t="shared" si="120"/>
        <v>0.0009</v>
      </c>
      <c r="BH119" s="22">
        <f t="shared" si="121"/>
        <v>0</v>
      </c>
      <c r="BI119" s="22">
        <f t="shared" si="122"/>
        <v>0</v>
      </c>
      <c r="BJ119" s="22">
        <f t="shared" si="123"/>
        <v>0</v>
      </c>
      <c r="BK119" s="22" t="s">
        <v>415</v>
      </c>
      <c r="BL119" s="41"/>
    </row>
    <row r="120" spans="1:64" ht="12.75">
      <c r="A120" s="6" t="s">
        <v>91</v>
      </c>
      <c r="B120" s="15"/>
      <c r="C120" s="15" t="s">
        <v>204</v>
      </c>
      <c r="D120" s="141" t="s">
        <v>324</v>
      </c>
      <c r="E120" s="142"/>
      <c r="F120" s="15" t="s">
        <v>337</v>
      </c>
      <c r="G120" s="22">
        <v>1</v>
      </c>
      <c r="H120" s="22">
        <v>0</v>
      </c>
      <c r="I120" s="22">
        <f t="shared" si="98"/>
        <v>0</v>
      </c>
      <c r="J120" s="22">
        <f t="shared" si="99"/>
        <v>0</v>
      </c>
      <c r="K120" s="22">
        <f t="shared" si="100"/>
        <v>0</v>
      </c>
      <c r="L120" s="22">
        <v>0.0152</v>
      </c>
      <c r="M120" s="22">
        <f t="shared" si="101"/>
        <v>0.0152</v>
      </c>
      <c r="N120" s="37" t="s">
        <v>365</v>
      </c>
      <c r="O120" s="39"/>
      <c r="Z120" s="41">
        <f t="shared" si="102"/>
        <v>0</v>
      </c>
      <c r="AB120" s="41">
        <f t="shared" si="103"/>
        <v>0</v>
      </c>
      <c r="AC120" s="41">
        <f t="shared" si="104"/>
        <v>0</v>
      </c>
      <c r="AD120" s="41">
        <f t="shared" si="105"/>
        <v>0</v>
      </c>
      <c r="AE120" s="41">
        <f t="shared" si="106"/>
        <v>0</v>
      </c>
      <c r="AF120" s="41">
        <f t="shared" si="107"/>
        <v>0</v>
      </c>
      <c r="AG120" s="41">
        <f t="shared" si="108"/>
        <v>0</v>
      </c>
      <c r="AH120" s="41">
        <f t="shared" si="109"/>
        <v>0</v>
      </c>
      <c r="AI120" s="31"/>
      <c r="AJ120" s="22">
        <f t="shared" si="110"/>
        <v>0</v>
      </c>
      <c r="AK120" s="22">
        <f t="shared" si="111"/>
        <v>0</v>
      </c>
      <c r="AL120" s="22">
        <f t="shared" si="112"/>
        <v>0</v>
      </c>
      <c r="AN120" s="41">
        <v>15</v>
      </c>
      <c r="AO120" s="41">
        <f t="shared" si="113"/>
        <v>0</v>
      </c>
      <c r="AP120" s="41">
        <f t="shared" si="114"/>
        <v>0</v>
      </c>
      <c r="AQ120" s="43" t="s">
        <v>376</v>
      </c>
      <c r="AV120" s="41">
        <f t="shared" si="115"/>
        <v>0</v>
      </c>
      <c r="AW120" s="41">
        <f t="shared" si="116"/>
        <v>0</v>
      </c>
      <c r="AX120" s="41">
        <f t="shared" si="117"/>
        <v>0</v>
      </c>
      <c r="AY120" s="44" t="s">
        <v>399</v>
      </c>
      <c r="AZ120" s="44" t="s">
        <v>408</v>
      </c>
      <c r="BA120" s="31" t="s">
        <v>409</v>
      </c>
      <c r="BC120" s="41">
        <f t="shared" si="118"/>
        <v>0</v>
      </c>
      <c r="BD120" s="41">
        <f t="shared" si="119"/>
        <v>0</v>
      </c>
      <c r="BE120" s="41">
        <v>0</v>
      </c>
      <c r="BF120" s="41">
        <f t="shared" si="120"/>
        <v>0.0152</v>
      </c>
      <c r="BH120" s="22">
        <f t="shared" si="121"/>
        <v>0</v>
      </c>
      <c r="BI120" s="22">
        <f t="shared" si="122"/>
        <v>0</v>
      </c>
      <c r="BJ120" s="22">
        <f t="shared" si="123"/>
        <v>0</v>
      </c>
      <c r="BK120" s="22" t="s">
        <v>415</v>
      </c>
      <c r="BL120" s="41"/>
    </row>
    <row r="121" spans="1:64" ht="12.75">
      <c r="A121" s="6" t="s">
        <v>92</v>
      </c>
      <c r="B121" s="15"/>
      <c r="C121" s="15" t="s">
        <v>205</v>
      </c>
      <c r="D121" s="141" t="s">
        <v>325</v>
      </c>
      <c r="E121" s="142"/>
      <c r="F121" s="15" t="s">
        <v>337</v>
      </c>
      <c r="G121" s="22">
        <v>14</v>
      </c>
      <c r="H121" s="22">
        <v>0</v>
      </c>
      <c r="I121" s="22">
        <f t="shared" si="98"/>
        <v>0</v>
      </c>
      <c r="J121" s="22">
        <f t="shared" si="99"/>
        <v>0</v>
      </c>
      <c r="K121" s="22">
        <f t="shared" si="100"/>
        <v>0</v>
      </c>
      <c r="L121" s="22">
        <v>0</v>
      </c>
      <c r="M121" s="22">
        <f t="shared" si="101"/>
        <v>0</v>
      </c>
      <c r="N121" s="37" t="s">
        <v>365</v>
      </c>
      <c r="O121" s="39"/>
      <c r="Z121" s="41">
        <f t="shared" si="102"/>
        <v>0</v>
      </c>
      <c r="AB121" s="41">
        <f t="shared" si="103"/>
        <v>0</v>
      </c>
      <c r="AC121" s="41">
        <f t="shared" si="104"/>
        <v>0</v>
      </c>
      <c r="AD121" s="41">
        <f t="shared" si="105"/>
        <v>0</v>
      </c>
      <c r="AE121" s="41">
        <f t="shared" si="106"/>
        <v>0</v>
      </c>
      <c r="AF121" s="41">
        <f t="shared" si="107"/>
        <v>0</v>
      </c>
      <c r="AG121" s="41">
        <f t="shared" si="108"/>
        <v>0</v>
      </c>
      <c r="AH121" s="41">
        <f t="shared" si="109"/>
        <v>0</v>
      </c>
      <c r="AI121" s="31"/>
      <c r="AJ121" s="22">
        <f t="shared" si="110"/>
        <v>0</v>
      </c>
      <c r="AK121" s="22">
        <f t="shared" si="111"/>
        <v>0</v>
      </c>
      <c r="AL121" s="22">
        <f t="shared" si="112"/>
        <v>0</v>
      </c>
      <c r="AN121" s="41">
        <v>15</v>
      </c>
      <c r="AO121" s="41">
        <f t="shared" si="113"/>
        <v>0</v>
      </c>
      <c r="AP121" s="41">
        <f t="shared" si="114"/>
        <v>0</v>
      </c>
      <c r="AQ121" s="43" t="s">
        <v>376</v>
      </c>
      <c r="AV121" s="41">
        <f t="shared" si="115"/>
        <v>0</v>
      </c>
      <c r="AW121" s="41">
        <f t="shared" si="116"/>
        <v>0</v>
      </c>
      <c r="AX121" s="41">
        <f t="shared" si="117"/>
        <v>0</v>
      </c>
      <c r="AY121" s="44" t="s">
        <v>399</v>
      </c>
      <c r="AZ121" s="44" t="s">
        <v>408</v>
      </c>
      <c r="BA121" s="31" t="s">
        <v>409</v>
      </c>
      <c r="BC121" s="41">
        <f t="shared" si="118"/>
        <v>0</v>
      </c>
      <c r="BD121" s="41">
        <f t="shared" si="119"/>
        <v>0</v>
      </c>
      <c r="BE121" s="41">
        <v>0</v>
      </c>
      <c r="BF121" s="41">
        <f t="shared" si="120"/>
        <v>0</v>
      </c>
      <c r="BH121" s="22">
        <f t="shared" si="121"/>
        <v>0</v>
      </c>
      <c r="BI121" s="22">
        <f t="shared" si="122"/>
        <v>0</v>
      </c>
      <c r="BJ121" s="22">
        <f t="shared" si="123"/>
        <v>0</v>
      </c>
      <c r="BK121" s="22" t="s">
        <v>415</v>
      </c>
      <c r="BL121" s="41"/>
    </row>
    <row r="122" spans="1:64" ht="12.75">
      <c r="A122" s="6" t="s">
        <v>93</v>
      </c>
      <c r="B122" s="15"/>
      <c r="C122" s="15" t="s">
        <v>206</v>
      </c>
      <c r="D122" s="141" t="s">
        <v>326</v>
      </c>
      <c r="E122" s="142"/>
      <c r="F122" s="15" t="s">
        <v>337</v>
      </c>
      <c r="G122" s="22">
        <v>7</v>
      </c>
      <c r="H122" s="22">
        <v>0</v>
      </c>
      <c r="I122" s="22">
        <f t="shared" si="98"/>
        <v>0</v>
      </c>
      <c r="J122" s="22">
        <f t="shared" si="99"/>
        <v>0</v>
      </c>
      <c r="K122" s="22">
        <f t="shared" si="100"/>
        <v>0</v>
      </c>
      <c r="L122" s="22">
        <v>0.0046</v>
      </c>
      <c r="M122" s="22">
        <f t="shared" si="101"/>
        <v>0.0322</v>
      </c>
      <c r="N122" s="37" t="s">
        <v>365</v>
      </c>
      <c r="O122" s="39"/>
      <c r="Z122" s="41">
        <f t="shared" si="102"/>
        <v>0</v>
      </c>
      <c r="AB122" s="41">
        <f t="shared" si="103"/>
        <v>0</v>
      </c>
      <c r="AC122" s="41">
        <f t="shared" si="104"/>
        <v>0</v>
      </c>
      <c r="AD122" s="41">
        <f t="shared" si="105"/>
        <v>0</v>
      </c>
      <c r="AE122" s="41">
        <f t="shared" si="106"/>
        <v>0</v>
      </c>
      <c r="AF122" s="41">
        <f t="shared" si="107"/>
        <v>0</v>
      </c>
      <c r="AG122" s="41">
        <f t="shared" si="108"/>
        <v>0</v>
      </c>
      <c r="AH122" s="41">
        <f t="shared" si="109"/>
        <v>0</v>
      </c>
      <c r="AI122" s="31"/>
      <c r="AJ122" s="22">
        <f t="shared" si="110"/>
        <v>0</v>
      </c>
      <c r="AK122" s="22">
        <f t="shared" si="111"/>
        <v>0</v>
      </c>
      <c r="AL122" s="22">
        <f t="shared" si="112"/>
        <v>0</v>
      </c>
      <c r="AN122" s="41">
        <v>15</v>
      </c>
      <c r="AO122" s="41">
        <f t="shared" si="113"/>
        <v>0</v>
      </c>
      <c r="AP122" s="41">
        <f t="shared" si="114"/>
        <v>0</v>
      </c>
      <c r="AQ122" s="43" t="s">
        <v>376</v>
      </c>
      <c r="AV122" s="41">
        <f t="shared" si="115"/>
        <v>0</v>
      </c>
      <c r="AW122" s="41">
        <f t="shared" si="116"/>
        <v>0</v>
      </c>
      <c r="AX122" s="41">
        <f t="shared" si="117"/>
        <v>0</v>
      </c>
      <c r="AY122" s="44" t="s">
        <v>399</v>
      </c>
      <c r="AZ122" s="44" t="s">
        <v>408</v>
      </c>
      <c r="BA122" s="31" t="s">
        <v>409</v>
      </c>
      <c r="BC122" s="41">
        <f t="shared" si="118"/>
        <v>0</v>
      </c>
      <c r="BD122" s="41">
        <f t="shared" si="119"/>
        <v>0</v>
      </c>
      <c r="BE122" s="41">
        <v>0</v>
      </c>
      <c r="BF122" s="41">
        <f t="shared" si="120"/>
        <v>0.0322</v>
      </c>
      <c r="BH122" s="22">
        <f t="shared" si="121"/>
        <v>0</v>
      </c>
      <c r="BI122" s="22">
        <f t="shared" si="122"/>
        <v>0</v>
      </c>
      <c r="BJ122" s="22">
        <f t="shared" si="123"/>
        <v>0</v>
      </c>
      <c r="BK122" s="22" t="s">
        <v>415</v>
      </c>
      <c r="BL122" s="41"/>
    </row>
    <row r="123" spans="1:64" ht="12.75">
      <c r="A123" s="6" t="s">
        <v>94</v>
      </c>
      <c r="B123" s="15"/>
      <c r="C123" s="15" t="s">
        <v>207</v>
      </c>
      <c r="D123" s="141" t="s">
        <v>327</v>
      </c>
      <c r="E123" s="142"/>
      <c r="F123" s="15" t="s">
        <v>337</v>
      </c>
      <c r="G123" s="22">
        <v>1</v>
      </c>
      <c r="H123" s="22">
        <v>0</v>
      </c>
      <c r="I123" s="22">
        <f t="shared" si="98"/>
        <v>0</v>
      </c>
      <c r="J123" s="22">
        <f t="shared" si="99"/>
        <v>0</v>
      </c>
      <c r="K123" s="22">
        <f t="shared" si="100"/>
        <v>0</v>
      </c>
      <c r="L123" s="22">
        <v>0.001</v>
      </c>
      <c r="M123" s="22">
        <f t="shared" si="101"/>
        <v>0.001</v>
      </c>
      <c r="N123" s="37" t="s">
        <v>365</v>
      </c>
      <c r="O123" s="39"/>
      <c r="Z123" s="41">
        <f t="shared" si="102"/>
        <v>0</v>
      </c>
      <c r="AB123" s="41">
        <f t="shared" si="103"/>
        <v>0</v>
      </c>
      <c r="AC123" s="41">
        <f t="shared" si="104"/>
        <v>0</v>
      </c>
      <c r="AD123" s="41">
        <f t="shared" si="105"/>
        <v>0</v>
      </c>
      <c r="AE123" s="41">
        <f t="shared" si="106"/>
        <v>0</v>
      </c>
      <c r="AF123" s="41">
        <f t="shared" si="107"/>
        <v>0</v>
      </c>
      <c r="AG123" s="41">
        <f t="shared" si="108"/>
        <v>0</v>
      </c>
      <c r="AH123" s="41">
        <f t="shared" si="109"/>
        <v>0</v>
      </c>
      <c r="AI123" s="31"/>
      <c r="AJ123" s="22">
        <f t="shared" si="110"/>
        <v>0</v>
      </c>
      <c r="AK123" s="22">
        <f t="shared" si="111"/>
        <v>0</v>
      </c>
      <c r="AL123" s="22">
        <f t="shared" si="112"/>
        <v>0</v>
      </c>
      <c r="AN123" s="41">
        <v>15</v>
      </c>
      <c r="AO123" s="41">
        <f t="shared" si="113"/>
        <v>0</v>
      </c>
      <c r="AP123" s="41">
        <f t="shared" si="114"/>
        <v>0</v>
      </c>
      <c r="AQ123" s="43" t="s">
        <v>376</v>
      </c>
      <c r="AV123" s="41">
        <f t="shared" si="115"/>
        <v>0</v>
      </c>
      <c r="AW123" s="41">
        <f t="shared" si="116"/>
        <v>0</v>
      </c>
      <c r="AX123" s="41">
        <f t="shared" si="117"/>
        <v>0</v>
      </c>
      <c r="AY123" s="44" t="s">
        <v>399</v>
      </c>
      <c r="AZ123" s="44" t="s">
        <v>408</v>
      </c>
      <c r="BA123" s="31" t="s">
        <v>409</v>
      </c>
      <c r="BC123" s="41">
        <f t="shared" si="118"/>
        <v>0</v>
      </c>
      <c r="BD123" s="41">
        <f t="shared" si="119"/>
        <v>0</v>
      </c>
      <c r="BE123" s="41">
        <v>0</v>
      </c>
      <c r="BF123" s="41">
        <f t="shared" si="120"/>
        <v>0.001</v>
      </c>
      <c r="BH123" s="22">
        <f t="shared" si="121"/>
        <v>0</v>
      </c>
      <c r="BI123" s="22">
        <f t="shared" si="122"/>
        <v>0</v>
      </c>
      <c r="BJ123" s="22">
        <f t="shared" si="123"/>
        <v>0</v>
      </c>
      <c r="BK123" s="22" t="s">
        <v>415</v>
      </c>
      <c r="BL123" s="41"/>
    </row>
    <row r="124" spans="1:64" ht="12.75">
      <c r="A124" s="6" t="s">
        <v>95</v>
      </c>
      <c r="B124" s="15"/>
      <c r="C124" s="15" t="s">
        <v>208</v>
      </c>
      <c r="D124" s="141" t="s">
        <v>328</v>
      </c>
      <c r="E124" s="142"/>
      <c r="F124" s="15" t="s">
        <v>337</v>
      </c>
      <c r="G124" s="22">
        <v>10</v>
      </c>
      <c r="H124" s="22">
        <v>0</v>
      </c>
      <c r="I124" s="22">
        <f t="shared" si="98"/>
        <v>0</v>
      </c>
      <c r="J124" s="22">
        <f t="shared" si="99"/>
        <v>0</v>
      </c>
      <c r="K124" s="22">
        <f t="shared" si="100"/>
        <v>0</v>
      </c>
      <c r="L124" s="22">
        <v>1E-05</v>
      </c>
      <c r="M124" s="22">
        <f t="shared" si="101"/>
        <v>0.0001</v>
      </c>
      <c r="N124" s="37" t="s">
        <v>365</v>
      </c>
      <c r="O124" s="39"/>
      <c r="Z124" s="41">
        <f t="shared" si="102"/>
        <v>0</v>
      </c>
      <c r="AB124" s="41">
        <f t="shared" si="103"/>
        <v>0</v>
      </c>
      <c r="AC124" s="41">
        <f t="shared" si="104"/>
        <v>0</v>
      </c>
      <c r="AD124" s="41">
        <f t="shared" si="105"/>
        <v>0</v>
      </c>
      <c r="AE124" s="41">
        <f t="shared" si="106"/>
        <v>0</v>
      </c>
      <c r="AF124" s="41">
        <f t="shared" si="107"/>
        <v>0</v>
      </c>
      <c r="AG124" s="41">
        <f t="shared" si="108"/>
        <v>0</v>
      </c>
      <c r="AH124" s="41">
        <f t="shared" si="109"/>
        <v>0</v>
      </c>
      <c r="AI124" s="31"/>
      <c r="AJ124" s="22">
        <f t="shared" si="110"/>
        <v>0</v>
      </c>
      <c r="AK124" s="22">
        <f t="shared" si="111"/>
        <v>0</v>
      </c>
      <c r="AL124" s="22">
        <f t="shared" si="112"/>
        <v>0</v>
      </c>
      <c r="AN124" s="41">
        <v>15</v>
      </c>
      <c r="AO124" s="41">
        <f t="shared" si="113"/>
        <v>0</v>
      </c>
      <c r="AP124" s="41">
        <f t="shared" si="114"/>
        <v>0</v>
      </c>
      <c r="AQ124" s="43" t="s">
        <v>376</v>
      </c>
      <c r="AV124" s="41">
        <f t="shared" si="115"/>
        <v>0</v>
      </c>
      <c r="AW124" s="41">
        <f t="shared" si="116"/>
        <v>0</v>
      </c>
      <c r="AX124" s="41">
        <f t="shared" si="117"/>
        <v>0</v>
      </c>
      <c r="AY124" s="44" t="s">
        <v>399</v>
      </c>
      <c r="AZ124" s="44" t="s">
        <v>408</v>
      </c>
      <c r="BA124" s="31" t="s">
        <v>409</v>
      </c>
      <c r="BC124" s="41">
        <f t="shared" si="118"/>
        <v>0</v>
      </c>
      <c r="BD124" s="41">
        <f t="shared" si="119"/>
        <v>0</v>
      </c>
      <c r="BE124" s="41">
        <v>0</v>
      </c>
      <c r="BF124" s="41">
        <f t="shared" si="120"/>
        <v>0.0001</v>
      </c>
      <c r="BH124" s="22">
        <f t="shared" si="121"/>
        <v>0</v>
      </c>
      <c r="BI124" s="22">
        <f t="shared" si="122"/>
        <v>0</v>
      </c>
      <c r="BJ124" s="22">
        <f t="shared" si="123"/>
        <v>0</v>
      </c>
      <c r="BK124" s="22" t="s">
        <v>415</v>
      </c>
      <c r="BL124" s="41"/>
    </row>
    <row r="125" spans="1:64" ht="12.75">
      <c r="A125" s="6" t="s">
        <v>96</v>
      </c>
      <c r="B125" s="15"/>
      <c r="C125" s="15" t="s">
        <v>209</v>
      </c>
      <c r="D125" s="141" t="s">
        <v>329</v>
      </c>
      <c r="E125" s="142"/>
      <c r="F125" s="15" t="s">
        <v>337</v>
      </c>
      <c r="G125" s="22">
        <v>4</v>
      </c>
      <c r="H125" s="22">
        <v>0</v>
      </c>
      <c r="I125" s="22">
        <f t="shared" si="98"/>
        <v>0</v>
      </c>
      <c r="J125" s="22">
        <f t="shared" si="99"/>
        <v>0</v>
      </c>
      <c r="K125" s="22">
        <f t="shared" si="100"/>
        <v>0</v>
      </c>
      <c r="L125" s="22">
        <v>5E-05</v>
      </c>
      <c r="M125" s="22">
        <f t="shared" si="101"/>
        <v>0.0002</v>
      </c>
      <c r="N125" s="37" t="s">
        <v>365</v>
      </c>
      <c r="O125" s="39"/>
      <c r="Z125" s="41">
        <f t="shared" si="102"/>
        <v>0</v>
      </c>
      <c r="AB125" s="41">
        <f t="shared" si="103"/>
        <v>0</v>
      </c>
      <c r="AC125" s="41">
        <f t="shared" si="104"/>
        <v>0</v>
      </c>
      <c r="AD125" s="41">
        <f t="shared" si="105"/>
        <v>0</v>
      </c>
      <c r="AE125" s="41">
        <f t="shared" si="106"/>
        <v>0</v>
      </c>
      <c r="AF125" s="41">
        <f t="shared" si="107"/>
        <v>0</v>
      </c>
      <c r="AG125" s="41">
        <f t="shared" si="108"/>
        <v>0</v>
      </c>
      <c r="AH125" s="41">
        <f t="shared" si="109"/>
        <v>0</v>
      </c>
      <c r="AI125" s="31"/>
      <c r="AJ125" s="22">
        <f t="shared" si="110"/>
        <v>0</v>
      </c>
      <c r="AK125" s="22">
        <f t="shared" si="111"/>
        <v>0</v>
      </c>
      <c r="AL125" s="22">
        <f t="shared" si="112"/>
        <v>0</v>
      </c>
      <c r="AN125" s="41">
        <v>15</v>
      </c>
      <c r="AO125" s="41">
        <f t="shared" si="113"/>
        <v>0</v>
      </c>
      <c r="AP125" s="41">
        <f t="shared" si="114"/>
        <v>0</v>
      </c>
      <c r="AQ125" s="43" t="s">
        <v>376</v>
      </c>
      <c r="AV125" s="41">
        <f t="shared" si="115"/>
        <v>0</v>
      </c>
      <c r="AW125" s="41">
        <f t="shared" si="116"/>
        <v>0</v>
      </c>
      <c r="AX125" s="41">
        <f t="shared" si="117"/>
        <v>0</v>
      </c>
      <c r="AY125" s="44" t="s">
        <v>399</v>
      </c>
      <c r="AZ125" s="44" t="s">
        <v>408</v>
      </c>
      <c r="BA125" s="31" t="s">
        <v>409</v>
      </c>
      <c r="BC125" s="41">
        <f t="shared" si="118"/>
        <v>0</v>
      </c>
      <c r="BD125" s="41">
        <f t="shared" si="119"/>
        <v>0</v>
      </c>
      <c r="BE125" s="41">
        <v>0</v>
      </c>
      <c r="BF125" s="41">
        <f t="shared" si="120"/>
        <v>0.0002</v>
      </c>
      <c r="BH125" s="22">
        <f t="shared" si="121"/>
        <v>0</v>
      </c>
      <c r="BI125" s="22">
        <f t="shared" si="122"/>
        <v>0</v>
      </c>
      <c r="BJ125" s="22">
        <f t="shared" si="123"/>
        <v>0</v>
      </c>
      <c r="BK125" s="22" t="s">
        <v>415</v>
      </c>
      <c r="BL125" s="41"/>
    </row>
    <row r="126" spans="1:64" ht="12.75">
      <c r="A126" s="6" t="s">
        <v>97</v>
      </c>
      <c r="B126" s="15"/>
      <c r="C126" s="15" t="s">
        <v>210</v>
      </c>
      <c r="D126" s="141" t="s">
        <v>330</v>
      </c>
      <c r="E126" s="142"/>
      <c r="F126" s="15" t="s">
        <v>337</v>
      </c>
      <c r="G126" s="22">
        <v>4</v>
      </c>
      <c r="H126" s="22">
        <v>0</v>
      </c>
      <c r="I126" s="22">
        <f t="shared" si="98"/>
        <v>0</v>
      </c>
      <c r="J126" s="22">
        <f t="shared" si="99"/>
        <v>0</v>
      </c>
      <c r="K126" s="22">
        <f t="shared" si="100"/>
        <v>0</v>
      </c>
      <c r="L126" s="22">
        <v>1E-05</v>
      </c>
      <c r="M126" s="22">
        <f t="shared" si="101"/>
        <v>4E-05</v>
      </c>
      <c r="N126" s="37" t="s">
        <v>365</v>
      </c>
      <c r="O126" s="39"/>
      <c r="Z126" s="41">
        <f t="shared" si="102"/>
        <v>0</v>
      </c>
      <c r="AB126" s="41">
        <f t="shared" si="103"/>
        <v>0</v>
      </c>
      <c r="AC126" s="41">
        <f t="shared" si="104"/>
        <v>0</v>
      </c>
      <c r="AD126" s="41">
        <f t="shared" si="105"/>
        <v>0</v>
      </c>
      <c r="AE126" s="41">
        <f t="shared" si="106"/>
        <v>0</v>
      </c>
      <c r="AF126" s="41">
        <f t="shared" si="107"/>
        <v>0</v>
      </c>
      <c r="AG126" s="41">
        <f t="shared" si="108"/>
        <v>0</v>
      </c>
      <c r="AH126" s="41">
        <f t="shared" si="109"/>
        <v>0</v>
      </c>
      <c r="AI126" s="31"/>
      <c r="AJ126" s="22">
        <f t="shared" si="110"/>
        <v>0</v>
      </c>
      <c r="AK126" s="22">
        <f t="shared" si="111"/>
        <v>0</v>
      </c>
      <c r="AL126" s="22">
        <f t="shared" si="112"/>
        <v>0</v>
      </c>
      <c r="AN126" s="41">
        <v>15</v>
      </c>
      <c r="AO126" s="41">
        <f t="shared" si="113"/>
        <v>0</v>
      </c>
      <c r="AP126" s="41">
        <f t="shared" si="114"/>
        <v>0</v>
      </c>
      <c r="AQ126" s="43" t="s">
        <v>376</v>
      </c>
      <c r="AV126" s="41">
        <f t="shared" si="115"/>
        <v>0</v>
      </c>
      <c r="AW126" s="41">
        <f t="shared" si="116"/>
        <v>0</v>
      </c>
      <c r="AX126" s="41">
        <f t="shared" si="117"/>
        <v>0</v>
      </c>
      <c r="AY126" s="44" t="s">
        <v>399</v>
      </c>
      <c r="AZ126" s="44" t="s">
        <v>408</v>
      </c>
      <c r="BA126" s="31" t="s">
        <v>409</v>
      </c>
      <c r="BC126" s="41">
        <f t="shared" si="118"/>
        <v>0</v>
      </c>
      <c r="BD126" s="41">
        <f t="shared" si="119"/>
        <v>0</v>
      </c>
      <c r="BE126" s="41">
        <v>0</v>
      </c>
      <c r="BF126" s="41">
        <f t="shared" si="120"/>
        <v>4E-05</v>
      </c>
      <c r="BH126" s="22">
        <f t="shared" si="121"/>
        <v>0</v>
      </c>
      <c r="BI126" s="22">
        <f t="shared" si="122"/>
        <v>0</v>
      </c>
      <c r="BJ126" s="22">
        <f t="shared" si="123"/>
        <v>0</v>
      </c>
      <c r="BK126" s="22" t="s">
        <v>415</v>
      </c>
      <c r="BL126" s="41"/>
    </row>
    <row r="127" spans="1:64" ht="12.75">
      <c r="A127" s="7" t="s">
        <v>98</v>
      </c>
      <c r="B127" s="16"/>
      <c r="C127" s="16" t="s">
        <v>211</v>
      </c>
      <c r="D127" s="144" t="s">
        <v>331</v>
      </c>
      <c r="E127" s="145"/>
      <c r="F127" s="16" t="s">
        <v>337</v>
      </c>
      <c r="G127" s="23">
        <v>10</v>
      </c>
      <c r="H127" s="23">
        <v>0</v>
      </c>
      <c r="I127" s="23">
        <f t="shared" si="98"/>
        <v>0</v>
      </c>
      <c r="J127" s="23">
        <f t="shared" si="99"/>
        <v>0</v>
      </c>
      <c r="K127" s="23">
        <f t="shared" si="100"/>
        <v>0</v>
      </c>
      <c r="L127" s="23">
        <v>0.0001</v>
      </c>
      <c r="M127" s="23">
        <f t="shared" si="101"/>
        <v>0.001</v>
      </c>
      <c r="N127" s="38" t="s">
        <v>365</v>
      </c>
      <c r="O127" s="39"/>
      <c r="Z127" s="41">
        <f t="shared" si="102"/>
        <v>0</v>
      </c>
      <c r="AB127" s="41">
        <f t="shared" si="103"/>
        <v>0</v>
      </c>
      <c r="AC127" s="41">
        <f t="shared" si="104"/>
        <v>0</v>
      </c>
      <c r="AD127" s="41">
        <f t="shared" si="105"/>
        <v>0</v>
      </c>
      <c r="AE127" s="41">
        <f t="shared" si="106"/>
        <v>0</v>
      </c>
      <c r="AF127" s="41">
        <f t="shared" si="107"/>
        <v>0</v>
      </c>
      <c r="AG127" s="41">
        <f t="shared" si="108"/>
        <v>0</v>
      </c>
      <c r="AH127" s="41">
        <f t="shared" si="109"/>
        <v>0</v>
      </c>
      <c r="AI127" s="31"/>
      <c r="AJ127" s="22">
        <f t="shared" si="110"/>
        <v>0</v>
      </c>
      <c r="AK127" s="22">
        <f t="shared" si="111"/>
        <v>0</v>
      </c>
      <c r="AL127" s="22">
        <f t="shared" si="112"/>
        <v>0</v>
      </c>
      <c r="AN127" s="41">
        <v>15</v>
      </c>
      <c r="AO127" s="41">
        <f t="shared" si="113"/>
        <v>0</v>
      </c>
      <c r="AP127" s="41">
        <f t="shared" si="114"/>
        <v>0</v>
      </c>
      <c r="AQ127" s="43" t="s">
        <v>376</v>
      </c>
      <c r="AV127" s="41">
        <f t="shared" si="115"/>
        <v>0</v>
      </c>
      <c r="AW127" s="41">
        <f t="shared" si="116"/>
        <v>0</v>
      </c>
      <c r="AX127" s="41">
        <f t="shared" si="117"/>
        <v>0</v>
      </c>
      <c r="AY127" s="44" t="s">
        <v>399</v>
      </c>
      <c r="AZ127" s="44" t="s">
        <v>408</v>
      </c>
      <c r="BA127" s="31" t="s">
        <v>409</v>
      </c>
      <c r="BC127" s="41">
        <f t="shared" si="118"/>
        <v>0</v>
      </c>
      <c r="BD127" s="41">
        <f t="shared" si="119"/>
        <v>0</v>
      </c>
      <c r="BE127" s="41">
        <v>0</v>
      </c>
      <c r="BF127" s="41">
        <f t="shared" si="120"/>
        <v>0.001</v>
      </c>
      <c r="BH127" s="22">
        <f t="shared" si="121"/>
        <v>0</v>
      </c>
      <c r="BI127" s="22">
        <f t="shared" si="122"/>
        <v>0</v>
      </c>
      <c r="BJ127" s="22">
        <f t="shared" si="123"/>
        <v>0</v>
      </c>
      <c r="BK127" s="22" t="s">
        <v>415</v>
      </c>
      <c r="BL127" s="41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143" t="s">
        <v>356</v>
      </c>
      <c r="J128" s="116"/>
      <c r="K128" s="48">
        <f>K12+K16+K21+K24+K29+K31+K40+K51+K60+K62+K67+K69+K71+K74+K76+K80+K84+K90+K92+K94+K97+K99+K108</f>
        <v>0</v>
      </c>
      <c r="L128" s="8"/>
      <c r="M128" s="8"/>
      <c r="N128" s="8"/>
    </row>
    <row r="129" ht="11.25" customHeight="1">
      <c r="A129" s="9" t="s">
        <v>99</v>
      </c>
    </row>
    <row r="130" spans="1:14" ht="12.75">
      <c r="A130" s="12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</sheetData>
  <sheetProtection/>
  <mergeCells count="147">
    <mergeCell ref="I128:J128"/>
    <mergeCell ref="A130:N130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09" t="s">
        <v>417</v>
      </c>
      <c r="B1" s="110"/>
      <c r="C1" s="110"/>
      <c r="D1" s="110"/>
      <c r="E1" s="110"/>
      <c r="F1" s="110"/>
      <c r="G1" s="110"/>
    </row>
    <row r="2" spans="1:8" ht="12.75">
      <c r="A2" s="111" t="s">
        <v>0</v>
      </c>
      <c r="B2" s="112"/>
      <c r="C2" s="115" t="str">
        <f>'Stavební rozpočet'!D2</f>
        <v>OPRAVA SESTEREN A KLUBOVEN</v>
      </c>
      <c r="D2" s="118" t="s">
        <v>332</v>
      </c>
      <c r="E2" s="118" t="s">
        <v>344</v>
      </c>
      <c r="F2" s="119" t="s">
        <v>350</v>
      </c>
      <c r="G2" s="146" t="str">
        <f>'Stavební rozpočet'!J2</f>
        <v> </v>
      </c>
      <c r="H2" s="39"/>
    </row>
    <row r="3" spans="1:8" ht="12.75">
      <c r="A3" s="113"/>
      <c r="B3" s="114"/>
      <c r="C3" s="117"/>
      <c r="D3" s="114"/>
      <c r="E3" s="114"/>
      <c r="F3" s="114"/>
      <c r="G3" s="121"/>
      <c r="H3" s="39"/>
    </row>
    <row r="4" spans="1:8" ht="12.75">
      <c r="A4" s="122" t="s">
        <v>1</v>
      </c>
      <c r="B4" s="114"/>
      <c r="C4" s="123" t="str">
        <f>'Stavební rozpočet'!D4</f>
        <v>Objekt DS 2 - 4. N.p. - klubovna</v>
      </c>
      <c r="D4" s="124" t="s">
        <v>333</v>
      </c>
      <c r="E4" s="124" t="s">
        <v>345</v>
      </c>
      <c r="F4" s="123" t="s">
        <v>351</v>
      </c>
      <c r="G4" s="147" t="str">
        <f>'Stavební rozpočet'!J4</f>
        <v> </v>
      </c>
      <c r="H4" s="39"/>
    </row>
    <row r="5" spans="1:8" ht="12.75">
      <c r="A5" s="113"/>
      <c r="B5" s="114"/>
      <c r="C5" s="114"/>
      <c r="D5" s="114"/>
      <c r="E5" s="114"/>
      <c r="F5" s="114"/>
      <c r="G5" s="121"/>
      <c r="H5" s="39"/>
    </row>
    <row r="6" spans="1:8" ht="12.75">
      <c r="A6" s="122" t="s">
        <v>2</v>
      </c>
      <c r="B6" s="114"/>
      <c r="C6" s="123" t="str">
        <f>'Stavební rozpočet'!D6</f>
        <v>Domov Sedlčany, poskytovatel sociálních služeb</v>
      </c>
      <c r="D6" s="124" t="s">
        <v>334</v>
      </c>
      <c r="E6" s="124" t="s">
        <v>346</v>
      </c>
      <c r="F6" s="123" t="s">
        <v>352</v>
      </c>
      <c r="G6" s="147" t="str">
        <f>'Stavební rozpočet'!J6</f>
        <v> </v>
      </c>
      <c r="H6" s="39"/>
    </row>
    <row r="7" spans="1:8" ht="12.75">
      <c r="A7" s="113"/>
      <c r="B7" s="114"/>
      <c r="C7" s="114"/>
      <c r="D7" s="114"/>
      <c r="E7" s="114"/>
      <c r="F7" s="114"/>
      <c r="G7" s="121"/>
      <c r="H7" s="39"/>
    </row>
    <row r="8" spans="1:8" ht="12.75">
      <c r="A8" s="122" t="s">
        <v>353</v>
      </c>
      <c r="B8" s="114"/>
      <c r="C8" s="123" t="str">
        <f>'Stavební rozpočet'!J8</f>
        <v>Mgr. Josef Šimonvský</v>
      </c>
      <c r="D8" s="124" t="s">
        <v>335</v>
      </c>
      <c r="E8" s="124" t="s">
        <v>347</v>
      </c>
      <c r="F8" s="124" t="s">
        <v>335</v>
      </c>
      <c r="G8" s="147" t="str">
        <f>'Stavební rozpočet'!H8</f>
        <v>31.10.2021</v>
      </c>
      <c r="H8" s="39"/>
    </row>
    <row r="9" spans="1:8" ht="12.75">
      <c r="A9" s="125"/>
      <c r="B9" s="126"/>
      <c r="C9" s="126"/>
      <c r="D9" s="126"/>
      <c r="E9" s="126"/>
      <c r="F9" s="126"/>
      <c r="G9" s="127"/>
      <c r="H9" s="39"/>
    </row>
    <row r="10" spans="1:8" ht="12.75">
      <c r="A10" s="49" t="s">
        <v>100</v>
      </c>
      <c r="B10" s="53" t="s">
        <v>101</v>
      </c>
      <c r="C10" s="56" t="s">
        <v>214</v>
      </c>
      <c r="D10" s="57" t="s">
        <v>418</v>
      </c>
      <c r="E10" s="57" t="s">
        <v>419</v>
      </c>
      <c r="F10" s="57" t="s">
        <v>420</v>
      </c>
      <c r="G10" s="58" t="s">
        <v>421</v>
      </c>
      <c r="H10" s="40"/>
    </row>
    <row r="11" spans="1:9" ht="12.75">
      <c r="A11" s="50"/>
      <c r="B11" s="54" t="s">
        <v>36</v>
      </c>
      <c r="C11" s="54" t="s">
        <v>216</v>
      </c>
      <c r="D11" s="60">
        <f>'Stavební rozpočet'!I12</f>
        <v>0</v>
      </c>
      <c r="E11" s="60">
        <f>'Stavební rozpočet'!J12</f>
        <v>0</v>
      </c>
      <c r="F11" s="60">
        <f>'Stavební rozpočet'!K12</f>
        <v>0</v>
      </c>
      <c r="G11" s="62">
        <f>'Stavební rozpočet'!M12</f>
        <v>0.18466000000000002</v>
      </c>
      <c r="H11" s="59" t="s">
        <v>422</v>
      </c>
      <c r="I11" s="41">
        <f aca="true" t="shared" si="0" ref="I11:I33">IF(H11="F",0,F11)</f>
        <v>0</v>
      </c>
    </row>
    <row r="12" spans="1:9" ht="12.75">
      <c r="A12" s="51"/>
      <c r="B12" s="17" t="s">
        <v>39</v>
      </c>
      <c r="C12" s="17" t="s">
        <v>220</v>
      </c>
      <c r="D12" s="41">
        <f>'Stavební rozpočet'!I16</f>
        <v>0</v>
      </c>
      <c r="E12" s="41">
        <f>'Stavební rozpočet'!J16</f>
        <v>0</v>
      </c>
      <c r="F12" s="41">
        <f>'Stavební rozpočet'!K16</f>
        <v>0</v>
      </c>
      <c r="G12" s="63">
        <f>'Stavební rozpočet'!M16</f>
        <v>2.3933302</v>
      </c>
      <c r="H12" s="59" t="s">
        <v>422</v>
      </c>
      <c r="I12" s="41">
        <f t="shared" si="0"/>
        <v>0</v>
      </c>
    </row>
    <row r="13" spans="1:9" ht="12.75">
      <c r="A13" s="51"/>
      <c r="B13" s="17" t="s">
        <v>46</v>
      </c>
      <c r="C13" s="17" t="s">
        <v>225</v>
      </c>
      <c r="D13" s="41">
        <f>'Stavební rozpočet'!I21</f>
        <v>0</v>
      </c>
      <c r="E13" s="41">
        <f>'Stavební rozpočet'!J21</f>
        <v>0</v>
      </c>
      <c r="F13" s="41">
        <f>'Stavební rozpočet'!K21</f>
        <v>0</v>
      </c>
      <c r="G13" s="63">
        <f>'Stavební rozpočet'!M21</f>
        <v>0.0672672</v>
      </c>
      <c r="H13" s="59" t="s">
        <v>422</v>
      </c>
      <c r="I13" s="41">
        <f t="shared" si="0"/>
        <v>0</v>
      </c>
    </row>
    <row r="14" spans="1:9" ht="12.75">
      <c r="A14" s="51"/>
      <c r="B14" s="17" t="s">
        <v>66</v>
      </c>
      <c r="C14" s="17" t="s">
        <v>228</v>
      </c>
      <c r="D14" s="41">
        <f>'Stavební rozpočet'!I24</f>
        <v>0</v>
      </c>
      <c r="E14" s="41">
        <f>'Stavební rozpočet'!J24</f>
        <v>0</v>
      </c>
      <c r="F14" s="41">
        <f>'Stavební rozpočet'!K24</f>
        <v>0</v>
      </c>
      <c r="G14" s="63">
        <f>'Stavební rozpočet'!M24</f>
        <v>1.2297075000000002</v>
      </c>
      <c r="H14" s="59" t="s">
        <v>422</v>
      </c>
      <c r="I14" s="41">
        <f t="shared" si="0"/>
        <v>0</v>
      </c>
    </row>
    <row r="15" spans="1:9" ht="12.75">
      <c r="A15" s="51"/>
      <c r="B15" s="17" t="s">
        <v>68</v>
      </c>
      <c r="C15" s="17" t="s">
        <v>233</v>
      </c>
      <c r="D15" s="41">
        <f>'Stavební rozpočet'!I29</f>
        <v>0</v>
      </c>
      <c r="E15" s="41">
        <f>'Stavební rozpočet'!J29</f>
        <v>0</v>
      </c>
      <c r="F15" s="41">
        <f>'Stavební rozpočet'!K29</f>
        <v>0</v>
      </c>
      <c r="G15" s="63">
        <f>'Stavební rozpočet'!M29</f>
        <v>0.015047900000000001</v>
      </c>
      <c r="H15" s="59" t="s">
        <v>422</v>
      </c>
      <c r="I15" s="41">
        <f t="shared" si="0"/>
        <v>0</v>
      </c>
    </row>
    <row r="16" spans="1:9" ht="12.75">
      <c r="A16" s="51"/>
      <c r="B16" s="17" t="s">
        <v>116</v>
      </c>
      <c r="C16" s="17" t="s">
        <v>235</v>
      </c>
      <c r="D16" s="41">
        <f>'Stavební rozpočet'!I31</f>
        <v>0</v>
      </c>
      <c r="E16" s="41">
        <f>'Stavební rozpočet'!J31</f>
        <v>0</v>
      </c>
      <c r="F16" s="41">
        <f>'Stavební rozpočet'!K31</f>
        <v>0</v>
      </c>
      <c r="G16" s="63">
        <f>'Stavební rozpočet'!M31</f>
        <v>0.036019</v>
      </c>
      <c r="H16" s="59" t="s">
        <v>422</v>
      </c>
      <c r="I16" s="41">
        <f t="shared" si="0"/>
        <v>0</v>
      </c>
    </row>
    <row r="17" spans="1:9" ht="12.75">
      <c r="A17" s="51"/>
      <c r="B17" s="17" t="s">
        <v>125</v>
      </c>
      <c r="C17" s="17" t="s">
        <v>244</v>
      </c>
      <c r="D17" s="41">
        <f>'Stavební rozpočet'!I40</f>
        <v>0</v>
      </c>
      <c r="E17" s="41">
        <f>'Stavební rozpočet'!J40</f>
        <v>0</v>
      </c>
      <c r="F17" s="41">
        <f>'Stavební rozpočet'!K40</f>
        <v>0</v>
      </c>
      <c r="G17" s="63">
        <f>'Stavební rozpočet'!M40</f>
        <v>0.010027999999999999</v>
      </c>
      <c r="H17" s="59" t="s">
        <v>422</v>
      </c>
      <c r="I17" s="41">
        <f t="shared" si="0"/>
        <v>0</v>
      </c>
    </row>
    <row r="18" spans="1:9" ht="12.75">
      <c r="A18" s="51"/>
      <c r="B18" s="17" t="s">
        <v>136</v>
      </c>
      <c r="C18" s="17" t="s">
        <v>255</v>
      </c>
      <c r="D18" s="41">
        <f>'Stavební rozpočet'!I51</f>
        <v>0</v>
      </c>
      <c r="E18" s="41">
        <f>'Stavební rozpočet'!J51</f>
        <v>0</v>
      </c>
      <c r="F18" s="41">
        <f>'Stavební rozpočet'!K51</f>
        <v>0</v>
      </c>
      <c r="G18" s="63">
        <f>'Stavební rozpočet'!M51</f>
        <v>0.044669999999999994</v>
      </c>
      <c r="H18" s="59" t="s">
        <v>422</v>
      </c>
      <c r="I18" s="41">
        <f t="shared" si="0"/>
        <v>0</v>
      </c>
    </row>
    <row r="19" spans="1:9" ht="12.75">
      <c r="A19" s="51"/>
      <c r="B19" s="17" t="s">
        <v>145</v>
      </c>
      <c r="C19" s="17" t="s">
        <v>264</v>
      </c>
      <c r="D19" s="41">
        <f>'Stavební rozpočet'!I60</f>
        <v>0</v>
      </c>
      <c r="E19" s="41">
        <f>'Stavební rozpočet'!J60</f>
        <v>0</v>
      </c>
      <c r="F19" s="41">
        <f>'Stavební rozpočet'!K60</f>
        <v>0</v>
      </c>
      <c r="G19" s="63">
        <f>'Stavební rozpočet'!M60</f>
        <v>0.009</v>
      </c>
      <c r="H19" s="59" t="s">
        <v>422</v>
      </c>
      <c r="I19" s="41">
        <f t="shared" si="0"/>
        <v>0</v>
      </c>
    </row>
    <row r="20" spans="1:9" ht="12.75">
      <c r="A20" s="51"/>
      <c r="B20" s="17" t="s">
        <v>147</v>
      </c>
      <c r="C20" s="17" t="s">
        <v>266</v>
      </c>
      <c r="D20" s="41">
        <f>'Stavební rozpočet'!I62</f>
        <v>0</v>
      </c>
      <c r="E20" s="41">
        <f>'Stavební rozpočet'!J62</f>
        <v>0</v>
      </c>
      <c r="F20" s="41">
        <f>'Stavební rozpočet'!K62</f>
        <v>0</v>
      </c>
      <c r="G20" s="63">
        <f>'Stavební rozpočet'!M62</f>
        <v>0.0036</v>
      </c>
      <c r="H20" s="59" t="s">
        <v>422</v>
      </c>
      <c r="I20" s="41">
        <f t="shared" si="0"/>
        <v>0</v>
      </c>
    </row>
    <row r="21" spans="1:9" ht="12.75">
      <c r="A21" s="51"/>
      <c r="B21" s="17" t="s">
        <v>152</v>
      </c>
      <c r="C21" s="17" t="s">
        <v>271</v>
      </c>
      <c r="D21" s="41">
        <f>'Stavební rozpočet'!I67</f>
        <v>0</v>
      </c>
      <c r="E21" s="41">
        <f>'Stavební rozpočet'!J67</f>
        <v>0</v>
      </c>
      <c r="F21" s="41">
        <f>'Stavební rozpočet'!K67</f>
        <v>0</v>
      </c>
      <c r="G21" s="63">
        <f>'Stavební rozpočet'!M67</f>
        <v>0.016119599999999998</v>
      </c>
      <c r="H21" s="59" t="s">
        <v>422</v>
      </c>
      <c r="I21" s="41">
        <f t="shared" si="0"/>
        <v>0</v>
      </c>
    </row>
    <row r="22" spans="1:9" ht="12.75">
      <c r="A22" s="51"/>
      <c r="B22" s="17" t="s">
        <v>154</v>
      </c>
      <c r="C22" s="17" t="s">
        <v>273</v>
      </c>
      <c r="D22" s="41">
        <f>'Stavební rozpočet'!I69</f>
        <v>0</v>
      </c>
      <c r="E22" s="41">
        <f>'Stavební rozpočet'!J69</f>
        <v>0</v>
      </c>
      <c r="F22" s="41">
        <f>'Stavební rozpočet'!K69</f>
        <v>0</v>
      </c>
      <c r="G22" s="63">
        <f>'Stavební rozpočet'!M69</f>
        <v>0</v>
      </c>
      <c r="H22" s="59" t="s">
        <v>422</v>
      </c>
      <c r="I22" s="41">
        <f t="shared" si="0"/>
        <v>0</v>
      </c>
    </row>
    <row r="23" spans="1:9" ht="12.75">
      <c r="A23" s="51"/>
      <c r="B23" s="17" t="s">
        <v>156</v>
      </c>
      <c r="C23" s="17" t="s">
        <v>275</v>
      </c>
      <c r="D23" s="41">
        <f>'Stavební rozpočet'!I71</f>
        <v>0</v>
      </c>
      <c r="E23" s="41">
        <f>'Stavební rozpočet'!J71</f>
        <v>0</v>
      </c>
      <c r="F23" s="41">
        <f>'Stavební rozpočet'!K71</f>
        <v>0</v>
      </c>
      <c r="G23" s="63">
        <f>'Stavební rozpočet'!M71</f>
        <v>0.37324080000000004</v>
      </c>
      <c r="H23" s="59" t="s">
        <v>422</v>
      </c>
      <c r="I23" s="41">
        <f t="shared" si="0"/>
        <v>0</v>
      </c>
    </row>
    <row r="24" spans="1:9" ht="12.75">
      <c r="A24" s="51"/>
      <c r="B24" s="17" t="s">
        <v>159</v>
      </c>
      <c r="C24" s="17" t="s">
        <v>278</v>
      </c>
      <c r="D24" s="41">
        <f>'Stavební rozpočet'!I74</f>
        <v>0</v>
      </c>
      <c r="E24" s="41">
        <f>'Stavební rozpočet'!J74</f>
        <v>0</v>
      </c>
      <c r="F24" s="41">
        <f>'Stavební rozpočet'!K74</f>
        <v>0</v>
      </c>
      <c r="G24" s="63">
        <f>'Stavební rozpočet'!M74</f>
        <v>0</v>
      </c>
      <c r="H24" s="59" t="s">
        <v>422</v>
      </c>
      <c r="I24" s="41">
        <f t="shared" si="0"/>
        <v>0</v>
      </c>
    </row>
    <row r="25" spans="1:9" ht="12.75">
      <c r="A25" s="51"/>
      <c r="B25" s="17" t="s">
        <v>161</v>
      </c>
      <c r="C25" s="17" t="s">
        <v>280</v>
      </c>
      <c r="D25" s="41">
        <f>'Stavební rozpočet'!I76</f>
        <v>0</v>
      </c>
      <c r="E25" s="41">
        <f>'Stavební rozpočet'!J76</f>
        <v>0</v>
      </c>
      <c r="F25" s="41">
        <f>'Stavební rozpočet'!K76</f>
        <v>0</v>
      </c>
      <c r="G25" s="63">
        <f>'Stavební rozpočet'!M76</f>
        <v>0.0876372</v>
      </c>
      <c r="H25" s="59" t="s">
        <v>422</v>
      </c>
      <c r="I25" s="41">
        <f t="shared" si="0"/>
        <v>0</v>
      </c>
    </row>
    <row r="26" spans="1:9" ht="12.75">
      <c r="A26" s="51"/>
      <c r="B26" s="17" t="s">
        <v>165</v>
      </c>
      <c r="C26" s="17" t="s">
        <v>284</v>
      </c>
      <c r="D26" s="41">
        <f>'Stavební rozpočet'!I80</f>
        <v>0</v>
      </c>
      <c r="E26" s="41">
        <f>'Stavební rozpočet'!J80</f>
        <v>0</v>
      </c>
      <c r="F26" s="41">
        <f>'Stavební rozpočet'!K80</f>
        <v>0</v>
      </c>
      <c r="G26" s="63">
        <f>'Stavební rozpočet'!M80</f>
        <v>0.0401828</v>
      </c>
      <c r="H26" s="59" t="s">
        <v>422</v>
      </c>
      <c r="I26" s="41">
        <f t="shared" si="0"/>
        <v>0</v>
      </c>
    </row>
    <row r="27" spans="1:9" ht="12.75">
      <c r="A27" s="51"/>
      <c r="B27" s="17" t="s">
        <v>169</v>
      </c>
      <c r="C27" s="17" t="s">
        <v>288</v>
      </c>
      <c r="D27" s="41">
        <f>'Stavební rozpočet'!I84</f>
        <v>0</v>
      </c>
      <c r="E27" s="41">
        <f>'Stavební rozpočet'!J84</f>
        <v>0</v>
      </c>
      <c r="F27" s="41">
        <f>'Stavební rozpočet'!K84</f>
        <v>0</v>
      </c>
      <c r="G27" s="63">
        <f>'Stavební rozpočet'!M84</f>
        <v>1.5519066</v>
      </c>
      <c r="H27" s="59" t="s">
        <v>422</v>
      </c>
      <c r="I27" s="41">
        <f t="shared" si="0"/>
        <v>0</v>
      </c>
    </row>
    <row r="28" spans="1:9" ht="12.75">
      <c r="A28" s="51"/>
      <c r="B28" s="17" t="s">
        <v>175</v>
      </c>
      <c r="C28" s="17" t="s">
        <v>294</v>
      </c>
      <c r="D28" s="41">
        <f>'Stavební rozpočet'!I90</f>
        <v>0</v>
      </c>
      <c r="E28" s="41">
        <f>'Stavební rozpočet'!J90</f>
        <v>0</v>
      </c>
      <c r="F28" s="41">
        <f>'Stavební rozpočet'!K90</f>
        <v>0</v>
      </c>
      <c r="G28" s="63">
        <f>'Stavební rozpočet'!M90</f>
        <v>0.09033</v>
      </c>
      <c r="H28" s="59" t="s">
        <v>422</v>
      </c>
      <c r="I28" s="41">
        <f t="shared" si="0"/>
        <v>0</v>
      </c>
    </row>
    <row r="29" spans="1:9" ht="12.75">
      <c r="A29" s="51"/>
      <c r="B29" s="17" t="s">
        <v>177</v>
      </c>
      <c r="C29" s="17" t="s">
        <v>296</v>
      </c>
      <c r="D29" s="41">
        <f>'Stavební rozpočet'!I92</f>
        <v>0</v>
      </c>
      <c r="E29" s="41">
        <f>'Stavební rozpočet'!J92</f>
        <v>0</v>
      </c>
      <c r="F29" s="41">
        <f>'Stavební rozpočet'!K92</f>
        <v>0</v>
      </c>
      <c r="G29" s="63">
        <f>'Stavební rozpočet'!M92</f>
        <v>0</v>
      </c>
      <c r="H29" s="59" t="s">
        <v>422</v>
      </c>
      <c r="I29" s="41">
        <f t="shared" si="0"/>
        <v>0</v>
      </c>
    </row>
    <row r="30" spans="1:9" ht="12.75">
      <c r="A30" s="51"/>
      <c r="B30" s="17" t="s">
        <v>179</v>
      </c>
      <c r="C30" s="17" t="s">
        <v>298</v>
      </c>
      <c r="D30" s="41">
        <f>'Stavební rozpočet'!I94</f>
        <v>0</v>
      </c>
      <c r="E30" s="41">
        <f>'Stavební rozpočet'!J94</f>
        <v>0</v>
      </c>
      <c r="F30" s="41">
        <f>'Stavební rozpočet'!K94</f>
        <v>0</v>
      </c>
      <c r="G30" s="63">
        <f>'Stavební rozpočet'!M94</f>
        <v>0</v>
      </c>
      <c r="H30" s="59" t="s">
        <v>422</v>
      </c>
      <c r="I30" s="41">
        <f t="shared" si="0"/>
        <v>0</v>
      </c>
    </row>
    <row r="31" spans="1:9" ht="12.75">
      <c r="A31" s="51"/>
      <c r="B31" s="17" t="s">
        <v>182</v>
      </c>
      <c r="C31" s="17" t="s">
        <v>301</v>
      </c>
      <c r="D31" s="41">
        <f>'Stavební rozpočet'!I97</f>
        <v>0</v>
      </c>
      <c r="E31" s="41">
        <f>'Stavební rozpočet'!J97</f>
        <v>0</v>
      </c>
      <c r="F31" s="41">
        <f>'Stavební rozpočet'!K97</f>
        <v>0</v>
      </c>
      <c r="G31" s="63">
        <f>'Stavební rozpočet'!M97</f>
        <v>0.00013</v>
      </c>
      <c r="H31" s="59" t="s">
        <v>422</v>
      </c>
      <c r="I31" s="41">
        <f t="shared" si="0"/>
        <v>0</v>
      </c>
    </row>
    <row r="32" spans="1:9" ht="12.75">
      <c r="A32" s="51"/>
      <c r="B32" s="17" t="s">
        <v>184</v>
      </c>
      <c r="C32" s="17" t="s">
        <v>303</v>
      </c>
      <c r="D32" s="41">
        <f>'Stavební rozpočet'!I99</f>
        <v>0</v>
      </c>
      <c r="E32" s="41">
        <f>'Stavební rozpočet'!J99</f>
        <v>0</v>
      </c>
      <c r="F32" s="41">
        <f>'Stavební rozpočet'!K99</f>
        <v>0</v>
      </c>
      <c r="G32" s="63">
        <f>'Stavební rozpočet'!M99</f>
        <v>0</v>
      </c>
      <c r="H32" s="59" t="s">
        <v>422</v>
      </c>
      <c r="I32" s="41">
        <f t="shared" si="0"/>
        <v>0</v>
      </c>
    </row>
    <row r="33" spans="1:9" ht="12.75">
      <c r="A33" s="52"/>
      <c r="B33" s="55"/>
      <c r="C33" s="55" t="s">
        <v>312</v>
      </c>
      <c r="D33" s="61">
        <f>'Stavební rozpočet'!I108</f>
        <v>0</v>
      </c>
      <c r="E33" s="61">
        <f>'Stavební rozpočet'!J108</f>
        <v>0</v>
      </c>
      <c r="F33" s="61">
        <f>'Stavební rozpočet'!K108</f>
        <v>0</v>
      </c>
      <c r="G33" s="64">
        <f>'Stavební rozpočet'!M108</f>
        <v>0.31670999999999994</v>
      </c>
      <c r="H33" s="59" t="s">
        <v>422</v>
      </c>
      <c r="I33" s="41">
        <f t="shared" si="0"/>
        <v>0</v>
      </c>
    </row>
    <row r="34" spans="1:7" ht="12.75">
      <c r="A34" s="8"/>
      <c r="B34" s="8"/>
      <c r="C34" s="8"/>
      <c r="D34" s="8"/>
      <c r="E34" s="27" t="s">
        <v>356</v>
      </c>
      <c r="F34" s="48">
        <f>SUM(I11:I33)</f>
        <v>0</v>
      </c>
      <c r="G34" s="8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09" t="s">
        <v>423</v>
      </c>
      <c r="B1" s="110"/>
      <c r="C1" s="110"/>
      <c r="D1" s="110"/>
      <c r="E1" s="110"/>
      <c r="F1" s="110"/>
      <c r="G1" s="110"/>
      <c r="H1" s="110"/>
    </row>
    <row r="2" spans="1:9" ht="12.75">
      <c r="A2" s="111" t="s">
        <v>0</v>
      </c>
      <c r="B2" s="112"/>
      <c r="C2" s="115" t="str">
        <f>'Stavební rozpočet'!D2</f>
        <v>OPRAVA SESTEREN A KLUBOVEN</v>
      </c>
      <c r="D2" s="116"/>
      <c r="E2" s="119" t="s">
        <v>350</v>
      </c>
      <c r="F2" s="119" t="str">
        <f>'Stavební rozpočet'!J2</f>
        <v> </v>
      </c>
      <c r="G2" s="112"/>
      <c r="H2" s="120"/>
      <c r="I2" s="39"/>
    </row>
    <row r="3" spans="1:9" ht="12.75">
      <c r="A3" s="113"/>
      <c r="B3" s="114"/>
      <c r="C3" s="117"/>
      <c r="D3" s="117"/>
      <c r="E3" s="114"/>
      <c r="F3" s="114"/>
      <c r="G3" s="114"/>
      <c r="H3" s="121"/>
      <c r="I3" s="39"/>
    </row>
    <row r="4" spans="1:9" ht="12.75">
      <c r="A4" s="122" t="s">
        <v>1</v>
      </c>
      <c r="B4" s="114"/>
      <c r="C4" s="123" t="str">
        <f>'Stavební rozpočet'!D4</f>
        <v>Objekt DS 2 - 4. N.p. - klubovna</v>
      </c>
      <c r="D4" s="114"/>
      <c r="E4" s="123" t="s">
        <v>351</v>
      </c>
      <c r="F4" s="123" t="str">
        <f>'Stavební rozpočet'!J4</f>
        <v> </v>
      </c>
      <c r="G4" s="114"/>
      <c r="H4" s="121"/>
      <c r="I4" s="39"/>
    </row>
    <row r="5" spans="1:9" ht="12.75">
      <c r="A5" s="113"/>
      <c r="B5" s="114"/>
      <c r="C5" s="114"/>
      <c r="D5" s="114"/>
      <c r="E5" s="114"/>
      <c r="F5" s="114"/>
      <c r="G5" s="114"/>
      <c r="H5" s="121"/>
      <c r="I5" s="39"/>
    </row>
    <row r="6" spans="1:9" ht="12.75">
      <c r="A6" s="122" t="s">
        <v>2</v>
      </c>
      <c r="B6" s="114"/>
      <c r="C6" s="123" t="str">
        <f>'Stavební rozpočet'!D6</f>
        <v>Domov Sedlčany, poskytovatel sociálních služeb</v>
      </c>
      <c r="D6" s="114"/>
      <c r="E6" s="123" t="s">
        <v>352</v>
      </c>
      <c r="F6" s="123" t="str">
        <f>'Stavební rozpočet'!J6</f>
        <v> </v>
      </c>
      <c r="G6" s="114"/>
      <c r="H6" s="121"/>
      <c r="I6" s="39"/>
    </row>
    <row r="7" spans="1:9" ht="12.75">
      <c r="A7" s="113"/>
      <c r="B7" s="114"/>
      <c r="C7" s="114"/>
      <c r="D7" s="114"/>
      <c r="E7" s="114"/>
      <c r="F7" s="114"/>
      <c r="G7" s="114"/>
      <c r="H7" s="121"/>
      <c r="I7" s="39"/>
    </row>
    <row r="8" spans="1:9" ht="12.75">
      <c r="A8" s="122" t="s">
        <v>353</v>
      </c>
      <c r="B8" s="114"/>
      <c r="C8" s="123" t="str">
        <f>'Stavební rozpočet'!J8</f>
        <v>Mgr. Josef Šimonvský</v>
      </c>
      <c r="D8" s="114"/>
      <c r="E8" s="123" t="s">
        <v>335</v>
      </c>
      <c r="F8" s="123" t="str">
        <f>'Stavební rozpočet'!H8</f>
        <v>31.10.2021</v>
      </c>
      <c r="G8" s="114"/>
      <c r="H8" s="121"/>
      <c r="I8" s="39"/>
    </row>
    <row r="9" spans="1:9" ht="12.75">
      <c r="A9" s="125"/>
      <c r="B9" s="126"/>
      <c r="C9" s="126"/>
      <c r="D9" s="126"/>
      <c r="E9" s="126"/>
      <c r="F9" s="126"/>
      <c r="G9" s="126"/>
      <c r="H9" s="127"/>
      <c r="I9" s="39"/>
    </row>
    <row r="10" spans="1:9" ht="12.75">
      <c r="A10" s="65" t="s">
        <v>4</v>
      </c>
      <c r="B10" s="66" t="s">
        <v>100</v>
      </c>
      <c r="C10" s="66" t="s">
        <v>101</v>
      </c>
      <c r="D10" s="148" t="s">
        <v>214</v>
      </c>
      <c r="E10" s="149"/>
      <c r="F10" s="66" t="s">
        <v>336</v>
      </c>
      <c r="G10" s="67" t="s">
        <v>343</v>
      </c>
      <c r="H10" s="68" t="s">
        <v>424</v>
      </c>
      <c r="I10" s="40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99</v>
      </c>
    </row>
    <row r="13" spans="1:7" ht="12.75">
      <c r="A13" s="123"/>
      <c r="B13" s="114"/>
      <c r="C13" s="114"/>
      <c r="D13" s="114"/>
      <c r="E13" s="114"/>
      <c r="F13" s="114"/>
      <c r="G13" s="114"/>
    </row>
  </sheetData>
  <sheetProtection/>
  <mergeCells count="19"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109" t="s">
        <v>425</v>
      </c>
      <c r="B1" s="110"/>
      <c r="C1" s="110"/>
      <c r="D1" s="110"/>
      <c r="E1" s="110"/>
      <c r="F1" s="110"/>
      <c r="G1" s="110"/>
      <c r="H1" s="110"/>
    </row>
    <row r="2" spans="1:9" ht="12.75">
      <c r="A2" s="111" t="s">
        <v>0</v>
      </c>
      <c r="B2" s="115" t="str">
        <f>'Stavební rozpočet'!D2</f>
        <v>OPRAVA SESTEREN A KLUBOVEN</v>
      </c>
      <c r="C2" s="118" t="s">
        <v>332</v>
      </c>
      <c r="D2" s="119" t="str">
        <f>'Stavební rozpočet'!H2</f>
        <v>137 dní</v>
      </c>
      <c r="E2" s="112"/>
      <c r="F2" s="119" t="s">
        <v>350</v>
      </c>
      <c r="G2" s="119" t="str">
        <f>'Stavební rozpočet'!J2</f>
        <v> </v>
      </c>
      <c r="H2" s="120"/>
      <c r="I2" s="39"/>
    </row>
    <row r="3" spans="1:9" ht="12.75">
      <c r="A3" s="113"/>
      <c r="B3" s="117"/>
      <c r="C3" s="114"/>
      <c r="D3" s="114"/>
      <c r="E3" s="114"/>
      <c r="F3" s="114"/>
      <c r="G3" s="114"/>
      <c r="H3" s="121"/>
      <c r="I3" s="39"/>
    </row>
    <row r="4" spans="1:9" ht="12.75">
      <c r="A4" s="122" t="s">
        <v>1</v>
      </c>
      <c r="B4" s="123" t="str">
        <f>'Stavební rozpočet'!D4</f>
        <v>Objekt DS 2 - 4. N.p. - klubovna</v>
      </c>
      <c r="C4" s="124" t="s">
        <v>333</v>
      </c>
      <c r="D4" s="123" t="str">
        <f>'Stavební rozpočet'!H4</f>
        <v>15.11.2021</v>
      </c>
      <c r="E4" s="114"/>
      <c r="F4" s="123" t="s">
        <v>351</v>
      </c>
      <c r="G4" s="123" t="str">
        <f>'Stavební rozpočet'!J4</f>
        <v> </v>
      </c>
      <c r="H4" s="121"/>
      <c r="I4" s="39"/>
    </row>
    <row r="5" spans="1:9" ht="12.75">
      <c r="A5" s="113"/>
      <c r="B5" s="114"/>
      <c r="C5" s="114"/>
      <c r="D5" s="114"/>
      <c r="E5" s="114"/>
      <c r="F5" s="114"/>
      <c r="G5" s="114"/>
      <c r="H5" s="121"/>
      <c r="I5" s="39"/>
    </row>
    <row r="6" spans="1:9" ht="12.75">
      <c r="A6" s="122" t="s">
        <v>2</v>
      </c>
      <c r="B6" s="123" t="str">
        <f>'Stavební rozpočet'!D6</f>
        <v>Domov Sedlčany, poskytovatel sociálních služeb</v>
      </c>
      <c r="C6" s="124" t="s">
        <v>334</v>
      </c>
      <c r="D6" s="123" t="str">
        <f>'Stavební rozpočet'!H6</f>
        <v>31.03.2022</v>
      </c>
      <c r="E6" s="114"/>
      <c r="F6" s="123" t="s">
        <v>352</v>
      </c>
      <c r="G6" s="123" t="str">
        <f>'Stavební rozpočet'!J6</f>
        <v> </v>
      </c>
      <c r="H6" s="121"/>
      <c r="I6" s="39"/>
    </row>
    <row r="7" spans="1:9" ht="12.75">
      <c r="A7" s="113"/>
      <c r="B7" s="114"/>
      <c r="C7" s="114"/>
      <c r="D7" s="114"/>
      <c r="E7" s="114"/>
      <c r="F7" s="114"/>
      <c r="G7" s="114"/>
      <c r="H7" s="121"/>
      <c r="I7" s="39"/>
    </row>
    <row r="8" spans="1:9" ht="12.75">
      <c r="A8" s="122" t="s">
        <v>3</v>
      </c>
      <c r="B8" s="123">
        <f>'Stavební rozpočet'!D8</f>
        <v>8012122</v>
      </c>
      <c r="C8" s="124" t="s">
        <v>335</v>
      </c>
      <c r="D8" s="123" t="str">
        <f>'Stavební rozpočet'!H8</f>
        <v>31.10.2021</v>
      </c>
      <c r="E8" s="114"/>
      <c r="F8" s="123" t="s">
        <v>353</v>
      </c>
      <c r="G8" s="123" t="str">
        <f>'Stavební rozpočet'!J8</f>
        <v>Mgr. Josef Šimonvský</v>
      </c>
      <c r="H8" s="121"/>
      <c r="I8" s="39"/>
    </row>
    <row r="9" spans="1:9" ht="12.75">
      <c r="A9" s="153"/>
      <c r="B9" s="154"/>
      <c r="C9" s="154"/>
      <c r="D9" s="154"/>
      <c r="E9" s="154"/>
      <c r="F9" s="154"/>
      <c r="G9" s="154"/>
      <c r="H9" s="155"/>
      <c r="I9" s="39"/>
    </row>
    <row r="10" spans="1:9" ht="12.75">
      <c r="A10" s="69" t="s">
        <v>101</v>
      </c>
      <c r="B10" s="71" t="s">
        <v>214</v>
      </c>
      <c r="C10" s="73" t="s">
        <v>426</v>
      </c>
      <c r="D10" s="73" t="s">
        <v>427</v>
      </c>
      <c r="E10" s="73" t="s">
        <v>428</v>
      </c>
      <c r="F10" s="150" t="s">
        <v>429</v>
      </c>
      <c r="G10" s="151"/>
      <c r="H10" s="152"/>
      <c r="I10" s="40"/>
    </row>
    <row r="11" spans="1:8" ht="11.25" customHeight="1">
      <c r="A11" s="70" t="s">
        <v>99</v>
      </c>
      <c r="B11" s="72"/>
      <c r="C11" s="72"/>
      <c r="D11" s="72"/>
      <c r="E11" s="72"/>
      <c r="F11" s="72"/>
      <c r="G11" s="72"/>
      <c r="H11" s="72"/>
    </row>
    <row r="12" spans="1:8" ht="12.75">
      <c r="A12" s="123"/>
      <c r="B12" s="114"/>
      <c r="C12" s="114"/>
      <c r="D12" s="114"/>
      <c r="E12" s="114"/>
      <c r="F12" s="114"/>
      <c r="G12" s="114"/>
      <c r="H12" s="114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109" t="s">
        <v>430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12.75">
      <c r="A2" s="111" t="s">
        <v>0</v>
      </c>
      <c r="B2" s="115" t="str">
        <f>'Stavební rozpočet'!D2</f>
        <v>OPRAVA SESTEREN A KLUBOVEN</v>
      </c>
      <c r="C2" s="116"/>
      <c r="D2" s="116"/>
      <c r="E2" s="118" t="s">
        <v>332</v>
      </c>
      <c r="F2" s="119" t="str">
        <f>'Stavební rozpočet'!H2</f>
        <v>137 dní</v>
      </c>
      <c r="G2" s="119" t="s">
        <v>350</v>
      </c>
      <c r="H2" s="119" t="str">
        <f>'Stavební rozpočet'!J2</f>
        <v> </v>
      </c>
      <c r="I2" s="112"/>
      <c r="J2" s="112"/>
      <c r="K2" s="112"/>
      <c r="L2" s="112"/>
      <c r="M2" s="112"/>
      <c r="N2" s="112"/>
      <c r="O2" s="120"/>
      <c r="P2" s="39"/>
    </row>
    <row r="3" spans="1:16" ht="12.75">
      <c r="A3" s="113"/>
      <c r="B3" s="117"/>
      <c r="C3" s="117"/>
      <c r="D3" s="11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21"/>
      <c r="P3" s="39"/>
    </row>
    <row r="4" spans="1:16" ht="12.75">
      <c r="A4" s="122" t="s">
        <v>1</v>
      </c>
      <c r="B4" s="123" t="str">
        <f>'Stavební rozpočet'!D4</f>
        <v>Objekt DS 2 - 4. N.p. - klubovna</v>
      </c>
      <c r="C4" s="114"/>
      <c r="D4" s="114"/>
      <c r="E4" s="124" t="s">
        <v>333</v>
      </c>
      <c r="F4" s="123" t="str">
        <f>'Stavební rozpočet'!H4</f>
        <v>15.11.2021</v>
      </c>
      <c r="G4" s="123" t="s">
        <v>351</v>
      </c>
      <c r="H4" s="123" t="str">
        <f>'Stavební rozpočet'!J4</f>
        <v> </v>
      </c>
      <c r="I4" s="114"/>
      <c r="J4" s="114"/>
      <c r="K4" s="114"/>
      <c r="L4" s="114"/>
      <c r="M4" s="114"/>
      <c r="N4" s="114"/>
      <c r="O4" s="121"/>
      <c r="P4" s="39"/>
    </row>
    <row r="5" spans="1:16" ht="12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21"/>
      <c r="P5" s="39"/>
    </row>
    <row r="6" spans="1:16" ht="12.75">
      <c r="A6" s="122" t="s">
        <v>2</v>
      </c>
      <c r="B6" s="123" t="str">
        <f>'Stavební rozpočet'!D6</f>
        <v>Domov Sedlčany, poskytovatel sociálních služeb</v>
      </c>
      <c r="C6" s="114"/>
      <c r="D6" s="114"/>
      <c r="E6" s="124" t="s">
        <v>334</v>
      </c>
      <c r="F6" s="123" t="str">
        <f>'Stavební rozpočet'!H6</f>
        <v>31.03.2022</v>
      </c>
      <c r="G6" s="123" t="s">
        <v>352</v>
      </c>
      <c r="H6" s="123" t="str">
        <f>'Stavební rozpočet'!J6</f>
        <v> </v>
      </c>
      <c r="I6" s="114"/>
      <c r="J6" s="114"/>
      <c r="K6" s="114"/>
      <c r="L6" s="114"/>
      <c r="M6" s="114"/>
      <c r="N6" s="114"/>
      <c r="O6" s="121"/>
      <c r="P6" s="39"/>
    </row>
    <row r="7" spans="1:16" ht="12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21"/>
      <c r="P7" s="39"/>
    </row>
    <row r="8" spans="1:16" ht="12.75">
      <c r="A8" s="122" t="s">
        <v>3</v>
      </c>
      <c r="B8" s="123">
        <f>'Stavební rozpočet'!D8</f>
        <v>8012122</v>
      </c>
      <c r="C8" s="114"/>
      <c r="D8" s="114"/>
      <c r="E8" s="124" t="s">
        <v>335</v>
      </c>
      <c r="F8" s="123" t="str">
        <f>'Stavební rozpočet'!H8</f>
        <v>31.10.2021</v>
      </c>
      <c r="G8" s="123" t="s">
        <v>353</v>
      </c>
      <c r="H8" s="123" t="str">
        <f>'Stavební rozpočet'!J8</f>
        <v>Mgr. Josef Šimonvský</v>
      </c>
      <c r="I8" s="114"/>
      <c r="J8" s="114"/>
      <c r="K8" s="114"/>
      <c r="L8" s="114"/>
      <c r="M8" s="114"/>
      <c r="N8" s="114"/>
      <c r="O8" s="121"/>
      <c r="P8" s="39"/>
    </row>
    <row r="9" spans="1:16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39"/>
    </row>
    <row r="10" spans="1:16" ht="12.75">
      <c r="A10" s="49" t="s">
        <v>4</v>
      </c>
      <c r="B10" s="49" t="s">
        <v>100</v>
      </c>
      <c r="C10" s="53" t="s">
        <v>101</v>
      </c>
      <c r="D10" s="156" t="s">
        <v>214</v>
      </c>
      <c r="E10" s="157"/>
      <c r="F10" s="76" t="s">
        <v>431</v>
      </c>
      <c r="G10" s="76" t="s">
        <v>432</v>
      </c>
      <c r="H10" s="76" t="s">
        <v>433</v>
      </c>
      <c r="I10" s="76" t="s">
        <v>434</v>
      </c>
      <c r="J10" s="76" t="s">
        <v>343</v>
      </c>
      <c r="K10" s="76" t="s">
        <v>435</v>
      </c>
      <c r="L10" s="77" t="s">
        <v>436</v>
      </c>
      <c r="M10" s="81" t="s">
        <v>437</v>
      </c>
      <c r="N10" s="76" t="s">
        <v>438</v>
      </c>
      <c r="O10" s="77" t="s">
        <v>439</v>
      </c>
      <c r="P10" s="40"/>
    </row>
    <row r="11" spans="1:31" ht="12.75">
      <c r="A11" s="74"/>
      <c r="B11" s="12"/>
      <c r="C11" s="12" t="s">
        <v>36</v>
      </c>
      <c r="D11" s="135" t="s">
        <v>216</v>
      </c>
      <c r="E11" s="136"/>
      <c r="F11" s="46">
        <f>SUM(F12:F14)</f>
        <v>0</v>
      </c>
      <c r="G11" s="46">
        <f>SUM(G12:G14)</f>
        <v>0</v>
      </c>
      <c r="H11" s="46">
        <f aca="true" t="shared" si="0" ref="H11:H42">G11-F11</f>
        <v>0</v>
      </c>
      <c r="I11" s="46">
        <f aca="true" t="shared" si="1" ref="I11:I42">IF(F11=0,0,H11/F11*100)</f>
        <v>0</v>
      </c>
      <c r="J11" s="46">
        <f>SUM(J12:J14)</f>
        <v>3</v>
      </c>
      <c r="K11" s="46">
        <f>SUM(K12:K14)</f>
        <v>0</v>
      </c>
      <c r="L11" s="82">
        <f>J11-K11</f>
        <v>3</v>
      </c>
      <c r="M11" s="84" t="str">
        <f aca="true" t="shared" si="2" ref="M11:M42">IF(G11=0,"Nefakturováno",AE11)</f>
        <v>Nefakturováno</v>
      </c>
      <c r="N11" s="46">
        <f aca="true" t="shared" si="3" ref="N11:N42">AE11-G11</f>
        <v>0</v>
      </c>
      <c r="O11" s="89">
        <f aca="true" t="shared" si="4" ref="O11:O42">IF(G11&lt;&gt;0,N11/G11*100,-100)</f>
        <v>-100</v>
      </c>
      <c r="P11" s="39"/>
      <c r="AE11" s="41">
        <v>0</v>
      </c>
    </row>
    <row r="12" spans="1:31" ht="12.75">
      <c r="A12" s="4" t="s">
        <v>6</v>
      </c>
      <c r="B12" s="13"/>
      <c r="C12" s="13" t="s">
        <v>102</v>
      </c>
      <c r="D12" s="137" t="s">
        <v>217</v>
      </c>
      <c r="E12" s="138"/>
      <c r="F12" s="21">
        <f>'Stavební rozpočet'!K13</f>
        <v>0</v>
      </c>
      <c r="G12" s="21">
        <v>0</v>
      </c>
      <c r="H12" s="21">
        <f t="shared" si="0"/>
        <v>0</v>
      </c>
      <c r="I12" s="21">
        <f t="shared" si="1"/>
        <v>0</v>
      </c>
      <c r="J12" s="21">
        <f>'Stavební rozpočet'!G13</f>
        <v>1</v>
      </c>
      <c r="K12" s="21">
        <v>0</v>
      </c>
      <c r="L12" s="78">
        <v>1</v>
      </c>
      <c r="M12" s="85" t="str">
        <f t="shared" si="2"/>
        <v>Nefakturováno</v>
      </c>
      <c r="N12" s="21">
        <f t="shared" si="3"/>
        <v>0</v>
      </c>
      <c r="O12" s="90">
        <f t="shared" si="4"/>
        <v>-100</v>
      </c>
      <c r="P12" s="39"/>
      <c r="AE12" s="21">
        <v>0</v>
      </c>
    </row>
    <row r="13" spans="1:31" ht="12.75">
      <c r="A13" s="4" t="s">
        <v>7</v>
      </c>
      <c r="B13" s="13"/>
      <c r="C13" s="13" t="s">
        <v>103</v>
      </c>
      <c r="D13" s="137" t="s">
        <v>218</v>
      </c>
      <c r="E13" s="138"/>
      <c r="F13" s="21">
        <f>'Stavební rozpočet'!K14</f>
        <v>0</v>
      </c>
      <c r="G13" s="21">
        <v>0</v>
      </c>
      <c r="H13" s="21">
        <f t="shared" si="0"/>
        <v>0</v>
      </c>
      <c r="I13" s="21">
        <f t="shared" si="1"/>
        <v>0</v>
      </c>
      <c r="J13" s="21">
        <f>'Stavební rozpočet'!G14</f>
        <v>1</v>
      </c>
      <c r="K13" s="21">
        <v>0</v>
      </c>
      <c r="L13" s="78">
        <v>1</v>
      </c>
      <c r="M13" s="85" t="str">
        <f t="shared" si="2"/>
        <v>Nefakturováno</v>
      </c>
      <c r="N13" s="21">
        <f t="shared" si="3"/>
        <v>0</v>
      </c>
      <c r="O13" s="90">
        <f t="shared" si="4"/>
        <v>-100</v>
      </c>
      <c r="P13" s="39"/>
      <c r="AE13" s="21">
        <v>0</v>
      </c>
    </row>
    <row r="14" spans="1:31" ht="12.75">
      <c r="A14" s="4" t="s">
        <v>8</v>
      </c>
      <c r="B14" s="13"/>
      <c r="C14" s="13" t="s">
        <v>104</v>
      </c>
      <c r="D14" s="137" t="s">
        <v>219</v>
      </c>
      <c r="E14" s="138"/>
      <c r="F14" s="21">
        <f>'Stavební rozpočet'!K15</f>
        <v>0</v>
      </c>
      <c r="G14" s="21">
        <v>0</v>
      </c>
      <c r="H14" s="21">
        <f t="shared" si="0"/>
        <v>0</v>
      </c>
      <c r="I14" s="21">
        <f t="shared" si="1"/>
        <v>0</v>
      </c>
      <c r="J14" s="21">
        <f>'Stavební rozpočet'!G15</f>
        <v>1</v>
      </c>
      <c r="K14" s="21">
        <v>0</v>
      </c>
      <c r="L14" s="78">
        <v>1</v>
      </c>
      <c r="M14" s="85" t="str">
        <f t="shared" si="2"/>
        <v>Nefakturováno</v>
      </c>
      <c r="N14" s="21">
        <f t="shared" si="3"/>
        <v>0</v>
      </c>
      <c r="O14" s="90">
        <f t="shared" si="4"/>
        <v>-100</v>
      </c>
      <c r="P14" s="39"/>
      <c r="AE14" s="21">
        <v>0</v>
      </c>
    </row>
    <row r="15" spans="1:31" ht="12.75">
      <c r="A15" s="75"/>
      <c r="B15" s="14"/>
      <c r="C15" s="14" t="s">
        <v>39</v>
      </c>
      <c r="D15" s="139" t="s">
        <v>220</v>
      </c>
      <c r="E15" s="140"/>
      <c r="F15" s="47">
        <f>SUM(F16:F19)</f>
        <v>0</v>
      </c>
      <c r="G15" s="47">
        <f>SUM(G16:G19)</f>
        <v>0</v>
      </c>
      <c r="H15" s="47">
        <f t="shared" si="0"/>
        <v>0</v>
      </c>
      <c r="I15" s="47">
        <f t="shared" si="1"/>
        <v>0</v>
      </c>
      <c r="J15" s="47">
        <f>SUM(J16:J19)</f>
        <v>25.099999999999998</v>
      </c>
      <c r="K15" s="47">
        <f>SUM(K16:K19)</f>
        <v>0</v>
      </c>
      <c r="L15" s="83">
        <f>J15-K15</f>
        <v>25.099999999999998</v>
      </c>
      <c r="M15" s="86" t="str">
        <f t="shared" si="2"/>
        <v>Nefakturováno</v>
      </c>
      <c r="N15" s="47">
        <f t="shared" si="3"/>
        <v>0</v>
      </c>
      <c r="O15" s="91">
        <f t="shared" si="4"/>
        <v>-100</v>
      </c>
      <c r="P15" s="39"/>
      <c r="AE15" s="21">
        <v>0</v>
      </c>
    </row>
    <row r="16" spans="1:31" ht="12.75">
      <c r="A16" s="4" t="s">
        <v>9</v>
      </c>
      <c r="B16" s="13"/>
      <c r="C16" s="13" t="s">
        <v>105</v>
      </c>
      <c r="D16" s="137" t="s">
        <v>221</v>
      </c>
      <c r="E16" s="138"/>
      <c r="F16" s="21">
        <f>'Stavební rozpočet'!K17</f>
        <v>0</v>
      </c>
      <c r="G16" s="21">
        <v>0</v>
      </c>
      <c r="H16" s="21">
        <f t="shared" si="0"/>
        <v>0</v>
      </c>
      <c r="I16" s="21">
        <f t="shared" si="1"/>
        <v>0</v>
      </c>
      <c r="J16" s="21">
        <f>'Stavební rozpočet'!G17</f>
        <v>16.49</v>
      </c>
      <c r="K16" s="21">
        <v>0</v>
      </c>
      <c r="L16" s="78">
        <v>16.49</v>
      </c>
      <c r="M16" s="85" t="str">
        <f t="shared" si="2"/>
        <v>Nefakturováno</v>
      </c>
      <c r="N16" s="21">
        <f t="shared" si="3"/>
        <v>0</v>
      </c>
      <c r="O16" s="90">
        <f t="shared" si="4"/>
        <v>-100</v>
      </c>
      <c r="P16" s="39"/>
      <c r="AE16" s="21">
        <v>0</v>
      </c>
    </row>
    <row r="17" spans="1:31" ht="12.75">
      <c r="A17" s="4" t="s">
        <v>10</v>
      </c>
      <c r="B17" s="13"/>
      <c r="C17" s="13" t="s">
        <v>106</v>
      </c>
      <c r="D17" s="137" t="s">
        <v>222</v>
      </c>
      <c r="E17" s="138"/>
      <c r="F17" s="21">
        <f>'Stavební rozpočet'!K18</f>
        <v>0</v>
      </c>
      <c r="G17" s="21">
        <v>0</v>
      </c>
      <c r="H17" s="21">
        <f t="shared" si="0"/>
        <v>0</v>
      </c>
      <c r="I17" s="21">
        <f t="shared" si="1"/>
        <v>0</v>
      </c>
      <c r="J17" s="21">
        <f>'Stavební rozpočet'!G18</f>
        <v>3.83</v>
      </c>
      <c r="K17" s="21">
        <v>0</v>
      </c>
      <c r="L17" s="78">
        <v>3.83</v>
      </c>
      <c r="M17" s="85" t="str">
        <f t="shared" si="2"/>
        <v>Nefakturováno</v>
      </c>
      <c r="N17" s="21">
        <f t="shared" si="3"/>
        <v>0</v>
      </c>
      <c r="O17" s="90">
        <f t="shared" si="4"/>
        <v>-100</v>
      </c>
      <c r="P17" s="39"/>
      <c r="AE17" s="21">
        <v>0</v>
      </c>
    </row>
    <row r="18" spans="1:31" ht="12.75">
      <c r="A18" s="4" t="s">
        <v>11</v>
      </c>
      <c r="B18" s="13"/>
      <c r="C18" s="13" t="s">
        <v>107</v>
      </c>
      <c r="D18" s="137" t="s">
        <v>223</v>
      </c>
      <c r="E18" s="138"/>
      <c r="F18" s="21">
        <f>'Stavební rozpočet'!K19</f>
        <v>0</v>
      </c>
      <c r="G18" s="21">
        <v>0</v>
      </c>
      <c r="H18" s="21">
        <f t="shared" si="0"/>
        <v>0</v>
      </c>
      <c r="I18" s="21">
        <f t="shared" si="1"/>
        <v>0</v>
      </c>
      <c r="J18" s="21">
        <f>'Stavební rozpočet'!G19</f>
        <v>2.4</v>
      </c>
      <c r="K18" s="21">
        <v>0</v>
      </c>
      <c r="L18" s="78">
        <v>2.4</v>
      </c>
      <c r="M18" s="85" t="str">
        <f t="shared" si="2"/>
        <v>Nefakturováno</v>
      </c>
      <c r="N18" s="21">
        <f t="shared" si="3"/>
        <v>0</v>
      </c>
      <c r="O18" s="90">
        <f t="shared" si="4"/>
        <v>-100</v>
      </c>
      <c r="P18" s="39"/>
      <c r="AE18" s="21">
        <v>0</v>
      </c>
    </row>
    <row r="19" spans="1:31" ht="12.75">
      <c r="A19" s="4" t="s">
        <v>12</v>
      </c>
      <c r="B19" s="13"/>
      <c r="C19" s="13" t="s">
        <v>108</v>
      </c>
      <c r="D19" s="137" t="s">
        <v>224</v>
      </c>
      <c r="E19" s="138"/>
      <c r="F19" s="21">
        <f>'Stavební rozpočet'!K20</f>
        <v>0</v>
      </c>
      <c r="G19" s="21">
        <v>0</v>
      </c>
      <c r="H19" s="21">
        <f t="shared" si="0"/>
        <v>0</v>
      </c>
      <c r="I19" s="21">
        <f t="shared" si="1"/>
        <v>0</v>
      </c>
      <c r="J19" s="21">
        <f>'Stavební rozpočet'!G20</f>
        <v>2.38</v>
      </c>
      <c r="K19" s="21">
        <v>0</v>
      </c>
      <c r="L19" s="78">
        <v>2.38</v>
      </c>
      <c r="M19" s="85" t="str">
        <f t="shared" si="2"/>
        <v>Nefakturováno</v>
      </c>
      <c r="N19" s="21">
        <f t="shared" si="3"/>
        <v>0</v>
      </c>
      <c r="O19" s="90">
        <f t="shared" si="4"/>
        <v>-100</v>
      </c>
      <c r="P19" s="39"/>
      <c r="AE19" s="21">
        <v>0</v>
      </c>
    </row>
    <row r="20" spans="1:31" ht="12.75">
      <c r="A20" s="75"/>
      <c r="B20" s="14"/>
      <c r="C20" s="14" t="s">
        <v>46</v>
      </c>
      <c r="D20" s="139" t="s">
        <v>225</v>
      </c>
      <c r="E20" s="140"/>
      <c r="F20" s="47">
        <f>SUM(F21:F22)</f>
        <v>0</v>
      </c>
      <c r="G20" s="47">
        <f>SUM(G21:G22)</f>
        <v>0</v>
      </c>
      <c r="H20" s="47">
        <f t="shared" si="0"/>
        <v>0</v>
      </c>
      <c r="I20" s="47">
        <f t="shared" si="1"/>
        <v>0</v>
      </c>
      <c r="J20" s="47">
        <f>SUM(J21:J22)</f>
        <v>3.12</v>
      </c>
      <c r="K20" s="47">
        <f>SUM(K21:K22)</f>
        <v>0</v>
      </c>
      <c r="L20" s="83">
        <f>J20-K20</f>
        <v>3.12</v>
      </c>
      <c r="M20" s="86" t="str">
        <f t="shared" si="2"/>
        <v>Nefakturováno</v>
      </c>
      <c r="N20" s="47">
        <f t="shared" si="3"/>
        <v>0</v>
      </c>
      <c r="O20" s="91">
        <f t="shared" si="4"/>
        <v>-100</v>
      </c>
      <c r="P20" s="39"/>
      <c r="AE20" s="21">
        <v>0</v>
      </c>
    </row>
    <row r="21" spans="1:31" ht="12.75">
      <c r="A21" s="4" t="s">
        <v>13</v>
      </c>
      <c r="B21" s="13"/>
      <c r="C21" s="13" t="s">
        <v>109</v>
      </c>
      <c r="D21" s="137" t="s">
        <v>226</v>
      </c>
      <c r="E21" s="138"/>
      <c r="F21" s="21">
        <f>'Stavební rozpočet'!K22</f>
        <v>0</v>
      </c>
      <c r="G21" s="21">
        <v>0</v>
      </c>
      <c r="H21" s="21">
        <f t="shared" si="0"/>
        <v>0</v>
      </c>
      <c r="I21" s="21">
        <f t="shared" si="1"/>
        <v>0</v>
      </c>
      <c r="J21" s="21">
        <f>'Stavební rozpočet'!G22</f>
        <v>1.56</v>
      </c>
      <c r="K21" s="21">
        <v>0</v>
      </c>
      <c r="L21" s="78">
        <v>1.56</v>
      </c>
      <c r="M21" s="85" t="str">
        <f t="shared" si="2"/>
        <v>Nefakturováno</v>
      </c>
      <c r="N21" s="21">
        <f t="shared" si="3"/>
        <v>0</v>
      </c>
      <c r="O21" s="90">
        <f t="shared" si="4"/>
        <v>-100</v>
      </c>
      <c r="P21" s="39"/>
      <c r="AE21" s="21">
        <v>0</v>
      </c>
    </row>
    <row r="22" spans="1:31" ht="12.75">
      <c r="A22" s="4" t="s">
        <v>14</v>
      </c>
      <c r="B22" s="13"/>
      <c r="C22" s="13" t="s">
        <v>110</v>
      </c>
      <c r="D22" s="137" t="s">
        <v>227</v>
      </c>
      <c r="E22" s="138"/>
      <c r="F22" s="21">
        <f>'Stavební rozpočet'!K23</f>
        <v>0</v>
      </c>
      <c r="G22" s="21">
        <v>0</v>
      </c>
      <c r="H22" s="21">
        <f t="shared" si="0"/>
        <v>0</v>
      </c>
      <c r="I22" s="21">
        <f t="shared" si="1"/>
        <v>0</v>
      </c>
      <c r="J22" s="21">
        <f>'Stavební rozpočet'!G23</f>
        <v>1.56</v>
      </c>
      <c r="K22" s="21">
        <v>0</v>
      </c>
      <c r="L22" s="78">
        <v>1.56</v>
      </c>
      <c r="M22" s="85" t="str">
        <f t="shared" si="2"/>
        <v>Nefakturováno</v>
      </c>
      <c r="N22" s="21">
        <f t="shared" si="3"/>
        <v>0</v>
      </c>
      <c r="O22" s="90">
        <f t="shared" si="4"/>
        <v>-100</v>
      </c>
      <c r="P22" s="39"/>
      <c r="AE22" s="21">
        <v>0</v>
      </c>
    </row>
    <row r="23" spans="1:31" ht="12.75">
      <c r="A23" s="75"/>
      <c r="B23" s="14"/>
      <c r="C23" s="14" t="s">
        <v>66</v>
      </c>
      <c r="D23" s="139" t="s">
        <v>228</v>
      </c>
      <c r="E23" s="140"/>
      <c r="F23" s="47">
        <f>SUM(F24:F27)</f>
        <v>0</v>
      </c>
      <c r="G23" s="47">
        <f>SUM(G24:G27)</f>
        <v>0</v>
      </c>
      <c r="H23" s="47">
        <f t="shared" si="0"/>
        <v>0</v>
      </c>
      <c r="I23" s="47">
        <f t="shared" si="1"/>
        <v>0</v>
      </c>
      <c r="J23" s="47">
        <f>SUM(J24:J27)</f>
        <v>96.3</v>
      </c>
      <c r="K23" s="47">
        <f>SUM(K24:K27)</f>
        <v>0</v>
      </c>
      <c r="L23" s="83">
        <f>J23-K23</f>
        <v>96.3</v>
      </c>
      <c r="M23" s="86" t="str">
        <f t="shared" si="2"/>
        <v>Nefakturováno</v>
      </c>
      <c r="N23" s="47">
        <f t="shared" si="3"/>
        <v>0</v>
      </c>
      <c r="O23" s="91">
        <f t="shared" si="4"/>
        <v>-100</v>
      </c>
      <c r="P23" s="39"/>
      <c r="AE23" s="21">
        <v>0</v>
      </c>
    </row>
    <row r="24" spans="1:31" ht="12.75">
      <c r="A24" s="4" t="s">
        <v>15</v>
      </c>
      <c r="B24" s="13"/>
      <c r="C24" s="13" t="s">
        <v>111</v>
      </c>
      <c r="D24" s="137" t="s">
        <v>229</v>
      </c>
      <c r="E24" s="138"/>
      <c r="F24" s="21">
        <f>'Stavební rozpočet'!K25</f>
        <v>0</v>
      </c>
      <c r="G24" s="21">
        <v>0</v>
      </c>
      <c r="H24" s="21">
        <f t="shared" si="0"/>
        <v>0</v>
      </c>
      <c r="I24" s="21">
        <f t="shared" si="1"/>
        <v>0</v>
      </c>
      <c r="J24" s="21">
        <f>'Stavební rozpočet'!G25</f>
        <v>32.15</v>
      </c>
      <c r="K24" s="21">
        <v>0</v>
      </c>
      <c r="L24" s="78">
        <v>32.15</v>
      </c>
      <c r="M24" s="85" t="str">
        <f t="shared" si="2"/>
        <v>Nefakturováno</v>
      </c>
      <c r="N24" s="21">
        <f t="shared" si="3"/>
        <v>0</v>
      </c>
      <c r="O24" s="90">
        <f t="shared" si="4"/>
        <v>-100</v>
      </c>
      <c r="P24" s="39"/>
      <c r="AE24" s="21">
        <v>0</v>
      </c>
    </row>
    <row r="25" spans="1:31" ht="12.75">
      <c r="A25" s="4" t="s">
        <v>16</v>
      </c>
      <c r="B25" s="13"/>
      <c r="C25" s="13" t="s">
        <v>112</v>
      </c>
      <c r="D25" s="137" t="s">
        <v>230</v>
      </c>
      <c r="E25" s="138"/>
      <c r="F25" s="21">
        <f>'Stavební rozpočet'!K26</f>
        <v>0</v>
      </c>
      <c r="G25" s="21">
        <v>0</v>
      </c>
      <c r="H25" s="21">
        <f t="shared" si="0"/>
        <v>0</v>
      </c>
      <c r="I25" s="21">
        <f t="shared" si="1"/>
        <v>0</v>
      </c>
      <c r="J25" s="21">
        <f>'Stavební rozpočet'!G26</f>
        <v>32.15</v>
      </c>
      <c r="K25" s="21">
        <v>0</v>
      </c>
      <c r="L25" s="78">
        <v>32.15</v>
      </c>
      <c r="M25" s="85" t="str">
        <f t="shared" si="2"/>
        <v>Nefakturováno</v>
      </c>
      <c r="N25" s="21">
        <f t="shared" si="3"/>
        <v>0</v>
      </c>
      <c r="O25" s="90">
        <f t="shared" si="4"/>
        <v>-100</v>
      </c>
      <c r="P25" s="39"/>
      <c r="AE25" s="21">
        <v>0</v>
      </c>
    </row>
    <row r="26" spans="1:31" ht="12.75">
      <c r="A26" s="4" t="s">
        <v>17</v>
      </c>
      <c r="B26" s="13"/>
      <c r="C26" s="13" t="s">
        <v>113</v>
      </c>
      <c r="D26" s="137" t="s">
        <v>231</v>
      </c>
      <c r="E26" s="138"/>
      <c r="F26" s="21">
        <f>'Stavební rozpočet'!K27</f>
        <v>0</v>
      </c>
      <c r="G26" s="21">
        <v>0</v>
      </c>
      <c r="H26" s="21">
        <f t="shared" si="0"/>
        <v>0</v>
      </c>
      <c r="I26" s="21">
        <f t="shared" si="1"/>
        <v>0</v>
      </c>
      <c r="J26" s="21">
        <f>'Stavební rozpočet'!G27</f>
        <v>8</v>
      </c>
      <c r="K26" s="21">
        <v>0</v>
      </c>
      <c r="L26" s="78">
        <v>8</v>
      </c>
      <c r="M26" s="85" t="str">
        <f t="shared" si="2"/>
        <v>Nefakturováno</v>
      </c>
      <c r="N26" s="21">
        <f t="shared" si="3"/>
        <v>0</v>
      </c>
      <c r="O26" s="90">
        <f t="shared" si="4"/>
        <v>-100</v>
      </c>
      <c r="P26" s="39"/>
      <c r="AE26" s="21">
        <v>0</v>
      </c>
    </row>
    <row r="27" spans="1:31" ht="12.75">
      <c r="A27" s="4" t="s">
        <v>18</v>
      </c>
      <c r="B27" s="13"/>
      <c r="C27" s="13" t="s">
        <v>114</v>
      </c>
      <c r="D27" s="137" t="s">
        <v>232</v>
      </c>
      <c r="E27" s="138"/>
      <c r="F27" s="21">
        <f>'Stavební rozpočet'!K28</f>
        <v>0</v>
      </c>
      <c r="G27" s="21">
        <v>0</v>
      </c>
      <c r="H27" s="21">
        <f t="shared" si="0"/>
        <v>0</v>
      </c>
      <c r="I27" s="21">
        <f t="shared" si="1"/>
        <v>0</v>
      </c>
      <c r="J27" s="21">
        <f>'Stavební rozpočet'!G28</f>
        <v>24</v>
      </c>
      <c r="K27" s="21">
        <v>0</v>
      </c>
      <c r="L27" s="78">
        <v>24</v>
      </c>
      <c r="M27" s="85" t="str">
        <f t="shared" si="2"/>
        <v>Nefakturováno</v>
      </c>
      <c r="N27" s="21">
        <f t="shared" si="3"/>
        <v>0</v>
      </c>
      <c r="O27" s="90">
        <f t="shared" si="4"/>
        <v>-100</v>
      </c>
      <c r="P27" s="39"/>
      <c r="AE27" s="21">
        <v>0</v>
      </c>
    </row>
    <row r="28" spans="1:31" ht="12.75">
      <c r="A28" s="75"/>
      <c r="B28" s="14"/>
      <c r="C28" s="14" t="s">
        <v>68</v>
      </c>
      <c r="D28" s="139" t="s">
        <v>233</v>
      </c>
      <c r="E28" s="140"/>
      <c r="F28" s="47">
        <f>SUM(F29:F29)</f>
        <v>0</v>
      </c>
      <c r="G28" s="47">
        <f>SUM(G29:G29)</f>
        <v>0</v>
      </c>
      <c r="H28" s="47">
        <f t="shared" si="0"/>
        <v>0</v>
      </c>
      <c r="I28" s="47">
        <f t="shared" si="1"/>
        <v>0</v>
      </c>
      <c r="J28" s="47">
        <f>SUM(J29:J29)</f>
        <v>40.67</v>
      </c>
      <c r="K28" s="47">
        <f>SUM(K29:K29)</f>
        <v>0</v>
      </c>
      <c r="L28" s="83">
        <f>J28-K28</f>
        <v>40.67</v>
      </c>
      <c r="M28" s="86" t="str">
        <f t="shared" si="2"/>
        <v>Nefakturováno</v>
      </c>
      <c r="N28" s="47">
        <f t="shared" si="3"/>
        <v>0</v>
      </c>
      <c r="O28" s="91">
        <f t="shared" si="4"/>
        <v>-100</v>
      </c>
      <c r="P28" s="39"/>
      <c r="AE28" s="21">
        <v>0</v>
      </c>
    </row>
    <row r="29" spans="1:31" ht="12.75">
      <c r="A29" s="4" t="s">
        <v>19</v>
      </c>
      <c r="B29" s="13"/>
      <c r="C29" s="13" t="s">
        <v>115</v>
      </c>
      <c r="D29" s="137" t="s">
        <v>234</v>
      </c>
      <c r="E29" s="138"/>
      <c r="F29" s="21">
        <f>'Stavební rozpočet'!K30</f>
        <v>0</v>
      </c>
      <c r="G29" s="21">
        <v>0</v>
      </c>
      <c r="H29" s="21">
        <f t="shared" si="0"/>
        <v>0</v>
      </c>
      <c r="I29" s="21">
        <f t="shared" si="1"/>
        <v>0</v>
      </c>
      <c r="J29" s="21">
        <f>'Stavební rozpočet'!G30</f>
        <v>40.67</v>
      </c>
      <c r="K29" s="21">
        <v>0</v>
      </c>
      <c r="L29" s="78">
        <v>40.67</v>
      </c>
      <c r="M29" s="85" t="str">
        <f t="shared" si="2"/>
        <v>Nefakturováno</v>
      </c>
      <c r="N29" s="21">
        <f t="shared" si="3"/>
        <v>0</v>
      </c>
      <c r="O29" s="90">
        <f t="shared" si="4"/>
        <v>-100</v>
      </c>
      <c r="P29" s="39"/>
      <c r="AE29" s="21">
        <v>0</v>
      </c>
    </row>
    <row r="30" spans="1:31" ht="12.75">
      <c r="A30" s="75"/>
      <c r="B30" s="14"/>
      <c r="C30" s="14" t="s">
        <v>116</v>
      </c>
      <c r="D30" s="139" t="s">
        <v>235</v>
      </c>
      <c r="E30" s="140"/>
      <c r="F30" s="47">
        <f>SUM(F31:F38)</f>
        <v>0</v>
      </c>
      <c r="G30" s="47">
        <f>SUM(G31:G38)</f>
        <v>0</v>
      </c>
      <c r="H30" s="47">
        <f t="shared" si="0"/>
        <v>0</v>
      </c>
      <c r="I30" s="47">
        <f t="shared" si="1"/>
        <v>0</v>
      </c>
      <c r="J30" s="47">
        <f>SUM(J31:J38)</f>
        <v>20.299999999999997</v>
      </c>
      <c r="K30" s="47">
        <f>SUM(K31:K38)</f>
        <v>0</v>
      </c>
      <c r="L30" s="83">
        <f>J30-K30</f>
        <v>20.299999999999997</v>
      </c>
      <c r="M30" s="86" t="str">
        <f t="shared" si="2"/>
        <v>Nefakturováno</v>
      </c>
      <c r="N30" s="47">
        <f t="shared" si="3"/>
        <v>0</v>
      </c>
      <c r="O30" s="91">
        <f t="shared" si="4"/>
        <v>-100</v>
      </c>
      <c r="P30" s="39"/>
      <c r="AE30" s="21">
        <v>0</v>
      </c>
    </row>
    <row r="31" spans="1:31" ht="12.75">
      <c r="A31" s="4" t="s">
        <v>20</v>
      </c>
      <c r="B31" s="13"/>
      <c r="C31" s="13" t="s">
        <v>117</v>
      </c>
      <c r="D31" s="137" t="s">
        <v>236</v>
      </c>
      <c r="E31" s="138"/>
      <c r="F31" s="21">
        <f>'Stavební rozpočet'!K32</f>
        <v>0</v>
      </c>
      <c r="G31" s="21">
        <v>0</v>
      </c>
      <c r="H31" s="21">
        <f t="shared" si="0"/>
        <v>0</v>
      </c>
      <c r="I31" s="21">
        <f t="shared" si="1"/>
        <v>0</v>
      </c>
      <c r="J31" s="21">
        <f>'Stavební rozpočet'!G32</f>
        <v>4.8</v>
      </c>
      <c r="K31" s="21">
        <v>0</v>
      </c>
      <c r="L31" s="78">
        <v>4.8</v>
      </c>
      <c r="M31" s="85" t="str">
        <f t="shared" si="2"/>
        <v>Nefakturováno</v>
      </c>
      <c r="N31" s="21">
        <f t="shared" si="3"/>
        <v>0</v>
      </c>
      <c r="O31" s="90">
        <f t="shared" si="4"/>
        <v>-100</v>
      </c>
      <c r="P31" s="39"/>
      <c r="AE31" s="21">
        <v>0</v>
      </c>
    </row>
    <row r="32" spans="1:31" ht="12.75">
      <c r="A32" s="4" t="s">
        <v>21</v>
      </c>
      <c r="B32" s="13"/>
      <c r="C32" s="13" t="s">
        <v>118</v>
      </c>
      <c r="D32" s="137" t="s">
        <v>237</v>
      </c>
      <c r="E32" s="138"/>
      <c r="F32" s="21">
        <f>'Stavební rozpočet'!K33</f>
        <v>0</v>
      </c>
      <c r="G32" s="21">
        <v>0</v>
      </c>
      <c r="H32" s="21">
        <f t="shared" si="0"/>
        <v>0</v>
      </c>
      <c r="I32" s="21">
        <f t="shared" si="1"/>
        <v>0</v>
      </c>
      <c r="J32" s="21">
        <f>'Stavební rozpočet'!G33</f>
        <v>0.9</v>
      </c>
      <c r="K32" s="21">
        <v>0</v>
      </c>
      <c r="L32" s="78">
        <v>0.9</v>
      </c>
      <c r="M32" s="85" t="str">
        <f t="shared" si="2"/>
        <v>Nefakturováno</v>
      </c>
      <c r="N32" s="21">
        <f t="shared" si="3"/>
        <v>0</v>
      </c>
      <c r="O32" s="90">
        <f t="shared" si="4"/>
        <v>-100</v>
      </c>
      <c r="P32" s="39"/>
      <c r="AE32" s="21">
        <v>0</v>
      </c>
    </row>
    <row r="33" spans="1:31" ht="12.75">
      <c r="A33" s="4" t="s">
        <v>22</v>
      </c>
      <c r="B33" s="13"/>
      <c r="C33" s="13" t="s">
        <v>119</v>
      </c>
      <c r="D33" s="137" t="s">
        <v>238</v>
      </c>
      <c r="E33" s="138"/>
      <c r="F33" s="21">
        <f>'Stavební rozpočet'!K34</f>
        <v>0</v>
      </c>
      <c r="G33" s="21">
        <v>0</v>
      </c>
      <c r="H33" s="21">
        <f t="shared" si="0"/>
        <v>0</v>
      </c>
      <c r="I33" s="21">
        <f t="shared" si="1"/>
        <v>0</v>
      </c>
      <c r="J33" s="21">
        <f>'Stavební rozpočet'!G34</f>
        <v>2</v>
      </c>
      <c r="K33" s="21">
        <v>0</v>
      </c>
      <c r="L33" s="78">
        <v>2</v>
      </c>
      <c r="M33" s="85" t="str">
        <f t="shared" si="2"/>
        <v>Nefakturováno</v>
      </c>
      <c r="N33" s="21">
        <f t="shared" si="3"/>
        <v>0</v>
      </c>
      <c r="O33" s="90">
        <f t="shared" si="4"/>
        <v>-100</v>
      </c>
      <c r="P33" s="39"/>
      <c r="AE33" s="21">
        <v>0</v>
      </c>
    </row>
    <row r="34" spans="1:31" ht="12.75">
      <c r="A34" s="4" t="s">
        <v>23</v>
      </c>
      <c r="B34" s="13"/>
      <c r="C34" s="13" t="s">
        <v>120</v>
      </c>
      <c r="D34" s="137" t="s">
        <v>239</v>
      </c>
      <c r="E34" s="138"/>
      <c r="F34" s="21">
        <f>'Stavební rozpočet'!K35</f>
        <v>0</v>
      </c>
      <c r="G34" s="21">
        <v>0</v>
      </c>
      <c r="H34" s="21">
        <f t="shared" si="0"/>
        <v>0</v>
      </c>
      <c r="I34" s="21">
        <f t="shared" si="1"/>
        <v>0</v>
      </c>
      <c r="J34" s="21">
        <f>'Stavební rozpočet'!G35</f>
        <v>4</v>
      </c>
      <c r="K34" s="21">
        <v>0</v>
      </c>
      <c r="L34" s="78">
        <v>4</v>
      </c>
      <c r="M34" s="85" t="str">
        <f t="shared" si="2"/>
        <v>Nefakturováno</v>
      </c>
      <c r="N34" s="21">
        <f t="shared" si="3"/>
        <v>0</v>
      </c>
      <c r="O34" s="90">
        <f t="shared" si="4"/>
        <v>-100</v>
      </c>
      <c r="P34" s="39"/>
      <c r="AE34" s="21">
        <v>0</v>
      </c>
    </row>
    <row r="35" spans="1:31" ht="12.75">
      <c r="A35" s="4" t="s">
        <v>24</v>
      </c>
      <c r="B35" s="13"/>
      <c r="C35" s="13" t="s">
        <v>121</v>
      </c>
      <c r="D35" s="137" t="s">
        <v>240</v>
      </c>
      <c r="E35" s="138"/>
      <c r="F35" s="21">
        <f>'Stavební rozpočet'!K36</f>
        <v>0</v>
      </c>
      <c r="G35" s="21">
        <v>0</v>
      </c>
      <c r="H35" s="21">
        <f t="shared" si="0"/>
        <v>0</v>
      </c>
      <c r="I35" s="21">
        <f t="shared" si="1"/>
        <v>0</v>
      </c>
      <c r="J35" s="21">
        <f>'Stavební rozpočet'!G36</f>
        <v>1</v>
      </c>
      <c r="K35" s="21">
        <v>0</v>
      </c>
      <c r="L35" s="78">
        <v>1</v>
      </c>
      <c r="M35" s="85" t="str">
        <f t="shared" si="2"/>
        <v>Nefakturováno</v>
      </c>
      <c r="N35" s="21">
        <f t="shared" si="3"/>
        <v>0</v>
      </c>
      <c r="O35" s="90">
        <f t="shared" si="4"/>
        <v>-100</v>
      </c>
      <c r="P35" s="39"/>
      <c r="AE35" s="21">
        <v>0</v>
      </c>
    </row>
    <row r="36" spans="1:31" ht="12.75">
      <c r="A36" s="4" t="s">
        <v>25</v>
      </c>
      <c r="B36" s="13"/>
      <c r="C36" s="13" t="s">
        <v>122</v>
      </c>
      <c r="D36" s="137" t="s">
        <v>241</v>
      </c>
      <c r="E36" s="138"/>
      <c r="F36" s="21">
        <f>'Stavební rozpočet'!K37</f>
        <v>0</v>
      </c>
      <c r="G36" s="21">
        <v>0</v>
      </c>
      <c r="H36" s="21">
        <f t="shared" si="0"/>
        <v>0</v>
      </c>
      <c r="I36" s="21">
        <f t="shared" si="1"/>
        <v>0</v>
      </c>
      <c r="J36" s="21">
        <f>'Stavební rozpočet'!G37</f>
        <v>1</v>
      </c>
      <c r="K36" s="21">
        <v>0</v>
      </c>
      <c r="L36" s="78">
        <v>1</v>
      </c>
      <c r="M36" s="85" t="str">
        <f t="shared" si="2"/>
        <v>Nefakturováno</v>
      </c>
      <c r="N36" s="21">
        <f t="shared" si="3"/>
        <v>0</v>
      </c>
      <c r="O36" s="90">
        <f t="shared" si="4"/>
        <v>-100</v>
      </c>
      <c r="P36" s="39"/>
      <c r="AE36" s="21">
        <v>0</v>
      </c>
    </row>
    <row r="37" spans="1:31" ht="12.75">
      <c r="A37" s="4" t="s">
        <v>26</v>
      </c>
      <c r="B37" s="13"/>
      <c r="C37" s="13" t="s">
        <v>123</v>
      </c>
      <c r="D37" s="137" t="s">
        <v>242</v>
      </c>
      <c r="E37" s="138"/>
      <c r="F37" s="21">
        <f>'Stavební rozpočet'!K38</f>
        <v>0</v>
      </c>
      <c r="G37" s="21">
        <v>0</v>
      </c>
      <c r="H37" s="21">
        <f t="shared" si="0"/>
        <v>0</v>
      </c>
      <c r="I37" s="21">
        <f t="shared" si="1"/>
        <v>0</v>
      </c>
      <c r="J37" s="21">
        <f>'Stavební rozpočet'!G38</f>
        <v>1</v>
      </c>
      <c r="K37" s="21">
        <v>0</v>
      </c>
      <c r="L37" s="78">
        <v>1</v>
      </c>
      <c r="M37" s="85" t="str">
        <f t="shared" si="2"/>
        <v>Nefakturováno</v>
      </c>
      <c r="N37" s="21">
        <f t="shared" si="3"/>
        <v>0</v>
      </c>
      <c r="O37" s="90">
        <f t="shared" si="4"/>
        <v>-100</v>
      </c>
      <c r="P37" s="39"/>
      <c r="AE37" s="21">
        <v>0</v>
      </c>
    </row>
    <row r="38" spans="1:31" ht="12.75">
      <c r="A38" s="4" t="s">
        <v>27</v>
      </c>
      <c r="B38" s="13"/>
      <c r="C38" s="13" t="s">
        <v>124</v>
      </c>
      <c r="D38" s="137" t="s">
        <v>243</v>
      </c>
      <c r="E38" s="138"/>
      <c r="F38" s="21">
        <f>'Stavební rozpočet'!K39</f>
        <v>0</v>
      </c>
      <c r="G38" s="21">
        <v>0</v>
      </c>
      <c r="H38" s="21">
        <f t="shared" si="0"/>
        <v>0</v>
      </c>
      <c r="I38" s="21">
        <f t="shared" si="1"/>
        <v>0</v>
      </c>
      <c r="J38" s="21">
        <f>'Stavební rozpočet'!G39</f>
        <v>5.6</v>
      </c>
      <c r="K38" s="21">
        <v>0</v>
      </c>
      <c r="L38" s="78">
        <v>5.6</v>
      </c>
      <c r="M38" s="85" t="str">
        <f t="shared" si="2"/>
        <v>Nefakturováno</v>
      </c>
      <c r="N38" s="21">
        <f t="shared" si="3"/>
        <v>0</v>
      </c>
      <c r="O38" s="90">
        <f t="shared" si="4"/>
        <v>-100</v>
      </c>
      <c r="P38" s="39"/>
      <c r="AE38" s="21">
        <v>0</v>
      </c>
    </row>
    <row r="39" spans="1:31" ht="12.75">
      <c r="A39" s="75"/>
      <c r="B39" s="14"/>
      <c r="C39" s="14" t="s">
        <v>125</v>
      </c>
      <c r="D39" s="139" t="s">
        <v>244</v>
      </c>
      <c r="E39" s="140"/>
      <c r="F39" s="47">
        <f>SUM(F40:F49)</f>
        <v>0</v>
      </c>
      <c r="G39" s="47">
        <f>SUM(G40:G49)</f>
        <v>0</v>
      </c>
      <c r="H39" s="47">
        <f t="shared" si="0"/>
        <v>0</v>
      </c>
      <c r="I39" s="47">
        <f t="shared" si="1"/>
        <v>0</v>
      </c>
      <c r="J39" s="47">
        <f>SUM(J40:J49)</f>
        <v>59.8</v>
      </c>
      <c r="K39" s="47">
        <f>SUM(K40:K49)</f>
        <v>0</v>
      </c>
      <c r="L39" s="83">
        <f>J39-K39</f>
        <v>59.8</v>
      </c>
      <c r="M39" s="86" t="str">
        <f t="shared" si="2"/>
        <v>Nefakturováno</v>
      </c>
      <c r="N39" s="47">
        <f t="shared" si="3"/>
        <v>0</v>
      </c>
      <c r="O39" s="91">
        <f t="shared" si="4"/>
        <v>-100</v>
      </c>
      <c r="P39" s="39"/>
      <c r="AE39" s="21">
        <v>0</v>
      </c>
    </row>
    <row r="40" spans="1:31" ht="12.75">
      <c r="A40" s="4" t="s">
        <v>28</v>
      </c>
      <c r="B40" s="13"/>
      <c r="C40" s="13" t="s">
        <v>126</v>
      </c>
      <c r="D40" s="137" t="s">
        <v>245</v>
      </c>
      <c r="E40" s="138"/>
      <c r="F40" s="21">
        <f>'Stavební rozpočet'!K41</f>
        <v>0</v>
      </c>
      <c r="G40" s="21">
        <v>0</v>
      </c>
      <c r="H40" s="21">
        <f t="shared" si="0"/>
        <v>0</v>
      </c>
      <c r="I40" s="21">
        <f t="shared" si="1"/>
        <v>0</v>
      </c>
      <c r="J40" s="21">
        <f>'Stavební rozpočet'!G41</f>
        <v>11.2</v>
      </c>
      <c r="K40" s="21">
        <v>0</v>
      </c>
      <c r="L40" s="78">
        <v>11.2</v>
      </c>
      <c r="M40" s="85" t="str">
        <f t="shared" si="2"/>
        <v>Nefakturováno</v>
      </c>
      <c r="N40" s="21">
        <f t="shared" si="3"/>
        <v>0</v>
      </c>
      <c r="O40" s="90">
        <f t="shared" si="4"/>
        <v>-100</v>
      </c>
      <c r="P40" s="39"/>
      <c r="AE40" s="21">
        <v>0</v>
      </c>
    </row>
    <row r="41" spans="1:31" ht="12.75">
      <c r="A41" s="4" t="s">
        <v>29</v>
      </c>
      <c r="B41" s="13"/>
      <c r="C41" s="13" t="s">
        <v>127</v>
      </c>
      <c r="D41" s="137" t="s">
        <v>246</v>
      </c>
      <c r="E41" s="138"/>
      <c r="F41" s="21">
        <f>'Stavební rozpočet'!K42</f>
        <v>0</v>
      </c>
      <c r="G41" s="21">
        <v>0</v>
      </c>
      <c r="H41" s="21">
        <f t="shared" si="0"/>
        <v>0</v>
      </c>
      <c r="I41" s="21">
        <f t="shared" si="1"/>
        <v>0</v>
      </c>
      <c r="J41" s="21">
        <f>'Stavební rozpočet'!G42</f>
        <v>4</v>
      </c>
      <c r="K41" s="21">
        <v>0</v>
      </c>
      <c r="L41" s="78">
        <v>4</v>
      </c>
      <c r="M41" s="85" t="str">
        <f t="shared" si="2"/>
        <v>Nefakturováno</v>
      </c>
      <c r="N41" s="21">
        <f t="shared" si="3"/>
        <v>0</v>
      </c>
      <c r="O41" s="90">
        <f t="shared" si="4"/>
        <v>-100</v>
      </c>
      <c r="P41" s="39"/>
      <c r="AE41" s="21">
        <v>0</v>
      </c>
    </row>
    <row r="42" spans="1:31" ht="12.75">
      <c r="A42" s="4" t="s">
        <v>30</v>
      </c>
      <c r="B42" s="13"/>
      <c r="C42" s="13" t="s">
        <v>128</v>
      </c>
      <c r="D42" s="137" t="s">
        <v>247</v>
      </c>
      <c r="E42" s="138"/>
      <c r="F42" s="21">
        <f>'Stavební rozpočet'!K43</f>
        <v>0</v>
      </c>
      <c r="G42" s="21">
        <v>0</v>
      </c>
      <c r="H42" s="21">
        <f t="shared" si="0"/>
        <v>0</v>
      </c>
      <c r="I42" s="21">
        <f t="shared" si="1"/>
        <v>0</v>
      </c>
      <c r="J42" s="21">
        <f>'Stavební rozpočet'!G43</f>
        <v>2</v>
      </c>
      <c r="K42" s="21">
        <v>0</v>
      </c>
      <c r="L42" s="78">
        <v>2</v>
      </c>
      <c r="M42" s="85" t="str">
        <f t="shared" si="2"/>
        <v>Nefakturováno</v>
      </c>
      <c r="N42" s="21">
        <f t="shared" si="3"/>
        <v>0</v>
      </c>
      <c r="O42" s="90">
        <f t="shared" si="4"/>
        <v>-100</v>
      </c>
      <c r="P42" s="39"/>
      <c r="AE42" s="21">
        <v>0</v>
      </c>
    </row>
    <row r="43" spans="1:31" ht="12.75">
      <c r="A43" s="4" t="s">
        <v>31</v>
      </c>
      <c r="B43" s="13"/>
      <c r="C43" s="13" t="s">
        <v>129</v>
      </c>
      <c r="D43" s="137" t="s">
        <v>248</v>
      </c>
      <c r="E43" s="138"/>
      <c r="F43" s="21">
        <f>'Stavební rozpočet'!K44</f>
        <v>0</v>
      </c>
      <c r="G43" s="21">
        <v>0</v>
      </c>
      <c r="H43" s="21">
        <f aca="true" t="shared" si="5" ref="H43:H74">G43-F43</f>
        <v>0</v>
      </c>
      <c r="I43" s="21">
        <f aca="true" t="shared" si="6" ref="I43:I74">IF(F43=0,0,H43/F43*100)</f>
        <v>0</v>
      </c>
      <c r="J43" s="21">
        <f>'Stavební rozpočet'!G44</f>
        <v>2</v>
      </c>
      <c r="K43" s="21">
        <v>0</v>
      </c>
      <c r="L43" s="78">
        <v>2</v>
      </c>
      <c r="M43" s="85" t="str">
        <f aca="true" t="shared" si="7" ref="M43:M74">IF(G43=0,"Nefakturováno",AE43)</f>
        <v>Nefakturováno</v>
      </c>
      <c r="N43" s="21">
        <f aca="true" t="shared" si="8" ref="N43:N74">AE43-G43</f>
        <v>0</v>
      </c>
      <c r="O43" s="90">
        <f aca="true" t="shared" si="9" ref="O43:O74">IF(G43&lt;&gt;0,N43/G43*100,-100)</f>
        <v>-100</v>
      </c>
      <c r="P43" s="39"/>
      <c r="AE43" s="21">
        <v>0</v>
      </c>
    </row>
    <row r="44" spans="1:31" ht="12.75">
      <c r="A44" s="4" t="s">
        <v>32</v>
      </c>
      <c r="B44" s="13"/>
      <c r="C44" s="13" t="s">
        <v>130</v>
      </c>
      <c r="D44" s="137" t="s">
        <v>249</v>
      </c>
      <c r="E44" s="138"/>
      <c r="F44" s="21">
        <f>'Stavební rozpočet'!K45</f>
        <v>0</v>
      </c>
      <c r="G44" s="21">
        <v>0</v>
      </c>
      <c r="H44" s="21">
        <f t="shared" si="5"/>
        <v>0</v>
      </c>
      <c r="I44" s="21">
        <f t="shared" si="6"/>
        <v>0</v>
      </c>
      <c r="J44" s="21">
        <f>'Stavební rozpočet'!G45</f>
        <v>2</v>
      </c>
      <c r="K44" s="21">
        <v>0</v>
      </c>
      <c r="L44" s="78">
        <v>2</v>
      </c>
      <c r="M44" s="85" t="str">
        <f t="shared" si="7"/>
        <v>Nefakturováno</v>
      </c>
      <c r="N44" s="21">
        <f t="shared" si="8"/>
        <v>0</v>
      </c>
      <c r="O44" s="90">
        <f t="shared" si="9"/>
        <v>-100</v>
      </c>
      <c r="P44" s="39"/>
      <c r="AE44" s="21">
        <v>0</v>
      </c>
    </row>
    <row r="45" spans="1:31" ht="12.75">
      <c r="A45" s="4" t="s">
        <v>33</v>
      </c>
      <c r="B45" s="13"/>
      <c r="C45" s="13" t="s">
        <v>131</v>
      </c>
      <c r="D45" s="137" t="s">
        <v>250</v>
      </c>
      <c r="E45" s="138"/>
      <c r="F45" s="21">
        <f>'Stavební rozpočet'!K46</f>
        <v>0</v>
      </c>
      <c r="G45" s="21">
        <v>0</v>
      </c>
      <c r="H45" s="21">
        <f t="shared" si="5"/>
        <v>0</v>
      </c>
      <c r="I45" s="21">
        <f t="shared" si="6"/>
        <v>0</v>
      </c>
      <c r="J45" s="21">
        <f>'Stavební rozpočet'!G46</f>
        <v>11.2</v>
      </c>
      <c r="K45" s="21">
        <v>0</v>
      </c>
      <c r="L45" s="78">
        <v>11.2</v>
      </c>
      <c r="M45" s="85" t="str">
        <f t="shared" si="7"/>
        <v>Nefakturováno</v>
      </c>
      <c r="N45" s="21">
        <f t="shared" si="8"/>
        <v>0</v>
      </c>
      <c r="O45" s="90">
        <f t="shared" si="9"/>
        <v>-100</v>
      </c>
      <c r="P45" s="39"/>
      <c r="AE45" s="21">
        <v>0</v>
      </c>
    </row>
    <row r="46" spans="1:31" ht="12.75">
      <c r="A46" s="4" t="s">
        <v>34</v>
      </c>
      <c r="B46" s="13"/>
      <c r="C46" s="13" t="s">
        <v>132</v>
      </c>
      <c r="D46" s="137" t="s">
        <v>251</v>
      </c>
      <c r="E46" s="138"/>
      <c r="F46" s="21">
        <f>'Stavební rozpočet'!K47</f>
        <v>0</v>
      </c>
      <c r="G46" s="21">
        <v>0</v>
      </c>
      <c r="H46" s="21">
        <f t="shared" si="5"/>
        <v>0</v>
      </c>
      <c r="I46" s="21">
        <f t="shared" si="6"/>
        <v>0</v>
      </c>
      <c r="J46" s="21">
        <f>'Stavební rozpočet'!G47</f>
        <v>5</v>
      </c>
      <c r="K46" s="21">
        <v>0</v>
      </c>
      <c r="L46" s="78">
        <v>5</v>
      </c>
      <c r="M46" s="85" t="str">
        <f t="shared" si="7"/>
        <v>Nefakturováno</v>
      </c>
      <c r="N46" s="21">
        <f t="shared" si="8"/>
        <v>0</v>
      </c>
      <c r="O46" s="90">
        <f t="shared" si="9"/>
        <v>-100</v>
      </c>
      <c r="P46" s="39"/>
      <c r="AE46" s="21">
        <v>0</v>
      </c>
    </row>
    <row r="47" spans="1:31" ht="12.75">
      <c r="A47" s="4" t="s">
        <v>35</v>
      </c>
      <c r="B47" s="13"/>
      <c r="C47" s="13" t="s">
        <v>133</v>
      </c>
      <c r="D47" s="137" t="s">
        <v>252</v>
      </c>
      <c r="E47" s="138"/>
      <c r="F47" s="21">
        <f>'Stavební rozpočet'!K48</f>
        <v>0</v>
      </c>
      <c r="G47" s="21">
        <v>0</v>
      </c>
      <c r="H47" s="21">
        <f t="shared" si="5"/>
        <v>0</v>
      </c>
      <c r="I47" s="21">
        <f t="shared" si="6"/>
        <v>0</v>
      </c>
      <c r="J47" s="21">
        <f>'Stavební rozpočet'!G48</f>
        <v>2</v>
      </c>
      <c r="K47" s="21">
        <v>0</v>
      </c>
      <c r="L47" s="78">
        <v>2</v>
      </c>
      <c r="M47" s="85" t="str">
        <f t="shared" si="7"/>
        <v>Nefakturováno</v>
      </c>
      <c r="N47" s="21">
        <f t="shared" si="8"/>
        <v>0</v>
      </c>
      <c r="O47" s="90">
        <f t="shared" si="9"/>
        <v>-100</v>
      </c>
      <c r="P47" s="39"/>
      <c r="AE47" s="21">
        <v>0</v>
      </c>
    </row>
    <row r="48" spans="1:31" ht="12.75">
      <c r="A48" s="4" t="s">
        <v>36</v>
      </c>
      <c r="B48" s="13"/>
      <c r="C48" s="13" t="s">
        <v>134</v>
      </c>
      <c r="D48" s="137" t="s">
        <v>253</v>
      </c>
      <c r="E48" s="138"/>
      <c r="F48" s="21">
        <f>'Stavební rozpočet'!K49</f>
        <v>0</v>
      </c>
      <c r="G48" s="21">
        <v>0</v>
      </c>
      <c r="H48" s="21">
        <f t="shared" si="5"/>
        <v>0</v>
      </c>
      <c r="I48" s="21">
        <f t="shared" si="6"/>
        <v>0</v>
      </c>
      <c r="J48" s="21">
        <f>'Stavební rozpočet'!G49</f>
        <v>11.2</v>
      </c>
      <c r="K48" s="21">
        <v>0</v>
      </c>
      <c r="L48" s="78">
        <v>11.2</v>
      </c>
      <c r="M48" s="85" t="str">
        <f t="shared" si="7"/>
        <v>Nefakturováno</v>
      </c>
      <c r="N48" s="21">
        <f t="shared" si="8"/>
        <v>0</v>
      </c>
      <c r="O48" s="90">
        <f t="shared" si="9"/>
        <v>-100</v>
      </c>
      <c r="P48" s="39"/>
      <c r="AE48" s="21">
        <v>0</v>
      </c>
    </row>
    <row r="49" spans="1:31" ht="12.75">
      <c r="A49" s="4" t="s">
        <v>37</v>
      </c>
      <c r="B49" s="13"/>
      <c r="C49" s="13" t="s">
        <v>135</v>
      </c>
      <c r="D49" s="137" t="s">
        <v>254</v>
      </c>
      <c r="E49" s="138"/>
      <c r="F49" s="21">
        <f>'Stavební rozpočet'!K50</f>
        <v>0</v>
      </c>
      <c r="G49" s="21">
        <v>0</v>
      </c>
      <c r="H49" s="21">
        <f t="shared" si="5"/>
        <v>0</v>
      </c>
      <c r="I49" s="21">
        <f t="shared" si="6"/>
        <v>0</v>
      </c>
      <c r="J49" s="21">
        <f>'Stavební rozpočet'!G50</f>
        <v>9.2</v>
      </c>
      <c r="K49" s="21">
        <v>0</v>
      </c>
      <c r="L49" s="78">
        <v>9.2</v>
      </c>
      <c r="M49" s="85" t="str">
        <f t="shared" si="7"/>
        <v>Nefakturováno</v>
      </c>
      <c r="N49" s="21">
        <f t="shared" si="8"/>
        <v>0</v>
      </c>
      <c r="O49" s="90">
        <f t="shared" si="9"/>
        <v>-100</v>
      </c>
      <c r="P49" s="39"/>
      <c r="AE49" s="21">
        <v>0</v>
      </c>
    </row>
    <row r="50" spans="1:31" ht="12.75">
      <c r="A50" s="75"/>
      <c r="B50" s="14"/>
      <c r="C50" s="14" t="s">
        <v>136</v>
      </c>
      <c r="D50" s="139" t="s">
        <v>255</v>
      </c>
      <c r="E50" s="140"/>
      <c r="F50" s="47">
        <f>SUM(F51:F58)</f>
        <v>0</v>
      </c>
      <c r="G50" s="47">
        <f>SUM(G51:G58)</f>
        <v>0</v>
      </c>
      <c r="H50" s="47">
        <f t="shared" si="5"/>
        <v>0</v>
      </c>
      <c r="I50" s="47">
        <f t="shared" si="6"/>
        <v>0</v>
      </c>
      <c r="J50" s="47">
        <f>SUM(J51:J58)</f>
        <v>8</v>
      </c>
      <c r="K50" s="47">
        <f>SUM(K51:K58)</f>
        <v>0</v>
      </c>
      <c r="L50" s="83">
        <f>J50-K50</f>
        <v>8</v>
      </c>
      <c r="M50" s="86" t="str">
        <f t="shared" si="7"/>
        <v>Nefakturováno</v>
      </c>
      <c r="N50" s="47">
        <f t="shared" si="8"/>
        <v>0</v>
      </c>
      <c r="O50" s="91">
        <f t="shared" si="9"/>
        <v>-100</v>
      </c>
      <c r="P50" s="39"/>
      <c r="AE50" s="21">
        <v>0</v>
      </c>
    </row>
    <row r="51" spans="1:31" ht="12.75">
      <c r="A51" s="4" t="s">
        <v>38</v>
      </c>
      <c r="B51" s="13"/>
      <c r="C51" s="13" t="s">
        <v>137</v>
      </c>
      <c r="D51" s="137" t="s">
        <v>256</v>
      </c>
      <c r="E51" s="138"/>
      <c r="F51" s="21">
        <f>'Stavební rozpočet'!K52</f>
        <v>0</v>
      </c>
      <c r="G51" s="21">
        <v>0</v>
      </c>
      <c r="H51" s="21">
        <f t="shared" si="5"/>
        <v>0</v>
      </c>
      <c r="I51" s="21">
        <f t="shared" si="6"/>
        <v>0</v>
      </c>
      <c r="J51" s="21">
        <f>'Stavební rozpočet'!G52</f>
        <v>1</v>
      </c>
      <c r="K51" s="21">
        <v>0</v>
      </c>
      <c r="L51" s="78">
        <v>1</v>
      </c>
      <c r="M51" s="85" t="str">
        <f t="shared" si="7"/>
        <v>Nefakturováno</v>
      </c>
      <c r="N51" s="21">
        <f t="shared" si="8"/>
        <v>0</v>
      </c>
      <c r="O51" s="90">
        <f t="shared" si="9"/>
        <v>-100</v>
      </c>
      <c r="P51" s="39"/>
      <c r="AE51" s="21">
        <v>0</v>
      </c>
    </row>
    <row r="52" spans="1:31" ht="12.75">
      <c r="A52" s="4" t="s">
        <v>39</v>
      </c>
      <c r="B52" s="13"/>
      <c r="C52" s="13" t="s">
        <v>138</v>
      </c>
      <c r="D52" s="137" t="s">
        <v>257</v>
      </c>
      <c r="E52" s="138"/>
      <c r="F52" s="21">
        <f>'Stavební rozpočet'!K53</f>
        <v>0</v>
      </c>
      <c r="G52" s="21">
        <v>0</v>
      </c>
      <c r="H52" s="21">
        <f t="shared" si="5"/>
        <v>0</v>
      </c>
      <c r="I52" s="21">
        <f t="shared" si="6"/>
        <v>0</v>
      </c>
      <c r="J52" s="21">
        <f>'Stavební rozpočet'!G53</f>
        <v>1</v>
      </c>
      <c r="K52" s="21">
        <v>0</v>
      </c>
      <c r="L52" s="78">
        <v>1</v>
      </c>
      <c r="M52" s="85" t="str">
        <f t="shared" si="7"/>
        <v>Nefakturováno</v>
      </c>
      <c r="N52" s="21">
        <f t="shared" si="8"/>
        <v>0</v>
      </c>
      <c r="O52" s="90">
        <f t="shared" si="9"/>
        <v>-100</v>
      </c>
      <c r="P52" s="39"/>
      <c r="AE52" s="21">
        <v>0</v>
      </c>
    </row>
    <row r="53" spans="1:31" ht="12.75">
      <c r="A53" s="4" t="s">
        <v>40</v>
      </c>
      <c r="B53" s="13"/>
      <c r="C53" s="13" t="s">
        <v>139</v>
      </c>
      <c r="D53" s="137" t="s">
        <v>258</v>
      </c>
      <c r="E53" s="138"/>
      <c r="F53" s="21">
        <f>'Stavební rozpočet'!K54</f>
        <v>0</v>
      </c>
      <c r="G53" s="21">
        <v>0</v>
      </c>
      <c r="H53" s="21">
        <f t="shared" si="5"/>
        <v>0</v>
      </c>
      <c r="I53" s="21">
        <f t="shared" si="6"/>
        <v>0</v>
      </c>
      <c r="J53" s="21">
        <f>'Stavební rozpočet'!G54</f>
        <v>1</v>
      </c>
      <c r="K53" s="21">
        <v>0</v>
      </c>
      <c r="L53" s="78">
        <v>1</v>
      </c>
      <c r="M53" s="85" t="str">
        <f t="shared" si="7"/>
        <v>Nefakturováno</v>
      </c>
      <c r="N53" s="21">
        <f t="shared" si="8"/>
        <v>0</v>
      </c>
      <c r="O53" s="90">
        <f t="shared" si="9"/>
        <v>-100</v>
      </c>
      <c r="P53" s="39"/>
      <c r="AE53" s="21">
        <v>0</v>
      </c>
    </row>
    <row r="54" spans="1:31" ht="12.75">
      <c r="A54" s="4" t="s">
        <v>41</v>
      </c>
      <c r="B54" s="13"/>
      <c r="C54" s="13" t="s">
        <v>140</v>
      </c>
      <c r="D54" s="137" t="s">
        <v>259</v>
      </c>
      <c r="E54" s="138"/>
      <c r="F54" s="21">
        <f>'Stavební rozpočet'!K55</f>
        <v>0</v>
      </c>
      <c r="G54" s="21">
        <v>0</v>
      </c>
      <c r="H54" s="21">
        <f t="shared" si="5"/>
        <v>0</v>
      </c>
      <c r="I54" s="21">
        <f t="shared" si="6"/>
        <v>0</v>
      </c>
      <c r="J54" s="21">
        <f>'Stavební rozpočet'!G55</f>
        <v>1</v>
      </c>
      <c r="K54" s="21">
        <v>0</v>
      </c>
      <c r="L54" s="78">
        <v>1</v>
      </c>
      <c r="M54" s="85" t="str">
        <f t="shared" si="7"/>
        <v>Nefakturováno</v>
      </c>
      <c r="N54" s="21">
        <f t="shared" si="8"/>
        <v>0</v>
      </c>
      <c r="O54" s="90">
        <f t="shared" si="9"/>
        <v>-100</v>
      </c>
      <c r="P54" s="39"/>
      <c r="AE54" s="21">
        <v>0</v>
      </c>
    </row>
    <row r="55" spans="1:31" ht="12.75">
      <c r="A55" s="4" t="s">
        <v>42</v>
      </c>
      <c r="B55" s="13"/>
      <c r="C55" s="13" t="s">
        <v>141</v>
      </c>
      <c r="D55" s="137" t="s">
        <v>260</v>
      </c>
      <c r="E55" s="138"/>
      <c r="F55" s="21">
        <f>'Stavební rozpočet'!K56</f>
        <v>0</v>
      </c>
      <c r="G55" s="21">
        <v>0</v>
      </c>
      <c r="H55" s="21">
        <f t="shared" si="5"/>
        <v>0</v>
      </c>
      <c r="I55" s="21">
        <f t="shared" si="6"/>
        <v>0</v>
      </c>
      <c r="J55" s="21">
        <f>'Stavební rozpočet'!G56</f>
        <v>1</v>
      </c>
      <c r="K55" s="21">
        <v>0</v>
      </c>
      <c r="L55" s="78">
        <v>1</v>
      </c>
      <c r="M55" s="85" t="str">
        <f t="shared" si="7"/>
        <v>Nefakturováno</v>
      </c>
      <c r="N55" s="21">
        <f t="shared" si="8"/>
        <v>0</v>
      </c>
      <c r="O55" s="90">
        <f t="shared" si="9"/>
        <v>-100</v>
      </c>
      <c r="P55" s="39"/>
      <c r="AE55" s="21">
        <v>0</v>
      </c>
    </row>
    <row r="56" spans="1:31" ht="12.75">
      <c r="A56" s="4" t="s">
        <v>43</v>
      </c>
      <c r="B56" s="13"/>
      <c r="C56" s="13" t="s">
        <v>142</v>
      </c>
      <c r="D56" s="137" t="s">
        <v>261</v>
      </c>
      <c r="E56" s="138"/>
      <c r="F56" s="21">
        <f>'Stavební rozpočet'!K57</f>
        <v>0</v>
      </c>
      <c r="G56" s="21">
        <v>0</v>
      </c>
      <c r="H56" s="21">
        <f t="shared" si="5"/>
        <v>0</v>
      </c>
      <c r="I56" s="21">
        <f t="shared" si="6"/>
        <v>0</v>
      </c>
      <c r="J56" s="21">
        <f>'Stavební rozpočet'!G57</f>
        <v>1</v>
      </c>
      <c r="K56" s="21">
        <v>0</v>
      </c>
      <c r="L56" s="78">
        <v>1</v>
      </c>
      <c r="M56" s="85" t="str">
        <f t="shared" si="7"/>
        <v>Nefakturováno</v>
      </c>
      <c r="N56" s="21">
        <f t="shared" si="8"/>
        <v>0</v>
      </c>
      <c r="O56" s="90">
        <f t="shared" si="9"/>
        <v>-100</v>
      </c>
      <c r="P56" s="39"/>
      <c r="AE56" s="21">
        <v>0</v>
      </c>
    </row>
    <row r="57" spans="1:31" ht="12.75">
      <c r="A57" s="4" t="s">
        <v>44</v>
      </c>
      <c r="B57" s="13"/>
      <c r="C57" s="13" t="s">
        <v>143</v>
      </c>
      <c r="D57" s="137" t="s">
        <v>262</v>
      </c>
      <c r="E57" s="138"/>
      <c r="F57" s="21">
        <f>'Stavební rozpočet'!K58</f>
        <v>0</v>
      </c>
      <c r="G57" s="21">
        <v>0</v>
      </c>
      <c r="H57" s="21">
        <f t="shared" si="5"/>
        <v>0</v>
      </c>
      <c r="I57" s="21">
        <f t="shared" si="6"/>
        <v>0</v>
      </c>
      <c r="J57" s="21">
        <f>'Stavební rozpočet'!G58</f>
        <v>1</v>
      </c>
      <c r="K57" s="21">
        <v>0</v>
      </c>
      <c r="L57" s="78">
        <v>1</v>
      </c>
      <c r="M57" s="85" t="str">
        <f t="shared" si="7"/>
        <v>Nefakturováno</v>
      </c>
      <c r="N57" s="21">
        <f t="shared" si="8"/>
        <v>0</v>
      </c>
      <c r="O57" s="90">
        <f t="shared" si="9"/>
        <v>-100</v>
      </c>
      <c r="P57" s="39"/>
      <c r="AE57" s="21">
        <v>0</v>
      </c>
    </row>
    <row r="58" spans="1:31" ht="12.75">
      <c r="A58" s="4" t="s">
        <v>45</v>
      </c>
      <c r="B58" s="13"/>
      <c r="C58" s="13" t="s">
        <v>144</v>
      </c>
      <c r="D58" s="137" t="s">
        <v>263</v>
      </c>
      <c r="E58" s="138"/>
      <c r="F58" s="21">
        <f>'Stavební rozpočet'!K59</f>
        <v>0</v>
      </c>
      <c r="G58" s="21">
        <v>0</v>
      </c>
      <c r="H58" s="21">
        <f t="shared" si="5"/>
        <v>0</v>
      </c>
      <c r="I58" s="21">
        <f t="shared" si="6"/>
        <v>0</v>
      </c>
      <c r="J58" s="21">
        <f>'Stavební rozpočet'!G59</f>
        <v>1</v>
      </c>
      <c r="K58" s="21">
        <v>0</v>
      </c>
      <c r="L58" s="78">
        <v>1</v>
      </c>
      <c r="M58" s="85" t="str">
        <f t="shared" si="7"/>
        <v>Nefakturováno</v>
      </c>
      <c r="N58" s="21">
        <f t="shared" si="8"/>
        <v>0</v>
      </c>
      <c r="O58" s="90">
        <f t="shared" si="9"/>
        <v>-100</v>
      </c>
      <c r="P58" s="39"/>
      <c r="AE58" s="21">
        <v>0</v>
      </c>
    </row>
    <row r="59" spans="1:31" ht="12.75">
      <c r="A59" s="75"/>
      <c r="B59" s="14"/>
      <c r="C59" s="14" t="s">
        <v>145</v>
      </c>
      <c r="D59" s="139" t="s">
        <v>264</v>
      </c>
      <c r="E59" s="140"/>
      <c r="F59" s="47">
        <f>SUM(F60:F60)</f>
        <v>0</v>
      </c>
      <c r="G59" s="47">
        <f>SUM(G60:G60)</f>
        <v>0</v>
      </c>
      <c r="H59" s="47">
        <f t="shared" si="5"/>
        <v>0</v>
      </c>
      <c r="I59" s="47">
        <f t="shared" si="6"/>
        <v>0</v>
      </c>
      <c r="J59" s="47">
        <f>SUM(J60:J60)</f>
        <v>1</v>
      </c>
      <c r="K59" s="47">
        <f>SUM(K60:K60)</f>
        <v>0</v>
      </c>
      <c r="L59" s="83">
        <f>J59-K59</f>
        <v>1</v>
      </c>
      <c r="M59" s="86" t="str">
        <f t="shared" si="7"/>
        <v>Nefakturováno</v>
      </c>
      <c r="N59" s="47">
        <f t="shared" si="8"/>
        <v>0</v>
      </c>
      <c r="O59" s="91">
        <f t="shared" si="9"/>
        <v>-100</v>
      </c>
      <c r="P59" s="39"/>
      <c r="AE59" s="21">
        <v>0</v>
      </c>
    </row>
    <row r="60" spans="1:31" ht="12.75">
      <c r="A60" s="4" t="s">
        <v>46</v>
      </c>
      <c r="B60" s="13"/>
      <c r="C60" s="13" t="s">
        <v>146</v>
      </c>
      <c r="D60" s="137" t="s">
        <v>265</v>
      </c>
      <c r="E60" s="138"/>
      <c r="F60" s="21">
        <f>'Stavební rozpočet'!K61</f>
        <v>0</v>
      </c>
      <c r="G60" s="21">
        <v>0</v>
      </c>
      <c r="H60" s="21">
        <f t="shared" si="5"/>
        <v>0</v>
      </c>
      <c r="I60" s="21">
        <f t="shared" si="6"/>
        <v>0</v>
      </c>
      <c r="J60" s="21">
        <f>'Stavební rozpočet'!G61</f>
        <v>1</v>
      </c>
      <c r="K60" s="21">
        <v>0</v>
      </c>
      <c r="L60" s="78">
        <v>1</v>
      </c>
      <c r="M60" s="85" t="str">
        <f t="shared" si="7"/>
        <v>Nefakturováno</v>
      </c>
      <c r="N60" s="21">
        <f t="shared" si="8"/>
        <v>0</v>
      </c>
      <c r="O60" s="90">
        <f t="shared" si="9"/>
        <v>-100</v>
      </c>
      <c r="P60" s="39"/>
      <c r="AE60" s="21">
        <v>0</v>
      </c>
    </row>
    <row r="61" spans="1:31" ht="12.75">
      <c r="A61" s="75"/>
      <c r="B61" s="14"/>
      <c r="C61" s="14" t="s">
        <v>147</v>
      </c>
      <c r="D61" s="139" t="s">
        <v>266</v>
      </c>
      <c r="E61" s="140"/>
      <c r="F61" s="47">
        <f>SUM(F62:F65)</f>
        <v>0</v>
      </c>
      <c r="G61" s="47">
        <f>SUM(G62:G65)</f>
        <v>0</v>
      </c>
      <c r="H61" s="47">
        <f t="shared" si="5"/>
        <v>0</v>
      </c>
      <c r="I61" s="47">
        <f t="shared" si="6"/>
        <v>0</v>
      </c>
      <c r="J61" s="47">
        <f>SUM(J62:J65)</f>
        <v>6</v>
      </c>
      <c r="K61" s="47">
        <f>SUM(K62:K65)</f>
        <v>0</v>
      </c>
      <c r="L61" s="83">
        <f>J61-K61</f>
        <v>6</v>
      </c>
      <c r="M61" s="86" t="str">
        <f t="shared" si="7"/>
        <v>Nefakturováno</v>
      </c>
      <c r="N61" s="47">
        <f t="shared" si="8"/>
        <v>0</v>
      </c>
      <c r="O61" s="91">
        <f t="shared" si="9"/>
        <v>-100</v>
      </c>
      <c r="P61" s="39"/>
      <c r="AE61" s="21">
        <v>0</v>
      </c>
    </row>
    <row r="62" spans="1:31" ht="12.75">
      <c r="A62" s="4" t="s">
        <v>47</v>
      </c>
      <c r="B62" s="13"/>
      <c r="C62" s="13" t="s">
        <v>148</v>
      </c>
      <c r="D62" s="137" t="s">
        <v>267</v>
      </c>
      <c r="E62" s="138"/>
      <c r="F62" s="21">
        <f>'Stavební rozpočet'!K63</f>
        <v>0</v>
      </c>
      <c r="G62" s="21">
        <v>0</v>
      </c>
      <c r="H62" s="21">
        <f t="shared" si="5"/>
        <v>0</v>
      </c>
      <c r="I62" s="21">
        <f t="shared" si="6"/>
        <v>0</v>
      </c>
      <c r="J62" s="21">
        <f>'Stavební rozpočet'!G63</f>
        <v>1</v>
      </c>
      <c r="K62" s="21">
        <v>0</v>
      </c>
      <c r="L62" s="78">
        <v>1</v>
      </c>
      <c r="M62" s="85" t="str">
        <f t="shared" si="7"/>
        <v>Nefakturováno</v>
      </c>
      <c r="N62" s="21">
        <f t="shared" si="8"/>
        <v>0</v>
      </c>
      <c r="O62" s="90">
        <f t="shared" si="9"/>
        <v>-100</v>
      </c>
      <c r="P62" s="39"/>
      <c r="AE62" s="21">
        <v>0</v>
      </c>
    </row>
    <row r="63" spans="1:31" ht="12.75">
      <c r="A63" s="4" t="s">
        <v>48</v>
      </c>
      <c r="B63" s="13"/>
      <c r="C63" s="13" t="s">
        <v>149</v>
      </c>
      <c r="D63" s="137" t="s">
        <v>268</v>
      </c>
      <c r="E63" s="138"/>
      <c r="F63" s="21">
        <f>'Stavební rozpočet'!K64</f>
        <v>0</v>
      </c>
      <c r="G63" s="21">
        <v>0</v>
      </c>
      <c r="H63" s="21">
        <f t="shared" si="5"/>
        <v>0</v>
      </c>
      <c r="I63" s="21">
        <f t="shared" si="6"/>
        <v>0</v>
      </c>
      <c r="J63" s="21">
        <f>'Stavební rozpočet'!G64</f>
        <v>1</v>
      </c>
      <c r="K63" s="21">
        <v>0</v>
      </c>
      <c r="L63" s="78">
        <v>1</v>
      </c>
      <c r="M63" s="85" t="str">
        <f t="shared" si="7"/>
        <v>Nefakturováno</v>
      </c>
      <c r="N63" s="21">
        <f t="shared" si="8"/>
        <v>0</v>
      </c>
      <c r="O63" s="90">
        <f t="shared" si="9"/>
        <v>-100</v>
      </c>
      <c r="P63" s="39"/>
      <c r="AE63" s="21">
        <v>0</v>
      </c>
    </row>
    <row r="64" spans="1:31" ht="12.75">
      <c r="A64" s="4" t="s">
        <v>49</v>
      </c>
      <c r="B64" s="13"/>
      <c r="C64" s="13" t="s">
        <v>150</v>
      </c>
      <c r="D64" s="137" t="s">
        <v>269</v>
      </c>
      <c r="E64" s="138"/>
      <c r="F64" s="21">
        <f>'Stavební rozpočet'!K65</f>
        <v>0</v>
      </c>
      <c r="G64" s="21">
        <v>0</v>
      </c>
      <c r="H64" s="21">
        <f t="shared" si="5"/>
        <v>0</v>
      </c>
      <c r="I64" s="21">
        <f t="shared" si="6"/>
        <v>0</v>
      </c>
      <c r="J64" s="21">
        <f>'Stavební rozpočet'!G65</f>
        <v>2</v>
      </c>
      <c r="K64" s="21">
        <v>0</v>
      </c>
      <c r="L64" s="78">
        <v>2</v>
      </c>
      <c r="M64" s="85" t="str">
        <f t="shared" si="7"/>
        <v>Nefakturováno</v>
      </c>
      <c r="N64" s="21">
        <f t="shared" si="8"/>
        <v>0</v>
      </c>
      <c r="O64" s="90">
        <f t="shared" si="9"/>
        <v>-100</v>
      </c>
      <c r="P64" s="39"/>
      <c r="AE64" s="21">
        <v>0</v>
      </c>
    </row>
    <row r="65" spans="1:31" ht="12.75">
      <c r="A65" s="4" t="s">
        <v>50</v>
      </c>
      <c r="B65" s="13"/>
      <c r="C65" s="13" t="s">
        <v>151</v>
      </c>
      <c r="D65" s="137" t="s">
        <v>270</v>
      </c>
      <c r="E65" s="138"/>
      <c r="F65" s="21">
        <f>'Stavební rozpočet'!K66</f>
        <v>0</v>
      </c>
      <c r="G65" s="21">
        <v>0</v>
      </c>
      <c r="H65" s="21">
        <f t="shared" si="5"/>
        <v>0</v>
      </c>
      <c r="I65" s="21">
        <f t="shared" si="6"/>
        <v>0</v>
      </c>
      <c r="J65" s="21">
        <f>'Stavební rozpočet'!G66</f>
        <v>2</v>
      </c>
      <c r="K65" s="21">
        <v>0</v>
      </c>
      <c r="L65" s="78">
        <v>2</v>
      </c>
      <c r="M65" s="85" t="str">
        <f t="shared" si="7"/>
        <v>Nefakturováno</v>
      </c>
      <c r="N65" s="21">
        <f t="shared" si="8"/>
        <v>0</v>
      </c>
      <c r="O65" s="90">
        <f t="shared" si="9"/>
        <v>-100</v>
      </c>
      <c r="P65" s="39"/>
      <c r="AE65" s="21">
        <v>0</v>
      </c>
    </row>
    <row r="66" spans="1:31" ht="12.75">
      <c r="A66" s="75"/>
      <c r="B66" s="14"/>
      <c r="C66" s="14" t="s">
        <v>152</v>
      </c>
      <c r="D66" s="139" t="s">
        <v>271</v>
      </c>
      <c r="E66" s="140"/>
      <c r="F66" s="47">
        <f>SUM(F67:F67)</f>
        <v>0</v>
      </c>
      <c r="G66" s="47">
        <f>SUM(G67:G67)</f>
        <v>0</v>
      </c>
      <c r="H66" s="47">
        <f t="shared" si="5"/>
        <v>0</v>
      </c>
      <c r="I66" s="47">
        <f t="shared" si="6"/>
        <v>0</v>
      </c>
      <c r="J66" s="47">
        <f>SUM(J67:J67)</f>
        <v>4.04</v>
      </c>
      <c r="K66" s="47">
        <f>SUM(K67:K67)</f>
        <v>0</v>
      </c>
      <c r="L66" s="83">
        <f>J66-K66</f>
        <v>4.04</v>
      </c>
      <c r="M66" s="86" t="str">
        <f t="shared" si="7"/>
        <v>Nefakturováno</v>
      </c>
      <c r="N66" s="47">
        <f t="shared" si="8"/>
        <v>0</v>
      </c>
      <c r="O66" s="91">
        <f t="shared" si="9"/>
        <v>-100</v>
      </c>
      <c r="P66" s="39"/>
      <c r="AE66" s="21">
        <v>0</v>
      </c>
    </row>
    <row r="67" spans="1:31" ht="12.75">
      <c r="A67" s="4" t="s">
        <v>51</v>
      </c>
      <c r="B67" s="13"/>
      <c r="C67" s="13" t="s">
        <v>153</v>
      </c>
      <c r="D67" s="137" t="s">
        <v>272</v>
      </c>
      <c r="E67" s="138"/>
      <c r="F67" s="21">
        <f>'Stavební rozpočet'!K68</f>
        <v>0</v>
      </c>
      <c r="G67" s="21">
        <v>0</v>
      </c>
      <c r="H67" s="21">
        <f t="shared" si="5"/>
        <v>0</v>
      </c>
      <c r="I67" s="21">
        <f t="shared" si="6"/>
        <v>0</v>
      </c>
      <c r="J67" s="21">
        <f>'Stavební rozpočet'!G68</f>
        <v>4.04</v>
      </c>
      <c r="K67" s="21">
        <v>0</v>
      </c>
      <c r="L67" s="78">
        <v>4.04</v>
      </c>
      <c r="M67" s="85" t="str">
        <f t="shared" si="7"/>
        <v>Nefakturováno</v>
      </c>
      <c r="N67" s="21">
        <f t="shared" si="8"/>
        <v>0</v>
      </c>
      <c r="O67" s="90">
        <f t="shared" si="9"/>
        <v>-100</v>
      </c>
      <c r="P67" s="39"/>
      <c r="AE67" s="21">
        <v>0</v>
      </c>
    </row>
    <row r="68" spans="1:31" ht="12.75">
      <c r="A68" s="75"/>
      <c r="B68" s="14"/>
      <c r="C68" s="14" t="s">
        <v>154</v>
      </c>
      <c r="D68" s="139" t="s">
        <v>273</v>
      </c>
      <c r="E68" s="140"/>
      <c r="F68" s="47">
        <f>SUM(F69:F69)</f>
        <v>0</v>
      </c>
      <c r="G68" s="47">
        <f>SUM(G69:G69)</f>
        <v>0</v>
      </c>
      <c r="H68" s="47">
        <f t="shared" si="5"/>
        <v>0</v>
      </c>
      <c r="I68" s="47">
        <f t="shared" si="6"/>
        <v>0</v>
      </c>
      <c r="J68" s="47">
        <f>SUM(J69:J69)</f>
        <v>2</v>
      </c>
      <c r="K68" s="47">
        <f>SUM(K69:K69)</f>
        <v>0</v>
      </c>
      <c r="L68" s="83">
        <f>J68-K68</f>
        <v>2</v>
      </c>
      <c r="M68" s="86" t="str">
        <f t="shared" si="7"/>
        <v>Nefakturováno</v>
      </c>
      <c r="N68" s="47">
        <f t="shared" si="8"/>
        <v>0</v>
      </c>
      <c r="O68" s="91">
        <f t="shared" si="9"/>
        <v>-100</v>
      </c>
      <c r="P68" s="39"/>
      <c r="AE68" s="21">
        <v>0</v>
      </c>
    </row>
    <row r="69" spans="1:31" ht="12.75">
      <c r="A69" s="4" t="s">
        <v>52</v>
      </c>
      <c r="B69" s="13"/>
      <c r="C69" s="13" t="s">
        <v>155</v>
      </c>
      <c r="D69" s="137" t="s">
        <v>274</v>
      </c>
      <c r="E69" s="138"/>
      <c r="F69" s="21">
        <f>'Stavební rozpočet'!K70</f>
        <v>0</v>
      </c>
      <c r="G69" s="21">
        <v>0</v>
      </c>
      <c r="H69" s="21">
        <f t="shared" si="5"/>
        <v>0</v>
      </c>
      <c r="I69" s="21">
        <f t="shared" si="6"/>
        <v>0</v>
      </c>
      <c r="J69" s="21">
        <f>'Stavební rozpočet'!G70</f>
        <v>2</v>
      </c>
      <c r="K69" s="21">
        <v>0</v>
      </c>
      <c r="L69" s="78">
        <v>2</v>
      </c>
      <c r="M69" s="85" t="str">
        <f t="shared" si="7"/>
        <v>Nefakturováno</v>
      </c>
      <c r="N69" s="21">
        <f t="shared" si="8"/>
        <v>0</v>
      </c>
      <c r="O69" s="90">
        <f t="shared" si="9"/>
        <v>-100</v>
      </c>
      <c r="P69" s="39"/>
      <c r="AE69" s="21">
        <v>0</v>
      </c>
    </row>
    <row r="70" spans="1:31" ht="12.75">
      <c r="A70" s="75"/>
      <c r="B70" s="14"/>
      <c r="C70" s="14" t="s">
        <v>156</v>
      </c>
      <c r="D70" s="139" t="s">
        <v>275</v>
      </c>
      <c r="E70" s="140"/>
      <c r="F70" s="47">
        <f>SUM(F71:F72)</f>
        <v>0</v>
      </c>
      <c r="G70" s="47">
        <f>SUM(G71:G72)</f>
        <v>0</v>
      </c>
      <c r="H70" s="47">
        <f t="shared" si="5"/>
        <v>0</v>
      </c>
      <c r="I70" s="47">
        <f t="shared" si="6"/>
        <v>0</v>
      </c>
      <c r="J70" s="47">
        <f>SUM(J71:J72)</f>
        <v>78.33000000000001</v>
      </c>
      <c r="K70" s="47">
        <f>SUM(K71:K72)</f>
        <v>0</v>
      </c>
      <c r="L70" s="83">
        <f>J70-K70</f>
        <v>78.33000000000001</v>
      </c>
      <c r="M70" s="86" t="str">
        <f t="shared" si="7"/>
        <v>Nefakturováno</v>
      </c>
      <c r="N70" s="47">
        <f t="shared" si="8"/>
        <v>0</v>
      </c>
      <c r="O70" s="91">
        <f t="shared" si="9"/>
        <v>-100</v>
      </c>
      <c r="P70" s="39"/>
      <c r="AE70" s="21">
        <v>0</v>
      </c>
    </row>
    <row r="71" spans="1:31" ht="12.75">
      <c r="A71" s="4" t="s">
        <v>53</v>
      </c>
      <c r="B71" s="13"/>
      <c r="C71" s="13" t="s">
        <v>157</v>
      </c>
      <c r="D71" s="137" t="s">
        <v>276</v>
      </c>
      <c r="E71" s="138"/>
      <c r="F71" s="21">
        <f>'Stavební rozpočet'!K72</f>
        <v>0</v>
      </c>
      <c r="G71" s="21">
        <v>0</v>
      </c>
      <c r="H71" s="21">
        <f t="shared" si="5"/>
        <v>0</v>
      </c>
      <c r="I71" s="21">
        <f t="shared" si="6"/>
        <v>0</v>
      </c>
      <c r="J71" s="21">
        <f>'Stavební rozpočet'!G72</f>
        <v>41.7</v>
      </c>
      <c r="K71" s="21">
        <v>0</v>
      </c>
      <c r="L71" s="78">
        <v>41.7</v>
      </c>
      <c r="M71" s="85" t="str">
        <f t="shared" si="7"/>
        <v>Nefakturováno</v>
      </c>
      <c r="N71" s="21">
        <f t="shared" si="8"/>
        <v>0</v>
      </c>
      <c r="O71" s="90">
        <f t="shared" si="9"/>
        <v>-100</v>
      </c>
      <c r="P71" s="39"/>
      <c r="AE71" s="21">
        <v>0</v>
      </c>
    </row>
    <row r="72" spans="1:31" ht="12.75">
      <c r="A72" s="4" t="s">
        <v>54</v>
      </c>
      <c r="B72" s="13"/>
      <c r="C72" s="13" t="s">
        <v>158</v>
      </c>
      <c r="D72" s="137" t="s">
        <v>277</v>
      </c>
      <c r="E72" s="138"/>
      <c r="F72" s="21">
        <f>'Stavební rozpočet'!K73</f>
        <v>0</v>
      </c>
      <c r="G72" s="21">
        <v>0</v>
      </c>
      <c r="H72" s="21">
        <f t="shared" si="5"/>
        <v>0</v>
      </c>
      <c r="I72" s="21">
        <f t="shared" si="6"/>
        <v>0</v>
      </c>
      <c r="J72" s="21">
        <f>'Stavební rozpočet'!G73</f>
        <v>36.63</v>
      </c>
      <c r="K72" s="21">
        <v>0</v>
      </c>
      <c r="L72" s="78">
        <v>36.63</v>
      </c>
      <c r="M72" s="85" t="str">
        <f t="shared" si="7"/>
        <v>Nefakturováno</v>
      </c>
      <c r="N72" s="21">
        <f t="shared" si="8"/>
        <v>0</v>
      </c>
      <c r="O72" s="90">
        <f t="shared" si="9"/>
        <v>-100</v>
      </c>
      <c r="P72" s="39"/>
      <c r="AE72" s="21">
        <v>0</v>
      </c>
    </row>
    <row r="73" spans="1:31" ht="12.75">
      <c r="A73" s="75"/>
      <c r="B73" s="14"/>
      <c r="C73" s="14" t="s">
        <v>159</v>
      </c>
      <c r="D73" s="139" t="s">
        <v>278</v>
      </c>
      <c r="E73" s="140"/>
      <c r="F73" s="47">
        <f>SUM(F74:F74)</f>
        <v>0</v>
      </c>
      <c r="G73" s="47">
        <f>SUM(G74:G74)</f>
        <v>0</v>
      </c>
      <c r="H73" s="47">
        <f t="shared" si="5"/>
        <v>0</v>
      </c>
      <c r="I73" s="47">
        <f t="shared" si="6"/>
        <v>0</v>
      </c>
      <c r="J73" s="47">
        <f>SUM(J74:J74)</f>
        <v>19.75</v>
      </c>
      <c r="K73" s="47">
        <f>SUM(K74:K74)</f>
        <v>0</v>
      </c>
      <c r="L73" s="83">
        <f>J73-K73</f>
        <v>19.75</v>
      </c>
      <c r="M73" s="86" t="str">
        <f t="shared" si="7"/>
        <v>Nefakturováno</v>
      </c>
      <c r="N73" s="47">
        <f t="shared" si="8"/>
        <v>0</v>
      </c>
      <c r="O73" s="91">
        <f t="shared" si="9"/>
        <v>-100</v>
      </c>
      <c r="P73" s="39"/>
      <c r="AE73" s="21">
        <v>0</v>
      </c>
    </row>
    <row r="74" spans="1:31" ht="12.75">
      <c r="A74" s="4" t="s">
        <v>55</v>
      </c>
      <c r="B74" s="13"/>
      <c r="C74" s="13" t="s">
        <v>160</v>
      </c>
      <c r="D74" s="137" t="s">
        <v>279</v>
      </c>
      <c r="E74" s="138"/>
      <c r="F74" s="21">
        <f>'Stavební rozpočet'!K75</f>
        <v>0</v>
      </c>
      <c r="G74" s="21">
        <v>0</v>
      </c>
      <c r="H74" s="21">
        <f t="shared" si="5"/>
        <v>0</v>
      </c>
      <c r="I74" s="21">
        <f t="shared" si="6"/>
        <v>0</v>
      </c>
      <c r="J74" s="21">
        <f>'Stavební rozpočet'!G75</f>
        <v>19.75</v>
      </c>
      <c r="K74" s="21">
        <v>0</v>
      </c>
      <c r="L74" s="78">
        <v>19.75</v>
      </c>
      <c r="M74" s="85" t="str">
        <f t="shared" si="7"/>
        <v>Nefakturováno</v>
      </c>
      <c r="N74" s="21">
        <f t="shared" si="8"/>
        <v>0</v>
      </c>
      <c r="O74" s="90">
        <f t="shared" si="9"/>
        <v>-100</v>
      </c>
      <c r="P74" s="39"/>
      <c r="AE74" s="21">
        <v>0</v>
      </c>
    </row>
    <row r="75" spans="1:31" ht="12.75">
      <c r="A75" s="75"/>
      <c r="B75" s="14"/>
      <c r="C75" s="14" t="s">
        <v>161</v>
      </c>
      <c r="D75" s="139" t="s">
        <v>280</v>
      </c>
      <c r="E75" s="140"/>
      <c r="F75" s="47">
        <f>SUM(F76:F78)</f>
        <v>0</v>
      </c>
      <c r="G75" s="47">
        <f>SUM(G76:G78)</f>
        <v>0</v>
      </c>
      <c r="H75" s="47">
        <f aca="true" t="shared" si="10" ref="H75:H106">G75-F75</f>
        <v>0</v>
      </c>
      <c r="I75" s="47">
        <f aca="true" t="shared" si="11" ref="I75:I106">IF(F75=0,0,H75/F75*100)</f>
        <v>0</v>
      </c>
      <c r="J75" s="47">
        <f>SUM(J76:J78)</f>
        <v>335.44</v>
      </c>
      <c r="K75" s="47">
        <f>SUM(K76:K78)</f>
        <v>0</v>
      </c>
      <c r="L75" s="83">
        <f>J75-K75</f>
        <v>335.44</v>
      </c>
      <c r="M75" s="86" t="str">
        <f aca="true" t="shared" si="12" ref="M75:M106">IF(G75=0,"Nefakturováno",AE75)</f>
        <v>Nefakturováno</v>
      </c>
      <c r="N75" s="47">
        <f aca="true" t="shared" si="13" ref="N75:N106">AE75-G75</f>
        <v>0</v>
      </c>
      <c r="O75" s="91">
        <f aca="true" t="shared" si="14" ref="O75:O106">IF(G75&lt;&gt;0,N75/G75*100,-100)</f>
        <v>-100</v>
      </c>
      <c r="P75" s="39"/>
      <c r="AE75" s="21">
        <v>0</v>
      </c>
    </row>
    <row r="76" spans="1:31" ht="12.75">
      <c r="A76" s="4" t="s">
        <v>56</v>
      </c>
      <c r="B76" s="13"/>
      <c r="C76" s="13" t="s">
        <v>162</v>
      </c>
      <c r="D76" s="137" t="s">
        <v>281</v>
      </c>
      <c r="E76" s="138"/>
      <c r="F76" s="21">
        <f>'Stavební rozpočet'!K77</f>
        <v>0</v>
      </c>
      <c r="G76" s="21">
        <v>0</v>
      </c>
      <c r="H76" s="21">
        <f t="shared" si="10"/>
        <v>0</v>
      </c>
      <c r="I76" s="21">
        <f t="shared" si="11"/>
        <v>0</v>
      </c>
      <c r="J76" s="21">
        <f>'Stavební rozpočet'!G77</f>
        <v>137.72</v>
      </c>
      <c r="K76" s="21">
        <v>0</v>
      </c>
      <c r="L76" s="78">
        <v>137.72</v>
      </c>
      <c r="M76" s="85" t="str">
        <f t="shared" si="12"/>
        <v>Nefakturováno</v>
      </c>
      <c r="N76" s="21">
        <f t="shared" si="13"/>
        <v>0</v>
      </c>
      <c r="O76" s="90">
        <f t="shared" si="14"/>
        <v>-100</v>
      </c>
      <c r="P76" s="39"/>
      <c r="AE76" s="21">
        <v>0</v>
      </c>
    </row>
    <row r="77" spans="1:31" ht="12.75">
      <c r="A77" s="4" t="s">
        <v>57</v>
      </c>
      <c r="B77" s="13"/>
      <c r="C77" s="13" t="s">
        <v>163</v>
      </c>
      <c r="D77" s="137" t="s">
        <v>282</v>
      </c>
      <c r="E77" s="138"/>
      <c r="F77" s="21">
        <f>'Stavební rozpočet'!K78</f>
        <v>0</v>
      </c>
      <c r="G77" s="21">
        <v>0</v>
      </c>
      <c r="H77" s="21">
        <f t="shared" si="10"/>
        <v>0</v>
      </c>
      <c r="I77" s="21">
        <f t="shared" si="11"/>
        <v>0</v>
      </c>
      <c r="J77" s="21">
        <f>'Stavební rozpočet'!G78</f>
        <v>137.72</v>
      </c>
      <c r="K77" s="21">
        <v>0</v>
      </c>
      <c r="L77" s="78">
        <v>137.72</v>
      </c>
      <c r="M77" s="85" t="str">
        <f t="shared" si="12"/>
        <v>Nefakturováno</v>
      </c>
      <c r="N77" s="21">
        <f t="shared" si="13"/>
        <v>0</v>
      </c>
      <c r="O77" s="90">
        <f t="shared" si="14"/>
        <v>-100</v>
      </c>
      <c r="P77" s="39"/>
      <c r="AE77" s="21">
        <v>0</v>
      </c>
    </row>
    <row r="78" spans="1:31" ht="12.75">
      <c r="A78" s="4" t="s">
        <v>58</v>
      </c>
      <c r="B78" s="13"/>
      <c r="C78" s="13" t="s">
        <v>164</v>
      </c>
      <c r="D78" s="137" t="s">
        <v>283</v>
      </c>
      <c r="E78" s="138"/>
      <c r="F78" s="21">
        <f>'Stavební rozpočet'!K79</f>
        <v>0</v>
      </c>
      <c r="G78" s="21">
        <v>0</v>
      </c>
      <c r="H78" s="21">
        <f t="shared" si="10"/>
        <v>0</v>
      </c>
      <c r="I78" s="21">
        <f t="shared" si="11"/>
        <v>0</v>
      </c>
      <c r="J78" s="21">
        <f>'Stavební rozpočet'!G79</f>
        <v>60</v>
      </c>
      <c r="K78" s="21">
        <v>0</v>
      </c>
      <c r="L78" s="78">
        <v>60</v>
      </c>
      <c r="M78" s="85" t="str">
        <f t="shared" si="12"/>
        <v>Nefakturováno</v>
      </c>
      <c r="N78" s="21">
        <f t="shared" si="13"/>
        <v>0</v>
      </c>
      <c r="O78" s="90">
        <f t="shared" si="14"/>
        <v>-100</v>
      </c>
      <c r="P78" s="39"/>
      <c r="AE78" s="21">
        <v>0</v>
      </c>
    </row>
    <row r="79" spans="1:31" ht="12.75">
      <c r="A79" s="75"/>
      <c r="B79" s="14"/>
      <c r="C79" s="14" t="s">
        <v>165</v>
      </c>
      <c r="D79" s="139" t="s">
        <v>284</v>
      </c>
      <c r="E79" s="140"/>
      <c r="F79" s="47">
        <f>SUM(F80:F82)</f>
        <v>0</v>
      </c>
      <c r="G79" s="47">
        <f>SUM(G80:G82)</f>
        <v>0</v>
      </c>
      <c r="H79" s="47">
        <f t="shared" si="10"/>
        <v>0</v>
      </c>
      <c r="I79" s="47">
        <f t="shared" si="11"/>
        <v>0</v>
      </c>
      <c r="J79" s="47">
        <f>SUM(J80:J82)</f>
        <v>919.0699999999999</v>
      </c>
      <c r="K79" s="47">
        <f>SUM(K80:K82)</f>
        <v>0</v>
      </c>
      <c r="L79" s="83">
        <f>J79-K79</f>
        <v>919.0699999999999</v>
      </c>
      <c r="M79" s="86" t="str">
        <f t="shared" si="12"/>
        <v>Nefakturováno</v>
      </c>
      <c r="N79" s="47">
        <f t="shared" si="13"/>
        <v>0</v>
      </c>
      <c r="O79" s="91">
        <f t="shared" si="14"/>
        <v>-100</v>
      </c>
      <c r="P79" s="39"/>
      <c r="AE79" s="21">
        <v>0</v>
      </c>
    </row>
    <row r="80" spans="1:31" ht="12.75">
      <c r="A80" s="4" t="s">
        <v>59</v>
      </c>
      <c r="B80" s="13"/>
      <c r="C80" s="13" t="s">
        <v>166</v>
      </c>
      <c r="D80" s="137" t="s">
        <v>285</v>
      </c>
      <c r="E80" s="138"/>
      <c r="F80" s="21">
        <f>'Stavební rozpočet'!K81</f>
        <v>0</v>
      </c>
      <c r="G80" s="21">
        <v>0</v>
      </c>
      <c r="H80" s="21">
        <f t="shared" si="10"/>
        <v>0</v>
      </c>
      <c r="I80" s="21">
        <f t="shared" si="11"/>
        <v>0</v>
      </c>
      <c r="J80" s="21">
        <f>'Stavební rozpočet'!G81</f>
        <v>40.67</v>
      </c>
      <c r="K80" s="21">
        <v>0</v>
      </c>
      <c r="L80" s="78">
        <v>40.67</v>
      </c>
      <c r="M80" s="85" t="str">
        <f t="shared" si="12"/>
        <v>Nefakturováno</v>
      </c>
      <c r="N80" s="21">
        <f t="shared" si="13"/>
        <v>0</v>
      </c>
      <c r="O80" s="90">
        <f t="shared" si="14"/>
        <v>-100</v>
      </c>
      <c r="P80" s="39"/>
      <c r="AE80" s="21">
        <v>0</v>
      </c>
    </row>
    <row r="81" spans="1:31" ht="12.75">
      <c r="A81" s="4" t="s">
        <v>60</v>
      </c>
      <c r="B81" s="13"/>
      <c r="C81" s="13" t="s">
        <v>167</v>
      </c>
      <c r="D81" s="137" t="s">
        <v>286</v>
      </c>
      <c r="E81" s="138"/>
      <c r="F81" s="21">
        <f>'Stavební rozpočet'!K82</f>
        <v>0</v>
      </c>
      <c r="G81" s="21">
        <v>0</v>
      </c>
      <c r="H81" s="21">
        <f t="shared" si="10"/>
        <v>0</v>
      </c>
      <c r="I81" s="21">
        <f t="shared" si="11"/>
        <v>0</v>
      </c>
      <c r="J81" s="21">
        <f>'Stavební rozpočet'!G82</f>
        <v>875</v>
      </c>
      <c r="K81" s="21">
        <v>0</v>
      </c>
      <c r="L81" s="78">
        <v>875</v>
      </c>
      <c r="M81" s="85" t="str">
        <f t="shared" si="12"/>
        <v>Nefakturováno</v>
      </c>
      <c r="N81" s="21">
        <f t="shared" si="13"/>
        <v>0</v>
      </c>
      <c r="O81" s="90">
        <f t="shared" si="14"/>
        <v>-100</v>
      </c>
      <c r="P81" s="39"/>
      <c r="AE81" s="21">
        <v>0</v>
      </c>
    </row>
    <row r="82" spans="1:31" ht="12.75">
      <c r="A82" s="4" t="s">
        <v>61</v>
      </c>
      <c r="B82" s="13"/>
      <c r="C82" s="13" t="s">
        <v>168</v>
      </c>
      <c r="D82" s="137" t="s">
        <v>287</v>
      </c>
      <c r="E82" s="138"/>
      <c r="F82" s="21">
        <f>'Stavební rozpočet'!K83</f>
        <v>0</v>
      </c>
      <c r="G82" s="21">
        <v>0</v>
      </c>
      <c r="H82" s="21">
        <f t="shared" si="10"/>
        <v>0</v>
      </c>
      <c r="I82" s="21">
        <f t="shared" si="11"/>
        <v>0</v>
      </c>
      <c r="J82" s="21">
        <f>'Stavební rozpočet'!G83</f>
        <v>3.4</v>
      </c>
      <c r="K82" s="21">
        <v>0</v>
      </c>
      <c r="L82" s="78">
        <v>3.4</v>
      </c>
      <c r="M82" s="85" t="str">
        <f t="shared" si="12"/>
        <v>Nefakturováno</v>
      </c>
      <c r="N82" s="21">
        <f t="shared" si="13"/>
        <v>0</v>
      </c>
      <c r="O82" s="90">
        <f t="shared" si="14"/>
        <v>-100</v>
      </c>
      <c r="P82" s="39"/>
      <c r="AE82" s="21">
        <v>0</v>
      </c>
    </row>
    <row r="83" spans="1:31" ht="12.75">
      <c r="A83" s="75"/>
      <c r="B83" s="14"/>
      <c r="C83" s="14" t="s">
        <v>169</v>
      </c>
      <c r="D83" s="139" t="s">
        <v>288</v>
      </c>
      <c r="E83" s="140"/>
      <c r="F83" s="47">
        <f>SUM(F84:F88)</f>
        <v>0</v>
      </c>
      <c r="G83" s="47">
        <f>SUM(G84:G88)</f>
        <v>0</v>
      </c>
      <c r="H83" s="47">
        <f t="shared" si="10"/>
        <v>0</v>
      </c>
      <c r="I83" s="47">
        <f t="shared" si="11"/>
        <v>0</v>
      </c>
      <c r="J83" s="47">
        <f>SUM(J84:J88)</f>
        <v>25.18</v>
      </c>
      <c r="K83" s="47">
        <f>SUM(K84:K88)</f>
        <v>0</v>
      </c>
      <c r="L83" s="83">
        <f>J83-K83</f>
        <v>25.18</v>
      </c>
      <c r="M83" s="86" t="str">
        <f t="shared" si="12"/>
        <v>Nefakturováno</v>
      </c>
      <c r="N83" s="47">
        <f t="shared" si="13"/>
        <v>0</v>
      </c>
      <c r="O83" s="91">
        <f t="shared" si="14"/>
        <v>-100</v>
      </c>
      <c r="P83" s="39"/>
      <c r="AE83" s="21">
        <v>0</v>
      </c>
    </row>
    <row r="84" spans="1:31" ht="12.75">
      <c r="A84" s="4" t="s">
        <v>62</v>
      </c>
      <c r="B84" s="13"/>
      <c r="C84" s="13" t="s">
        <v>170</v>
      </c>
      <c r="D84" s="137" t="s">
        <v>289</v>
      </c>
      <c r="E84" s="138"/>
      <c r="F84" s="21">
        <f>'Stavební rozpočet'!K85</f>
        <v>0</v>
      </c>
      <c r="G84" s="21">
        <v>0</v>
      </c>
      <c r="H84" s="21">
        <f t="shared" si="10"/>
        <v>0</v>
      </c>
      <c r="I84" s="21">
        <f t="shared" si="11"/>
        <v>0</v>
      </c>
      <c r="J84" s="21">
        <f>'Stavební rozpočet'!G85</f>
        <v>4</v>
      </c>
      <c r="K84" s="21">
        <v>0</v>
      </c>
      <c r="L84" s="78">
        <v>4</v>
      </c>
      <c r="M84" s="85" t="str">
        <f t="shared" si="12"/>
        <v>Nefakturováno</v>
      </c>
      <c r="N84" s="21">
        <f t="shared" si="13"/>
        <v>0</v>
      </c>
      <c r="O84" s="90">
        <f t="shared" si="14"/>
        <v>-100</v>
      </c>
      <c r="P84" s="39"/>
      <c r="AE84" s="21">
        <v>0</v>
      </c>
    </row>
    <row r="85" spans="1:31" ht="12.75">
      <c r="A85" s="4" t="s">
        <v>63</v>
      </c>
      <c r="B85" s="13"/>
      <c r="C85" s="13" t="s">
        <v>171</v>
      </c>
      <c r="D85" s="137" t="s">
        <v>290</v>
      </c>
      <c r="E85" s="138"/>
      <c r="F85" s="21">
        <f>'Stavební rozpočet'!K86</f>
        <v>0</v>
      </c>
      <c r="G85" s="21">
        <v>0</v>
      </c>
      <c r="H85" s="21">
        <f t="shared" si="10"/>
        <v>0</v>
      </c>
      <c r="I85" s="21">
        <f t="shared" si="11"/>
        <v>0</v>
      </c>
      <c r="J85" s="21">
        <f>'Stavební rozpočet'!G86</f>
        <v>3.2</v>
      </c>
      <c r="K85" s="21">
        <v>0</v>
      </c>
      <c r="L85" s="78">
        <v>3.2</v>
      </c>
      <c r="M85" s="85" t="str">
        <f t="shared" si="12"/>
        <v>Nefakturováno</v>
      </c>
      <c r="N85" s="21">
        <f t="shared" si="13"/>
        <v>0</v>
      </c>
      <c r="O85" s="90">
        <f t="shared" si="14"/>
        <v>-100</v>
      </c>
      <c r="P85" s="39"/>
      <c r="AE85" s="21">
        <v>0</v>
      </c>
    </row>
    <row r="86" spans="1:31" ht="12.75">
      <c r="A86" s="4" t="s">
        <v>64</v>
      </c>
      <c r="B86" s="13"/>
      <c r="C86" s="13" t="s">
        <v>172</v>
      </c>
      <c r="D86" s="137" t="s">
        <v>291</v>
      </c>
      <c r="E86" s="138"/>
      <c r="F86" s="21">
        <f>'Stavební rozpočet'!K87</f>
        <v>0</v>
      </c>
      <c r="G86" s="21">
        <v>0</v>
      </c>
      <c r="H86" s="21">
        <f t="shared" si="10"/>
        <v>0</v>
      </c>
      <c r="I86" s="21">
        <f t="shared" si="11"/>
        <v>0</v>
      </c>
      <c r="J86" s="21">
        <f>'Stavební rozpočet'!G87</f>
        <v>12.24</v>
      </c>
      <c r="K86" s="21">
        <v>0</v>
      </c>
      <c r="L86" s="78">
        <v>12.24</v>
      </c>
      <c r="M86" s="85" t="str">
        <f t="shared" si="12"/>
        <v>Nefakturováno</v>
      </c>
      <c r="N86" s="21">
        <f t="shared" si="13"/>
        <v>0</v>
      </c>
      <c r="O86" s="90">
        <f t="shared" si="14"/>
        <v>-100</v>
      </c>
      <c r="P86" s="39"/>
      <c r="AE86" s="21">
        <v>0</v>
      </c>
    </row>
    <row r="87" spans="1:31" ht="12.75">
      <c r="A87" s="4" t="s">
        <v>65</v>
      </c>
      <c r="B87" s="13"/>
      <c r="C87" s="13" t="s">
        <v>173</v>
      </c>
      <c r="D87" s="137" t="s">
        <v>292</v>
      </c>
      <c r="E87" s="138"/>
      <c r="F87" s="21">
        <f>'Stavební rozpočet'!K88</f>
        <v>0</v>
      </c>
      <c r="G87" s="21">
        <v>0</v>
      </c>
      <c r="H87" s="21">
        <f t="shared" si="10"/>
        <v>0</v>
      </c>
      <c r="I87" s="21">
        <f t="shared" si="11"/>
        <v>0</v>
      </c>
      <c r="J87" s="21">
        <f>'Stavební rozpočet'!G88</f>
        <v>2</v>
      </c>
      <c r="K87" s="21">
        <v>0</v>
      </c>
      <c r="L87" s="78">
        <v>2</v>
      </c>
      <c r="M87" s="85" t="str">
        <f t="shared" si="12"/>
        <v>Nefakturováno</v>
      </c>
      <c r="N87" s="21">
        <f t="shared" si="13"/>
        <v>0</v>
      </c>
      <c r="O87" s="90">
        <f t="shared" si="14"/>
        <v>-100</v>
      </c>
      <c r="P87" s="39"/>
      <c r="AE87" s="21">
        <v>0</v>
      </c>
    </row>
    <row r="88" spans="1:31" ht="12.75">
      <c r="A88" s="4" t="s">
        <v>66</v>
      </c>
      <c r="B88" s="13"/>
      <c r="C88" s="13" t="s">
        <v>174</v>
      </c>
      <c r="D88" s="137" t="s">
        <v>293</v>
      </c>
      <c r="E88" s="138"/>
      <c r="F88" s="21">
        <f>'Stavební rozpočet'!K89</f>
        <v>0</v>
      </c>
      <c r="G88" s="21">
        <v>0</v>
      </c>
      <c r="H88" s="21">
        <f t="shared" si="10"/>
        <v>0</v>
      </c>
      <c r="I88" s="21">
        <f t="shared" si="11"/>
        <v>0</v>
      </c>
      <c r="J88" s="21">
        <f>'Stavební rozpočet'!G89</f>
        <v>3.74</v>
      </c>
      <c r="K88" s="21">
        <v>0</v>
      </c>
      <c r="L88" s="78">
        <v>3.74</v>
      </c>
      <c r="M88" s="85" t="str">
        <f t="shared" si="12"/>
        <v>Nefakturováno</v>
      </c>
      <c r="N88" s="21">
        <f t="shared" si="13"/>
        <v>0</v>
      </c>
      <c r="O88" s="90">
        <f t="shared" si="14"/>
        <v>-100</v>
      </c>
      <c r="P88" s="39"/>
      <c r="AE88" s="21">
        <v>0</v>
      </c>
    </row>
    <row r="89" spans="1:31" ht="12.75">
      <c r="A89" s="75"/>
      <c r="B89" s="14"/>
      <c r="C89" s="14" t="s">
        <v>175</v>
      </c>
      <c r="D89" s="139" t="s">
        <v>294</v>
      </c>
      <c r="E89" s="140"/>
      <c r="F89" s="47">
        <f>SUM(F90:F90)</f>
        <v>0</v>
      </c>
      <c r="G89" s="47">
        <f>SUM(G90:G90)</f>
        <v>0</v>
      </c>
      <c r="H89" s="47">
        <f t="shared" si="10"/>
        <v>0</v>
      </c>
      <c r="I89" s="47">
        <f t="shared" si="11"/>
        <v>0</v>
      </c>
      <c r="J89" s="47">
        <f>SUM(J90:J90)</f>
        <v>1</v>
      </c>
      <c r="K89" s="47">
        <f>SUM(K90:K90)</f>
        <v>0</v>
      </c>
      <c r="L89" s="83">
        <f>J89-K89</f>
        <v>1</v>
      </c>
      <c r="M89" s="86" t="str">
        <f t="shared" si="12"/>
        <v>Nefakturováno</v>
      </c>
      <c r="N89" s="47">
        <f t="shared" si="13"/>
        <v>0</v>
      </c>
      <c r="O89" s="91">
        <f t="shared" si="14"/>
        <v>-100</v>
      </c>
      <c r="P89" s="39"/>
      <c r="AE89" s="21">
        <v>0</v>
      </c>
    </row>
    <row r="90" spans="1:31" ht="12.75">
      <c r="A90" s="4" t="s">
        <v>67</v>
      </c>
      <c r="B90" s="13"/>
      <c r="C90" s="13" t="s">
        <v>176</v>
      </c>
      <c r="D90" s="137" t="s">
        <v>295</v>
      </c>
      <c r="E90" s="138"/>
      <c r="F90" s="21">
        <f>'Stavební rozpočet'!K91</f>
        <v>0</v>
      </c>
      <c r="G90" s="21">
        <v>0</v>
      </c>
      <c r="H90" s="21">
        <f t="shared" si="10"/>
        <v>0</v>
      </c>
      <c r="I90" s="21">
        <f t="shared" si="11"/>
        <v>0</v>
      </c>
      <c r="J90" s="21">
        <f>'Stavební rozpočet'!G91</f>
        <v>1</v>
      </c>
      <c r="K90" s="21">
        <v>0</v>
      </c>
      <c r="L90" s="78">
        <v>1</v>
      </c>
      <c r="M90" s="85" t="str">
        <f t="shared" si="12"/>
        <v>Nefakturováno</v>
      </c>
      <c r="N90" s="21">
        <f t="shared" si="13"/>
        <v>0</v>
      </c>
      <c r="O90" s="90">
        <f t="shared" si="14"/>
        <v>-100</v>
      </c>
      <c r="P90" s="39"/>
      <c r="AE90" s="21">
        <v>0</v>
      </c>
    </row>
    <row r="91" spans="1:31" ht="12.75">
      <c r="A91" s="75"/>
      <c r="B91" s="14"/>
      <c r="C91" s="14" t="s">
        <v>177</v>
      </c>
      <c r="D91" s="139" t="s">
        <v>296</v>
      </c>
      <c r="E91" s="140"/>
      <c r="F91" s="47">
        <f>SUM(F92:F92)</f>
        <v>0</v>
      </c>
      <c r="G91" s="47">
        <f>SUM(G92:G92)</f>
        <v>0</v>
      </c>
      <c r="H91" s="47">
        <f t="shared" si="10"/>
        <v>0</v>
      </c>
      <c r="I91" s="47">
        <f t="shared" si="11"/>
        <v>0</v>
      </c>
      <c r="J91" s="47">
        <f>SUM(J92:J92)</f>
        <v>4.17</v>
      </c>
      <c r="K91" s="47">
        <f>SUM(K92:K92)</f>
        <v>0</v>
      </c>
      <c r="L91" s="83">
        <f>J91-K91</f>
        <v>4.17</v>
      </c>
      <c r="M91" s="86" t="str">
        <f t="shared" si="12"/>
        <v>Nefakturováno</v>
      </c>
      <c r="N91" s="47">
        <f t="shared" si="13"/>
        <v>0</v>
      </c>
      <c r="O91" s="91">
        <f t="shared" si="14"/>
        <v>-100</v>
      </c>
      <c r="P91" s="39"/>
      <c r="AE91" s="21">
        <v>0</v>
      </c>
    </row>
    <row r="92" spans="1:31" ht="12.75">
      <c r="A92" s="4" t="s">
        <v>68</v>
      </c>
      <c r="B92" s="13"/>
      <c r="C92" s="13" t="s">
        <v>178</v>
      </c>
      <c r="D92" s="137" t="s">
        <v>297</v>
      </c>
      <c r="E92" s="138"/>
      <c r="F92" s="21">
        <f>'Stavební rozpočet'!K93</f>
        <v>0</v>
      </c>
      <c r="G92" s="21">
        <v>0</v>
      </c>
      <c r="H92" s="21">
        <f t="shared" si="10"/>
        <v>0</v>
      </c>
      <c r="I92" s="21">
        <f t="shared" si="11"/>
        <v>0</v>
      </c>
      <c r="J92" s="21">
        <f>'Stavební rozpočet'!G93</f>
        <v>4.17</v>
      </c>
      <c r="K92" s="21">
        <v>0</v>
      </c>
      <c r="L92" s="78">
        <v>4.17</v>
      </c>
      <c r="M92" s="85" t="str">
        <f t="shared" si="12"/>
        <v>Nefakturováno</v>
      </c>
      <c r="N92" s="21">
        <f t="shared" si="13"/>
        <v>0</v>
      </c>
      <c r="O92" s="90">
        <f t="shared" si="14"/>
        <v>-100</v>
      </c>
      <c r="P92" s="39"/>
      <c r="AE92" s="21">
        <v>0</v>
      </c>
    </row>
    <row r="93" spans="1:31" ht="12.75">
      <c r="A93" s="75"/>
      <c r="B93" s="14"/>
      <c r="C93" s="14" t="s">
        <v>179</v>
      </c>
      <c r="D93" s="139" t="s">
        <v>298</v>
      </c>
      <c r="E93" s="140"/>
      <c r="F93" s="47">
        <f>SUM(F94:F95)</f>
        <v>0</v>
      </c>
      <c r="G93" s="47">
        <f>SUM(G94:G95)</f>
        <v>0</v>
      </c>
      <c r="H93" s="47">
        <f t="shared" si="10"/>
        <v>0</v>
      </c>
      <c r="I93" s="47">
        <f t="shared" si="11"/>
        <v>0</v>
      </c>
      <c r="J93" s="47">
        <f>SUM(J94:J95)</f>
        <v>2</v>
      </c>
      <c r="K93" s="47">
        <f>SUM(K94:K95)</f>
        <v>0</v>
      </c>
      <c r="L93" s="83">
        <f>J93-K93</f>
        <v>2</v>
      </c>
      <c r="M93" s="86" t="str">
        <f t="shared" si="12"/>
        <v>Nefakturováno</v>
      </c>
      <c r="N93" s="47">
        <f t="shared" si="13"/>
        <v>0</v>
      </c>
      <c r="O93" s="91">
        <f t="shared" si="14"/>
        <v>-100</v>
      </c>
      <c r="P93" s="39"/>
      <c r="AE93" s="21">
        <v>0</v>
      </c>
    </row>
    <row r="94" spans="1:31" ht="12.75">
      <c r="A94" s="4" t="s">
        <v>69</v>
      </c>
      <c r="B94" s="13"/>
      <c r="C94" s="13" t="s">
        <v>180</v>
      </c>
      <c r="D94" s="137" t="s">
        <v>299</v>
      </c>
      <c r="E94" s="138"/>
      <c r="F94" s="21">
        <f>'Stavební rozpočet'!K95</f>
        <v>0</v>
      </c>
      <c r="G94" s="21">
        <v>0</v>
      </c>
      <c r="H94" s="21">
        <f t="shared" si="10"/>
        <v>0</v>
      </c>
      <c r="I94" s="21">
        <f t="shared" si="11"/>
        <v>0</v>
      </c>
      <c r="J94" s="21">
        <f>'Stavební rozpočet'!G95</f>
        <v>1</v>
      </c>
      <c r="K94" s="21">
        <v>0</v>
      </c>
      <c r="L94" s="78">
        <v>1</v>
      </c>
      <c r="M94" s="85" t="str">
        <f t="shared" si="12"/>
        <v>Nefakturováno</v>
      </c>
      <c r="N94" s="21">
        <f t="shared" si="13"/>
        <v>0</v>
      </c>
      <c r="O94" s="90">
        <f t="shared" si="14"/>
        <v>-100</v>
      </c>
      <c r="P94" s="39"/>
      <c r="AE94" s="21">
        <v>0</v>
      </c>
    </row>
    <row r="95" spans="1:31" ht="12.75">
      <c r="A95" s="4" t="s">
        <v>70</v>
      </c>
      <c r="B95" s="13"/>
      <c r="C95" s="13" t="s">
        <v>181</v>
      </c>
      <c r="D95" s="137" t="s">
        <v>300</v>
      </c>
      <c r="E95" s="138"/>
      <c r="F95" s="21">
        <f>'Stavební rozpočet'!K96</f>
        <v>0</v>
      </c>
      <c r="G95" s="21">
        <v>0</v>
      </c>
      <c r="H95" s="21">
        <f t="shared" si="10"/>
        <v>0</v>
      </c>
      <c r="I95" s="21">
        <f t="shared" si="11"/>
        <v>0</v>
      </c>
      <c r="J95" s="21">
        <f>'Stavební rozpočet'!G96</f>
        <v>1</v>
      </c>
      <c r="K95" s="21">
        <v>0</v>
      </c>
      <c r="L95" s="78">
        <v>1</v>
      </c>
      <c r="M95" s="85" t="str">
        <f t="shared" si="12"/>
        <v>Nefakturováno</v>
      </c>
      <c r="N95" s="21">
        <f t="shared" si="13"/>
        <v>0</v>
      </c>
      <c r="O95" s="90">
        <f t="shared" si="14"/>
        <v>-100</v>
      </c>
      <c r="P95" s="39"/>
      <c r="AE95" s="21">
        <v>0</v>
      </c>
    </row>
    <row r="96" spans="1:31" ht="12.75">
      <c r="A96" s="75"/>
      <c r="B96" s="14"/>
      <c r="C96" s="14" t="s">
        <v>182</v>
      </c>
      <c r="D96" s="139" t="s">
        <v>301</v>
      </c>
      <c r="E96" s="140"/>
      <c r="F96" s="47">
        <f>SUM(F97:F97)</f>
        <v>0</v>
      </c>
      <c r="G96" s="47">
        <f>SUM(G97:G97)</f>
        <v>0</v>
      </c>
      <c r="H96" s="47">
        <f t="shared" si="10"/>
        <v>0</v>
      </c>
      <c r="I96" s="47">
        <f t="shared" si="11"/>
        <v>0</v>
      </c>
      <c r="J96" s="47">
        <f>SUM(J97:J97)</f>
        <v>1</v>
      </c>
      <c r="K96" s="47">
        <f>SUM(K97:K97)</f>
        <v>0</v>
      </c>
      <c r="L96" s="83">
        <f>J96-K96</f>
        <v>1</v>
      </c>
      <c r="M96" s="86" t="str">
        <f t="shared" si="12"/>
        <v>Nefakturováno</v>
      </c>
      <c r="N96" s="47">
        <f t="shared" si="13"/>
        <v>0</v>
      </c>
      <c r="O96" s="91">
        <f t="shared" si="14"/>
        <v>-100</v>
      </c>
      <c r="P96" s="39"/>
      <c r="AE96" s="21">
        <v>0</v>
      </c>
    </row>
    <row r="97" spans="1:31" ht="12.75">
      <c r="A97" s="4" t="s">
        <v>71</v>
      </c>
      <c r="B97" s="13"/>
      <c r="C97" s="13" t="s">
        <v>183</v>
      </c>
      <c r="D97" s="137" t="s">
        <v>302</v>
      </c>
      <c r="E97" s="138"/>
      <c r="F97" s="21">
        <f>'Stavební rozpočet'!K98</f>
        <v>0</v>
      </c>
      <c r="G97" s="21">
        <v>0</v>
      </c>
      <c r="H97" s="21">
        <f t="shared" si="10"/>
        <v>0</v>
      </c>
      <c r="I97" s="21">
        <f t="shared" si="11"/>
        <v>0</v>
      </c>
      <c r="J97" s="21">
        <f>'Stavební rozpočet'!G98</f>
        <v>1</v>
      </c>
      <c r="K97" s="21">
        <v>0</v>
      </c>
      <c r="L97" s="78">
        <v>1</v>
      </c>
      <c r="M97" s="85" t="str">
        <f t="shared" si="12"/>
        <v>Nefakturováno</v>
      </c>
      <c r="N97" s="21">
        <f t="shared" si="13"/>
        <v>0</v>
      </c>
      <c r="O97" s="90">
        <f t="shared" si="14"/>
        <v>-100</v>
      </c>
      <c r="P97" s="39"/>
      <c r="AE97" s="21">
        <v>0</v>
      </c>
    </row>
    <row r="98" spans="1:31" ht="12.75">
      <c r="A98" s="75"/>
      <c r="B98" s="14"/>
      <c r="C98" s="14" t="s">
        <v>184</v>
      </c>
      <c r="D98" s="139" t="s">
        <v>303</v>
      </c>
      <c r="E98" s="140"/>
      <c r="F98" s="47">
        <f>SUM(F99:F106)</f>
        <v>0</v>
      </c>
      <c r="G98" s="47">
        <f>SUM(G99:G106)</f>
        <v>0</v>
      </c>
      <c r="H98" s="47">
        <f t="shared" si="10"/>
        <v>0</v>
      </c>
      <c r="I98" s="47">
        <f t="shared" si="11"/>
        <v>0</v>
      </c>
      <c r="J98" s="47">
        <f>SUM(J99:J106)</f>
        <v>27.040000000000003</v>
      </c>
      <c r="K98" s="47">
        <f>SUM(K99:K106)</f>
        <v>0</v>
      </c>
      <c r="L98" s="83">
        <f>J98-K98</f>
        <v>27.040000000000003</v>
      </c>
      <c r="M98" s="86" t="str">
        <f t="shared" si="12"/>
        <v>Nefakturováno</v>
      </c>
      <c r="N98" s="47">
        <f t="shared" si="13"/>
        <v>0</v>
      </c>
      <c r="O98" s="91">
        <f t="shared" si="14"/>
        <v>-100</v>
      </c>
      <c r="P98" s="39"/>
      <c r="AE98" s="21">
        <v>0</v>
      </c>
    </row>
    <row r="99" spans="1:31" ht="12.75">
      <c r="A99" s="4" t="s">
        <v>72</v>
      </c>
      <c r="B99" s="13"/>
      <c r="C99" s="13" t="s">
        <v>185</v>
      </c>
      <c r="D99" s="137" t="s">
        <v>304</v>
      </c>
      <c r="E99" s="138"/>
      <c r="F99" s="21">
        <f>'Stavební rozpočet'!K100</f>
        <v>0</v>
      </c>
      <c r="G99" s="21">
        <v>0</v>
      </c>
      <c r="H99" s="21">
        <f t="shared" si="10"/>
        <v>0</v>
      </c>
      <c r="I99" s="21">
        <f t="shared" si="11"/>
        <v>0</v>
      </c>
      <c r="J99" s="21">
        <f>'Stavební rozpočet'!G100</f>
        <v>1.69</v>
      </c>
      <c r="K99" s="21">
        <v>0</v>
      </c>
      <c r="L99" s="78">
        <v>1.69</v>
      </c>
      <c r="M99" s="85" t="str">
        <f t="shared" si="12"/>
        <v>Nefakturováno</v>
      </c>
      <c r="N99" s="21">
        <f t="shared" si="13"/>
        <v>0</v>
      </c>
      <c r="O99" s="90">
        <f t="shared" si="14"/>
        <v>-100</v>
      </c>
      <c r="P99" s="39"/>
      <c r="AE99" s="21">
        <v>0</v>
      </c>
    </row>
    <row r="100" spans="1:31" ht="12.75">
      <c r="A100" s="4" t="s">
        <v>73</v>
      </c>
      <c r="B100" s="13"/>
      <c r="C100" s="13" t="s">
        <v>186</v>
      </c>
      <c r="D100" s="137" t="s">
        <v>305</v>
      </c>
      <c r="E100" s="138"/>
      <c r="F100" s="21">
        <f>'Stavební rozpočet'!K101</f>
        <v>0</v>
      </c>
      <c r="G100" s="21">
        <v>0</v>
      </c>
      <c r="H100" s="21">
        <f t="shared" si="10"/>
        <v>0</v>
      </c>
      <c r="I100" s="21">
        <f t="shared" si="11"/>
        <v>0</v>
      </c>
      <c r="J100" s="21">
        <f>'Stavební rozpočet'!G101</f>
        <v>1.69</v>
      </c>
      <c r="K100" s="21">
        <v>0</v>
      </c>
      <c r="L100" s="78">
        <v>1.69</v>
      </c>
      <c r="M100" s="85" t="str">
        <f t="shared" si="12"/>
        <v>Nefakturováno</v>
      </c>
      <c r="N100" s="21">
        <f t="shared" si="13"/>
        <v>0</v>
      </c>
      <c r="O100" s="90">
        <f t="shared" si="14"/>
        <v>-100</v>
      </c>
      <c r="P100" s="39"/>
      <c r="AE100" s="21">
        <v>0</v>
      </c>
    </row>
    <row r="101" spans="1:31" ht="12.75">
      <c r="A101" s="4" t="s">
        <v>74</v>
      </c>
      <c r="B101" s="13"/>
      <c r="C101" s="13" t="s">
        <v>187</v>
      </c>
      <c r="D101" s="137" t="s">
        <v>306</v>
      </c>
      <c r="E101" s="138"/>
      <c r="F101" s="21">
        <f>'Stavební rozpočet'!K102</f>
        <v>0</v>
      </c>
      <c r="G101" s="21">
        <v>0</v>
      </c>
      <c r="H101" s="21">
        <f t="shared" si="10"/>
        <v>0</v>
      </c>
      <c r="I101" s="21">
        <f t="shared" si="11"/>
        <v>0</v>
      </c>
      <c r="J101" s="21">
        <f>'Stavební rozpočet'!G102</f>
        <v>1.69</v>
      </c>
      <c r="K101" s="21">
        <v>0</v>
      </c>
      <c r="L101" s="78">
        <v>1.69</v>
      </c>
      <c r="M101" s="85" t="str">
        <f t="shared" si="12"/>
        <v>Nefakturováno</v>
      </c>
      <c r="N101" s="21">
        <f t="shared" si="13"/>
        <v>0</v>
      </c>
      <c r="O101" s="90">
        <f t="shared" si="14"/>
        <v>-100</v>
      </c>
      <c r="P101" s="39"/>
      <c r="AE101" s="21">
        <v>0</v>
      </c>
    </row>
    <row r="102" spans="1:31" ht="12.75">
      <c r="A102" s="4" t="s">
        <v>75</v>
      </c>
      <c r="B102" s="13"/>
      <c r="C102" s="13" t="s">
        <v>188</v>
      </c>
      <c r="D102" s="137" t="s">
        <v>307</v>
      </c>
      <c r="E102" s="138"/>
      <c r="F102" s="21">
        <f>'Stavební rozpočet'!K103</f>
        <v>0</v>
      </c>
      <c r="G102" s="21">
        <v>0</v>
      </c>
      <c r="H102" s="21">
        <f t="shared" si="10"/>
        <v>0</v>
      </c>
      <c r="I102" s="21">
        <f t="shared" si="11"/>
        <v>0</v>
      </c>
      <c r="J102" s="21">
        <f>'Stavební rozpočet'!G103</f>
        <v>16.9</v>
      </c>
      <c r="K102" s="21">
        <v>0</v>
      </c>
      <c r="L102" s="78">
        <v>16.9</v>
      </c>
      <c r="M102" s="85" t="str">
        <f t="shared" si="12"/>
        <v>Nefakturováno</v>
      </c>
      <c r="N102" s="21">
        <f t="shared" si="13"/>
        <v>0</v>
      </c>
      <c r="O102" s="90">
        <f t="shared" si="14"/>
        <v>-100</v>
      </c>
      <c r="P102" s="39"/>
      <c r="AE102" s="21">
        <v>0</v>
      </c>
    </row>
    <row r="103" spans="1:31" ht="12.75">
      <c r="A103" s="4" t="s">
        <v>76</v>
      </c>
      <c r="B103" s="13"/>
      <c r="C103" s="13" t="s">
        <v>189</v>
      </c>
      <c r="D103" s="137" t="s">
        <v>308</v>
      </c>
      <c r="E103" s="138"/>
      <c r="F103" s="21">
        <f>'Stavební rozpočet'!K104</f>
        <v>0</v>
      </c>
      <c r="G103" s="21">
        <v>0</v>
      </c>
      <c r="H103" s="21">
        <f t="shared" si="10"/>
        <v>0</v>
      </c>
      <c r="I103" s="21">
        <f t="shared" si="11"/>
        <v>0</v>
      </c>
      <c r="J103" s="21">
        <f>'Stavební rozpočet'!G104</f>
        <v>1.69</v>
      </c>
      <c r="K103" s="21">
        <v>0</v>
      </c>
      <c r="L103" s="78">
        <v>1.69</v>
      </c>
      <c r="M103" s="85" t="str">
        <f t="shared" si="12"/>
        <v>Nefakturováno</v>
      </c>
      <c r="N103" s="21">
        <f t="shared" si="13"/>
        <v>0</v>
      </c>
      <c r="O103" s="90">
        <f t="shared" si="14"/>
        <v>-100</v>
      </c>
      <c r="P103" s="39"/>
      <c r="AE103" s="21">
        <v>0</v>
      </c>
    </row>
    <row r="104" spans="1:31" ht="12.75">
      <c r="A104" s="4" t="s">
        <v>77</v>
      </c>
      <c r="B104" s="13"/>
      <c r="C104" s="13" t="s">
        <v>190</v>
      </c>
      <c r="D104" s="137" t="s">
        <v>309</v>
      </c>
      <c r="E104" s="138"/>
      <c r="F104" s="21">
        <f>'Stavební rozpočet'!K105</f>
        <v>0</v>
      </c>
      <c r="G104" s="21">
        <v>0</v>
      </c>
      <c r="H104" s="21">
        <f t="shared" si="10"/>
        <v>0</v>
      </c>
      <c r="I104" s="21">
        <f t="shared" si="11"/>
        <v>0</v>
      </c>
      <c r="J104" s="21">
        <f>'Stavební rozpočet'!G105</f>
        <v>1.69</v>
      </c>
      <c r="K104" s="21">
        <v>0</v>
      </c>
      <c r="L104" s="78">
        <v>1.69</v>
      </c>
      <c r="M104" s="85" t="str">
        <f t="shared" si="12"/>
        <v>Nefakturováno</v>
      </c>
      <c r="N104" s="21">
        <f t="shared" si="13"/>
        <v>0</v>
      </c>
      <c r="O104" s="90">
        <f t="shared" si="14"/>
        <v>-100</v>
      </c>
      <c r="P104" s="39"/>
      <c r="AE104" s="21">
        <v>0</v>
      </c>
    </row>
    <row r="105" spans="1:31" ht="12.75">
      <c r="A105" s="4" t="s">
        <v>78</v>
      </c>
      <c r="B105" s="13"/>
      <c r="C105" s="13" t="s">
        <v>191</v>
      </c>
      <c r="D105" s="137" t="s">
        <v>310</v>
      </c>
      <c r="E105" s="138"/>
      <c r="F105" s="21">
        <f>'Stavební rozpočet'!K106</f>
        <v>0</v>
      </c>
      <c r="G105" s="21">
        <v>0</v>
      </c>
      <c r="H105" s="21">
        <f t="shared" si="10"/>
        <v>0</v>
      </c>
      <c r="I105" s="21">
        <f t="shared" si="11"/>
        <v>0</v>
      </c>
      <c r="J105" s="21">
        <f>'Stavební rozpočet'!G106</f>
        <v>1.28</v>
      </c>
      <c r="K105" s="21">
        <v>0</v>
      </c>
      <c r="L105" s="78">
        <v>1.28</v>
      </c>
      <c r="M105" s="85" t="str">
        <f t="shared" si="12"/>
        <v>Nefakturováno</v>
      </c>
      <c r="N105" s="21">
        <f t="shared" si="13"/>
        <v>0</v>
      </c>
      <c r="O105" s="90">
        <f t="shared" si="14"/>
        <v>-100</v>
      </c>
      <c r="P105" s="39"/>
      <c r="AE105" s="21">
        <v>0</v>
      </c>
    </row>
    <row r="106" spans="1:31" ht="12.75">
      <c r="A106" s="4" t="s">
        <v>79</v>
      </c>
      <c r="B106" s="13"/>
      <c r="C106" s="13" t="s">
        <v>192</v>
      </c>
      <c r="D106" s="137" t="s">
        <v>311</v>
      </c>
      <c r="E106" s="138"/>
      <c r="F106" s="21">
        <f>'Stavební rozpočet'!K107</f>
        <v>0</v>
      </c>
      <c r="G106" s="21">
        <v>0</v>
      </c>
      <c r="H106" s="21">
        <f t="shared" si="10"/>
        <v>0</v>
      </c>
      <c r="I106" s="21">
        <f t="shared" si="11"/>
        <v>0</v>
      </c>
      <c r="J106" s="21">
        <f>'Stavební rozpočet'!G107</f>
        <v>0.41</v>
      </c>
      <c r="K106" s="21">
        <v>0</v>
      </c>
      <c r="L106" s="78">
        <v>0.41</v>
      </c>
      <c r="M106" s="85" t="str">
        <f t="shared" si="12"/>
        <v>Nefakturováno</v>
      </c>
      <c r="N106" s="21">
        <f t="shared" si="13"/>
        <v>0</v>
      </c>
      <c r="O106" s="90">
        <f t="shared" si="14"/>
        <v>-100</v>
      </c>
      <c r="P106" s="39"/>
      <c r="AE106" s="21">
        <v>0</v>
      </c>
    </row>
    <row r="107" spans="1:31" ht="12.75">
      <c r="A107" s="75"/>
      <c r="B107" s="14"/>
      <c r="C107" s="14"/>
      <c r="D107" s="139" t="s">
        <v>312</v>
      </c>
      <c r="E107" s="140"/>
      <c r="F107" s="47">
        <f>SUM(F108:F126)</f>
        <v>0</v>
      </c>
      <c r="G107" s="47">
        <f>SUM(G108:G126)</f>
        <v>0</v>
      </c>
      <c r="H107" s="47">
        <f aca="true" t="shared" si="15" ref="H107:H126">G107-F107</f>
        <v>0</v>
      </c>
      <c r="I107" s="47">
        <f aca="true" t="shared" si="16" ref="I107:I126">IF(F107=0,0,H107/F107*100)</f>
        <v>0</v>
      </c>
      <c r="J107" s="47">
        <f>SUM(J108:J126)</f>
        <v>62</v>
      </c>
      <c r="K107" s="47">
        <f>SUM(K108:K126)</f>
        <v>0</v>
      </c>
      <c r="L107" s="83">
        <f>J107-K107</f>
        <v>62</v>
      </c>
      <c r="M107" s="86" t="str">
        <f aca="true" t="shared" si="17" ref="M107:M126">IF(G107=0,"Nefakturováno",AE107)</f>
        <v>Nefakturováno</v>
      </c>
      <c r="N107" s="47">
        <f aca="true" t="shared" si="18" ref="N107:N126">AE107-G107</f>
        <v>0</v>
      </c>
      <c r="O107" s="91">
        <f aca="true" t="shared" si="19" ref="O107:O126">IF(G107&lt;&gt;0,N107/G107*100,-100)</f>
        <v>-100</v>
      </c>
      <c r="P107" s="39"/>
      <c r="AE107" s="21">
        <v>0</v>
      </c>
    </row>
    <row r="108" spans="1:31" ht="12.75">
      <c r="A108" s="6" t="s">
        <v>80</v>
      </c>
      <c r="B108" s="15"/>
      <c r="C108" s="15" t="s">
        <v>193</v>
      </c>
      <c r="D108" s="141" t="s">
        <v>313</v>
      </c>
      <c r="E108" s="142"/>
      <c r="F108" s="22">
        <f>'Stavební rozpočet'!K109</f>
        <v>0</v>
      </c>
      <c r="G108" s="22">
        <v>0</v>
      </c>
      <c r="H108" s="22">
        <f t="shared" si="15"/>
        <v>0</v>
      </c>
      <c r="I108" s="22">
        <f t="shared" si="16"/>
        <v>0</v>
      </c>
      <c r="J108" s="22">
        <f>'Stavební rozpočet'!G109</f>
        <v>1</v>
      </c>
      <c r="K108" s="22">
        <v>0</v>
      </c>
      <c r="L108" s="79">
        <v>1</v>
      </c>
      <c r="M108" s="87" t="str">
        <f t="shared" si="17"/>
        <v>Nefakturováno</v>
      </c>
      <c r="N108" s="22">
        <f t="shared" si="18"/>
        <v>0</v>
      </c>
      <c r="O108" s="92">
        <f t="shared" si="19"/>
        <v>-100</v>
      </c>
      <c r="P108" s="39"/>
      <c r="AE108" s="22">
        <v>0</v>
      </c>
    </row>
    <row r="109" spans="1:31" ht="12.75">
      <c r="A109" s="6" t="s">
        <v>81</v>
      </c>
      <c r="B109" s="15"/>
      <c r="C109" s="15" t="s">
        <v>194</v>
      </c>
      <c r="D109" s="141" t="s">
        <v>314</v>
      </c>
      <c r="E109" s="142"/>
      <c r="F109" s="22">
        <f>'Stavební rozpočet'!K110</f>
        <v>0</v>
      </c>
      <c r="G109" s="22">
        <v>0</v>
      </c>
      <c r="H109" s="22">
        <f t="shared" si="15"/>
        <v>0</v>
      </c>
      <c r="I109" s="22">
        <f t="shared" si="16"/>
        <v>0</v>
      </c>
      <c r="J109" s="22">
        <f>'Stavební rozpočet'!G110</f>
        <v>1</v>
      </c>
      <c r="K109" s="22">
        <v>0</v>
      </c>
      <c r="L109" s="79">
        <v>1</v>
      </c>
      <c r="M109" s="87" t="str">
        <f t="shared" si="17"/>
        <v>Nefakturováno</v>
      </c>
      <c r="N109" s="22">
        <f t="shared" si="18"/>
        <v>0</v>
      </c>
      <c r="O109" s="92">
        <f t="shared" si="19"/>
        <v>-100</v>
      </c>
      <c r="P109" s="39"/>
      <c r="AE109" s="22">
        <v>0</v>
      </c>
    </row>
    <row r="110" spans="1:31" ht="12.75">
      <c r="A110" s="6" t="s">
        <v>82</v>
      </c>
      <c r="B110" s="15"/>
      <c r="C110" s="15" t="s">
        <v>195</v>
      </c>
      <c r="D110" s="141" t="s">
        <v>315</v>
      </c>
      <c r="E110" s="142"/>
      <c r="F110" s="22">
        <f>'Stavební rozpočet'!K111</f>
        <v>0</v>
      </c>
      <c r="G110" s="22">
        <v>0</v>
      </c>
      <c r="H110" s="22">
        <f t="shared" si="15"/>
        <v>0</v>
      </c>
      <c r="I110" s="22">
        <f t="shared" si="16"/>
        <v>0</v>
      </c>
      <c r="J110" s="22">
        <f>'Stavební rozpočet'!G111</f>
        <v>1</v>
      </c>
      <c r="K110" s="22">
        <v>0</v>
      </c>
      <c r="L110" s="79">
        <v>1</v>
      </c>
      <c r="M110" s="87" t="str">
        <f t="shared" si="17"/>
        <v>Nefakturováno</v>
      </c>
      <c r="N110" s="22">
        <f t="shared" si="18"/>
        <v>0</v>
      </c>
      <c r="O110" s="92">
        <f t="shared" si="19"/>
        <v>-100</v>
      </c>
      <c r="P110" s="39"/>
      <c r="AE110" s="22">
        <v>0</v>
      </c>
    </row>
    <row r="111" spans="1:31" ht="12.75">
      <c r="A111" s="6" t="s">
        <v>83</v>
      </c>
      <c r="B111" s="15"/>
      <c r="C111" s="15" t="s">
        <v>196</v>
      </c>
      <c r="D111" s="141" t="s">
        <v>316</v>
      </c>
      <c r="E111" s="142"/>
      <c r="F111" s="22">
        <f>'Stavební rozpočet'!K112</f>
        <v>0</v>
      </c>
      <c r="G111" s="22">
        <v>0</v>
      </c>
      <c r="H111" s="22">
        <f t="shared" si="15"/>
        <v>0</v>
      </c>
      <c r="I111" s="22">
        <f t="shared" si="16"/>
        <v>0</v>
      </c>
      <c r="J111" s="22">
        <f>'Stavební rozpočet'!G112</f>
        <v>1</v>
      </c>
      <c r="K111" s="22">
        <v>0</v>
      </c>
      <c r="L111" s="79">
        <v>1</v>
      </c>
      <c r="M111" s="87" t="str">
        <f t="shared" si="17"/>
        <v>Nefakturováno</v>
      </c>
      <c r="N111" s="22">
        <f t="shared" si="18"/>
        <v>0</v>
      </c>
      <c r="O111" s="92">
        <f t="shared" si="19"/>
        <v>-100</v>
      </c>
      <c r="P111" s="39"/>
      <c r="AE111" s="22">
        <v>0</v>
      </c>
    </row>
    <row r="112" spans="1:31" ht="12.75">
      <c r="A112" s="6" t="s">
        <v>84</v>
      </c>
      <c r="B112" s="15"/>
      <c r="C112" s="15" t="s">
        <v>197</v>
      </c>
      <c r="D112" s="141" t="s">
        <v>317</v>
      </c>
      <c r="E112" s="142"/>
      <c r="F112" s="22">
        <f>'Stavební rozpočet'!K113</f>
        <v>0</v>
      </c>
      <c r="G112" s="22">
        <v>0</v>
      </c>
      <c r="H112" s="22">
        <f t="shared" si="15"/>
        <v>0</v>
      </c>
      <c r="I112" s="22">
        <f t="shared" si="16"/>
        <v>0</v>
      </c>
      <c r="J112" s="22">
        <f>'Stavební rozpočet'!G113</f>
        <v>1</v>
      </c>
      <c r="K112" s="22">
        <v>0</v>
      </c>
      <c r="L112" s="79">
        <v>1</v>
      </c>
      <c r="M112" s="87" t="str">
        <f t="shared" si="17"/>
        <v>Nefakturováno</v>
      </c>
      <c r="N112" s="22">
        <f t="shared" si="18"/>
        <v>0</v>
      </c>
      <c r="O112" s="92">
        <f t="shared" si="19"/>
        <v>-100</v>
      </c>
      <c r="P112" s="39"/>
      <c r="AE112" s="22">
        <v>0</v>
      </c>
    </row>
    <row r="113" spans="1:31" ht="12.75">
      <c r="A113" s="6" t="s">
        <v>85</v>
      </c>
      <c r="B113" s="15"/>
      <c r="C113" s="15" t="s">
        <v>198</v>
      </c>
      <c r="D113" s="141" t="s">
        <v>318</v>
      </c>
      <c r="E113" s="142"/>
      <c r="F113" s="22">
        <f>'Stavební rozpočet'!K114</f>
        <v>0</v>
      </c>
      <c r="G113" s="22">
        <v>0</v>
      </c>
      <c r="H113" s="22">
        <f t="shared" si="15"/>
        <v>0</v>
      </c>
      <c r="I113" s="22">
        <f t="shared" si="16"/>
        <v>0</v>
      </c>
      <c r="J113" s="22">
        <f>'Stavební rozpočet'!G114</f>
        <v>1</v>
      </c>
      <c r="K113" s="22">
        <v>0</v>
      </c>
      <c r="L113" s="79">
        <v>1</v>
      </c>
      <c r="M113" s="87" t="str">
        <f t="shared" si="17"/>
        <v>Nefakturováno</v>
      </c>
      <c r="N113" s="22">
        <f t="shared" si="18"/>
        <v>0</v>
      </c>
      <c r="O113" s="92">
        <f t="shared" si="19"/>
        <v>-100</v>
      </c>
      <c r="P113" s="39"/>
      <c r="AE113" s="22">
        <v>0</v>
      </c>
    </row>
    <row r="114" spans="1:31" ht="12.75">
      <c r="A114" s="6" t="s">
        <v>86</v>
      </c>
      <c r="B114" s="15"/>
      <c r="C114" s="15" t="s">
        <v>199</v>
      </c>
      <c r="D114" s="141" t="s">
        <v>319</v>
      </c>
      <c r="E114" s="142"/>
      <c r="F114" s="22">
        <f>'Stavební rozpočet'!K115</f>
        <v>0</v>
      </c>
      <c r="G114" s="22">
        <v>0</v>
      </c>
      <c r="H114" s="22">
        <f t="shared" si="15"/>
        <v>0</v>
      </c>
      <c r="I114" s="22">
        <f t="shared" si="16"/>
        <v>0</v>
      </c>
      <c r="J114" s="22">
        <f>'Stavební rozpočet'!G115</f>
        <v>1</v>
      </c>
      <c r="K114" s="22">
        <v>0</v>
      </c>
      <c r="L114" s="79">
        <v>1</v>
      </c>
      <c r="M114" s="87" t="str">
        <f t="shared" si="17"/>
        <v>Nefakturováno</v>
      </c>
      <c r="N114" s="22">
        <f t="shared" si="18"/>
        <v>0</v>
      </c>
      <c r="O114" s="92">
        <f t="shared" si="19"/>
        <v>-100</v>
      </c>
      <c r="P114" s="39"/>
      <c r="AE114" s="22">
        <v>0</v>
      </c>
    </row>
    <row r="115" spans="1:31" ht="12.75">
      <c r="A115" s="6" t="s">
        <v>87</v>
      </c>
      <c r="B115" s="15"/>
      <c r="C115" s="15" t="s">
        <v>200</v>
      </c>
      <c r="D115" s="141" t="s">
        <v>320</v>
      </c>
      <c r="E115" s="142"/>
      <c r="F115" s="22">
        <f>'Stavební rozpočet'!K116</f>
        <v>0</v>
      </c>
      <c r="G115" s="22">
        <v>0</v>
      </c>
      <c r="H115" s="22">
        <f t="shared" si="15"/>
        <v>0</v>
      </c>
      <c r="I115" s="22">
        <f t="shared" si="16"/>
        <v>0</v>
      </c>
      <c r="J115" s="22">
        <f>'Stavební rozpočet'!G116</f>
        <v>1</v>
      </c>
      <c r="K115" s="22">
        <v>0</v>
      </c>
      <c r="L115" s="79">
        <v>1</v>
      </c>
      <c r="M115" s="87" t="str">
        <f t="shared" si="17"/>
        <v>Nefakturováno</v>
      </c>
      <c r="N115" s="22">
        <f t="shared" si="18"/>
        <v>0</v>
      </c>
      <c r="O115" s="92">
        <f t="shared" si="19"/>
        <v>-100</v>
      </c>
      <c r="P115" s="39"/>
      <c r="AE115" s="22">
        <v>0</v>
      </c>
    </row>
    <row r="116" spans="1:31" ht="12.75">
      <c r="A116" s="6" t="s">
        <v>88</v>
      </c>
      <c r="B116" s="15"/>
      <c r="C116" s="15" t="s">
        <v>201</v>
      </c>
      <c r="D116" s="141" t="s">
        <v>321</v>
      </c>
      <c r="E116" s="142"/>
      <c r="F116" s="22">
        <f>'Stavební rozpočet'!K117</f>
        <v>0</v>
      </c>
      <c r="G116" s="22">
        <v>0</v>
      </c>
      <c r="H116" s="22">
        <f t="shared" si="15"/>
        <v>0</v>
      </c>
      <c r="I116" s="22">
        <f t="shared" si="16"/>
        <v>0</v>
      </c>
      <c r="J116" s="22">
        <f>'Stavební rozpočet'!G117</f>
        <v>1</v>
      </c>
      <c r="K116" s="22">
        <v>0</v>
      </c>
      <c r="L116" s="79">
        <v>1</v>
      </c>
      <c r="M116" s="87" t="str">
        <f t="shared" si="17"/>
        <v>Nefakturováno</v>
      </c>
      <c r="N116" s="22">
        <f t="shared" si="18"/>
        <v>0</v>
      </c>
      <c r="O116" s="92">
        <f t="shared" si="19"/>
        <v>-100</v>
      </c>
      <c r="P116" s="39"/>
      <c r="AE116" s="22">
        <v>0</v>
      </c>
    </row>
    <row r="117" spans="1:31" ht="12.75">
      <c r="A117" s="6" t="s">
        <v>89</v>
      </c>
      <c r="B117" s="15"/>
      <c r="C117" s="15" t="s">
        <v>202</v>
      </c>
      <c r="D117" s="141" t="s">
        <v>322</v>
      </c>
      <c r="E117" s="142"/>
      <c r="F117" s="22">
        <f>'Stavební rozpočet'!K118</f>
        <v>0</v>
      </c>
      <c r="G117" s="22">
        <v>0</v>
      </c>
      <c r="H117" s="22">
        <f t="shared" si="15"/>
        <v>0</v>
      </c>
      <c r="I117" s="22">
        <f t="shared" si="16"/>
        <v>0</v>
      </c>
      <c r="J117" s="22">
        <f>'Stavební rozpočet'!G118</f>
        <v>1</v>
      </c>
      <c r="K117" s="22">
        <v>0</v>
      </c>
      <c r="L117" s="79">
        <v>1</v>
      </c>
      <c r="M117" s="87" t="str">
        <f t="shared" si="17"/>
        <v>Nefakturováno</v>
      </c>
      <c r="N117" s="22">
        <f t="shared" si="18"/>
        <v>0</v>
      </c>
      <c r="O117" s="92">
        <f t="shared" si="19"/>
        <v>-100</v>
      </c>
      <c r="P117" s="39"/>
      <c r="AE117" s="22">
        <v>0</v>
      </c>
    </row>
    <row r="118" spans="1:31" ht="12.75">
      <c r="A118" s="6" t="s">
        <v>90</v>
      </c>
      <c r="B118" s="15"/>
      <c r="C118" s="15" t="s">
        <v>203</v>
      </c>
      <c r="D118" s="141" t="s">
        <v>323</v>
      </c>
      <c r="E118" s="142"/>
      <c r="F118" s="22">
        <f>'Stavební rozpočet'!K119</f>
        <v>0</v>
      </c>
      <c r="G118" s="22">
        <v>0</v>
      </c>
      <c r="H118" s="22">
        <f t="shared" si="15"/>
        <v>0</v>
      </c>
      <c r="I118" s="22">
        <f t="shared" si="16"/>
        <v>0</v>
      </c>
      <c r="J118" s="22">
        <f>'Stavební rozpočet'!G119</f>
        <v>1</v>
      </c>
      <c r="K118" s="22">
        <v>0</v>
      </c>
      <c r="L118" s="79">
        <v>1</v>
      </c>
      <c r="M118" s="87" t="str">
        <f t="shared" si="17"/>
        <v>Nefakturováno</v>
      </c>
      <c r="N118" s="22">
        <f t="shared" si="18"/>
        <v>0</v>
      </c>
      <c r="O118" s="92">
        <f t="shared" si="19"/>
        <v>-100</v>
      </c>
      <c r="P118" s="39"/>
      <c r="AE118" s="22">
        <v>0</v>
      </c>
    </row>
    <row r="119" spans="1:31" ht="12.75">
      <c r="A119" s="6" t="s">
        <v>91</v>
      </c>
      <c r="B119" s="15"/>
      <c r="C119" s="15" t="s">
        <v>204</v>
      </c>
      <c r="D119" s="141" t="s">
        <v>324</v>
      </c>
      <c r="E119" s="142"/>
      <c r="F119" s="22">
        <f>'Stavební rozpočet'!K120</f>
        <v>0</v>
      </c>
      <c r="G119" s="22">
        <v>0</v>
      </c>
      <c r="H119" s="22">
        <f t="shared" si="15"/>
        <v>0</v>
      </c>
      <c r="I119" s="22">
        <f t="shared" si="16"/>
        <v>0</v>
      </c>
      <c r="J119" s="22">
        <f>'Stavební rozpočet'!G120</f>
        <v>1</v>
      </c>
      <c r="K119" s="22">
        <v>0</v>
      </c>
      <c r="L119" s="79">
        <v>1</v>
      </c>
      <c r="M119" s="87" t="str">
        <f t="shared" si="17"/>
        <v>Nefakturováno</v>
      </c>
      <c r="N119" s="22">
        <f t="shared" si="18"/>
        <v>0</v>
      </c>
      <c r="O119" s="92">
        <f t="shared" si="19"/>
        <v>-100</v>
      </c>
      <c r="P119" s="39"/>
      <c r="AE119" s="22">
        <v>0</v>
      </c>
    </row>
    <row r="120" spans="1:31" ht="12.75">
      <c r="A120" s="6" t="s">
        <v>92</v>
      </c>
      <c r="B120" s="15"/>
      <c r="C120" s="15" t="s">
        <v>205</v>
      </c>
      <c r="D120" s="141" t="s">
        <v>325</v>
      </c>
      <c r="E120" s="142"/>
      <c r="F120" s="22">
        <f>'Stavební rozpočet'!K121</f>
        <v>0</v>
      </c>
      <c r="G120" s="22">
        <v>0</v>
      </c>
      <c r="H120" s="22">
        <f t="shared" si="15"/>
        <v>0</v>
      </c>
      <c r="I120" s="22">
        <f t="shared" si="16"/>
        <v>0</v>
      </c>
      <c r="J120" s="22">
        <f>'Stavební rozpočet'!G121</f>
        <v>14</v>
      </c>
      <c r="K120" s="22">
        <v>0</v>
      </c>
      <c r="L120" s="79">
        <v>14</v>
      </c>
      <c r="M120" s="87" t="str">
        <f t="shared" si="17"/>
        <v>Nefakturováno</v>
      </c>
      <c r="N120" s="22">
        <f t="shared" si="18"/>
        <v>0</v>
      </c>
      <c r="O120" s="92">
        <f t="shared" si="19"/>
        <v>-100</v>
      </c>
      <c r="P120" s="39"/>
      <c r="AE120" s="22">
        <v>0</v>
      </c>
    </row>
    <row r="121" spans="1:31" ht="12.75">
      <c r="A121" s="6" t="s">
        <v>93</v>
      </c>
      <c r="B121" s="15"/>
      <c r="C121" s="15" t="s">
        <v>206</v>
      </c>
      <c r="D121" s="141" t="s">
        <v>326</v>
      </c>
      <c r="E121" s="142"/>
      <c r="F121" s="22">
        <f>'Stavební rozpočet'!K122</f>
        <v>0</v>
      </c>
      <c r="G121" s="22">
        <v>0</v>
      </c>
      <c r="H121" s="22">
        <f t="shared" si="15"/>
        <v>0</v>
      </c>
      <c r="I121" s="22">
        <f t="shared" si="16"/>
        <v>0</v>
      </c>
      <c r="J121" s="22">
        <f>'Stavební rozpočet'!G122</f>
        <v>7</v>
      </c>
      <c r="K121" s="22">
        <v>0</v>
      </c>
      <c r="L121" s="79">
        <v>7</v>
      </c>
      <c r="M121" s="87" t="str">
        <f t="shared" si="17"/>
        <v>Nefakturováno</v>
      </c>
      <c r="N121" s="22">
        <f t="shared" si="18"/>
        <v>0</v>
      </c>
      <c r="O121" s="92">
        <f t="shared" si="19"/>
        <v>-100</v>
      </c>
      <c r="P121" s="39"/>
      <c r="AE121" s="22">
        <v>0</v>
      </c>
    </row>
    <row r="122" spans="1:31" ht="12.75">
      <c r="A122" s="6" t="s">
        <v>94</v>
      </c>
      <c r="B122" s="15"/>
      <c r="C122" s="15" t="s">
        <v>207</v>
      </c>
      <c r="D122" s="141" t="s">
        <v>327</v>
      </c>
      <c r="E122" s="142"/>
      <c r="F122" s="22">
        <f>'Stavební rozpočet'!K123</f>
        <v>0</v>
      </c>
      <c r="G122" s="22">
        <v>0</v>
      </c>
      <c r="H122" s="22">
        <f t="shared" si="15"/>
        <v>0</v>
      </c>
      <c r="I122" s="22">
        <f t="shared" si="16"/>
        <v>0</v>
      </c>
      <c r="J122" s="22">
        <f>'Stavební rozpočet'!G123</f>
        <v>1</v>
      </c>
      <c r="K122" s="22">
        <v>0</v>
      </c>
      <c r="L122" s="79">
        <v>1</v>
      </c>
      <c r="M122" s="87" t="str">
        <f t="shared" si="17"/>
        <v>Nefakturováno</v>
      </c>
      <c r="N122" s="22">
        <f t="shared" si="18"/>
        <v>0</v>
      </c>
      <c r="O122" s="92">
        <f t="shared" si="19"/>
        <v>-100</v>
      </c>
      <c r="P122" s="39"/>
      <c r="AE122" s="22">
        <v>0</v>
      </c>
    </row>
    <row r="123" spans="1:31" ht="12.75">
      <c r="A123" s="6" t="s">
        <v>95</v>
      </c>
      <c r="B123" s="15"/>
      <c r="C123" s="15" t="s">
        <v>208</v>
      </c>
      <c r="D123" s="141" t="s">
        <v>328</v>
      </c>
      <c r="E123" s="142"/>
      <c r="F123" s="22">
        <f>'Stavební rozpočet'!K124</f>
        <v>0</v>
      </c>
      <c r="G123" s="22">
        <v>0</v>
      </c>
      <c r="H123" s="22">
        <f t="shared" si="15"/>
        <v>0</v>
      </c>
      <c r="I123" s="22">
        <f t="shared" si="16"/>
        <v>0</v>
      </c>
      <c r="J123" s="22">
        <f>'Stavební rozpočet'!G124</f>
        <v>10</v>
      </c>
      <c r="K123" s="22">
        <v>0</v>
      </c>
      <c r="L123" s="79">
        <v>10</v>
      </c>
      <c r="M123" s="87" t="str">
        <f t="shared" si="17"/>
        <v>Nefakturováno</v>
      </c>
      <c r="N123" s="22">
        <f t="shared" si="18"/>
        <v>0</v>
      </c>
      <c r="O123" s="92">
        <f t="shared" si="19"/>
        <v>-100</v>
      </c>
      <c r="P123" s="39"/>
      <c r="AE123" s="22">
        <v>0</v>
      </c>
    </row>
    <row r="124" spans="1:31" ht="12.75">
      <c r="A124" s="6" t="s">
        <v>96</v>
      </c>
      <c r="B124" s="15"/>
      <c r="C124" s="15" t="s">
        <v>209</v>
      </c>
      <c r="D124" s="141" t="s">
        <v>329</v>
      </c>
      <c r="E124" s="142"/>
      <c r="F124" s="22">
        <f>'Stavební rozpočet'!K125</f>
        <v>0</v>
      </c>
      <c r="G124" s="22">
        <v>0</v>
      </c>
      <c r="H124" s="22">
        <f t="shared" si="15"/>
        <v>0</v>
      </c>
      <c r="I124" s="22">
        <f t="shared" si="16"/>
        <v>0</v>
      </c>
      <c r="J124" s="22">
        <f>'Stavební rozpočet'!G125</f>
        <v>4</v>
      </c>
      <c r="K124" s="22">
        <v>0</v>
      </c>
      <c r="L124" s="79">
        <v>4</v>
      </c>
      <c r="M124" s="87" t="str">
        <f t="shared" si="17"/>
        <v>Nefakturováno</v>
      </c>
      <c r="N124" s="22">
        <f t="shared" si="18"/>
        <v>0</v>
      </c>
      <c r="O124" s="92">
        <f t="shared" si="19"/>
        <v>-100</v>
      </c>
      <c r="P124" s="39"/>
      <c r="AE124" s="22">
        <v>0</v>
      </c>
    </row>
    <row r="125" spans="1:31" ht="12.75">
      <c r="A125" s="6" t="s">
        <v>97</v>
      </c>
      <c r="B125" s="15"/>
      <c r="C125" s="15" t="s">
        <v>210</v>
      </c>
      <c r="D125" s="141" t="s">
        <v>330</v>
      </c>
      <c r="E125" s="142"/>
      <c r="F125" s="22">
        <f>'Stavební rozpočet'!K126</f>
        <v>0</v>
      </c>
      <c r="G125" s="22">
        <v>0</v>
      </c>
      <c r="H125" s="22">
        <f t="shared" si="15"/>
        <v>0</v>
      </c>
      <c r="I125" s="22">
        <f t="shared" si="16"/>
        <v>0</v>
      </c>
      <c r="J125" s="22">
        <f>'Stavební rozpočet'!G126</f>
        <v>4</v>
      </c>
      <c r="K125" s="22">
        <v>0</v>
      </c>
      <c r="L125" s="79">
        <v>4</v>
      </c>
      <c r="M125" s="87" t="str">
        <f t="shared" si="17"/>
        <v>Nefakturováno</v>
      </c>
      <c r="N125" s="22">
        <f t="shared" si="18"/>
        <v>0</v>
      </c>
      <c r="O125" s="92">
        <f t="shared" si="19"/>
        <v>-100</v>
      </c>
      <c r="P125" s="39"/>
      <c r="AE125" s="22">
        <v>0</v>
      </c>
    </row>
    <row r="126" spans="1:31" ht="12.75">
      <c r="A126" s="7" t="s">
        <v>98</v>
      </c>
      <c r="B126" s="16"/>
      <c r="C126" s="16" t="s">
        <v>211</v>
      </c>
      <c r="D126" s="144" t="s">
        <v>331</v>
      </c>
      <c r="E126" s="145"/>
      <c r="F126" s="23">
        <f>'Stavební rozpočet'!K127</f>
        <v>0</v>
      </c>
      <c r="G126" s="23">
        <v>0</v>
      </c>
      <c r="H126" s="23">
        <f t="shared" si="15"/>
        <v>0</v>
      </c>
      <c r="I126" s="23">
        <f t="shared" si="16"/>
        <v>0</v>
      </c>
      <c r="J126" s="23">
        <f>'Stavební rozpočet'!G127</f>
        <v>10</v>
      </c>
      <c r="K126" s="23">
        <v>0</v>
      </c>
      <c r="L126" s="80">
        <v>10</v>
      </c>
      <c r="M126" s="88" t="str">
        <f t="shared" si="17"/>
        <v>Nefakturováno</v>
      </c>
      <c r="N126" s="23">
        <f t="shared" si="18"/>
        <v>0</v>
      </c>
      <c r="O126" s="93">
        <f t="shared" si="19"/>
        <v>-100</v>
      </c>
      <c r="P126" s="39"/>
      <c r="AE126" s="22">
        <v>0</v>
      </c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ht="11.25" customHeight="1">
      <c r="A128" s="9" t="s">
        <v>99</v>
      </c>
    </row>
    <row r="129" spans="1:10" ht="12.75">
      <c r="A129" s="123"/>
      <c r="B129" s="114"/>
      <c r="C129" s="114"/>
      <c r="D129" s="114"/>
      <c r="E129" s="114"/>
      <c r="F129" s="114"/>
      <c r="G129" s="114"/>
      <c r="H129" s="114"/>
      <c r="I129" s="114"/>
      <c r="J129" s="114"/>
    </row>
  </sheetData>
  <sheetProtection/>
  <mergeCells count="143">
    <mergeCell ref="D124:E124"/>
    <mergeCell ref="D125:E125"/>
    <mergeCell ref="D126:E126"/>
    <mergeCell ref="A129:J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19" sqref="J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8"/>
      <c r="B1" s="94"/>
      <c r="C1" s="158" t="s">
        <v>454</v>
      </c>
      <c r="D1" s="110"/>
      <c r="E1" s="110"/>
      <c r="F1" s="110"/>
      <c r="G1" s="110"/>
      <c r="H1" s="110"/>
      <c r="I1" s="110"/>
    </row>
    <row r="2" spans="1:10" ht="12.75">
      <c r="A2" s="111" t="s">
        <v>0</v>
      </c>
      <c r="B2" s="112"/>
      <c r="C2" s="115" t="str">
        <f>'Stavební rozpočet'!D2</f>
        <v>OPRAVA SESTEREN A KLUBOVEN</v>
      </c>
      <c r="D2" s="116"/>
      <c r="E2" s="119" t="s">
        <v>350</v>
      </c>
      <c r="F2" s="119" t="str">
        <f>'Stavební rozpočet'!J2</f>
        <v> </v>
      </c>
      <c r="G2" s="112"/>
      <c r="H2" s="119" t="s">
        <v>479</v>
      </c>
      <c r="I2" s="159"/>
      <c r="J2" s="39"/>
    </row>
    <row r="3" spans="1:10" ht="12.75">
      <c r="A3" s="113"/>
      <c r="B3" s="114"/>
      <c r="C3" s="117"/>
      <c r="D3" s="117"/>
      <c r="E3" s="114"/>
      <c r="F3" s="114"/>
      <c r="G3" s="114"/>
      <c r="H3" s="114"/>
      <c r="I3" s="121"/>
      <c r="J3" s="39"/>
    </row>
    <row r="4" spans="1:10" ht="12.75">
      <c r="A4" s="122" t="s">
        <v>1</v>
      </c>
      <c r="B4" s="114"/>
      <c r="C4" s="123" t="str">
        <f>'Stavební rozpočet'!D4</f>
        <v>Objekt DS 2 - 4. N.p. - klubovna</v>
      </c>
      <c r="D4" s="114"/>
      <c r="E4" s="123" t="s">
        <v>351</v>
      </c>
      <c r="F4" s="123" t="str">
        <f>'Stavební rozpočet'!J4</f>
        <v> </v>
      </c>
      <c r="G4" s="114"/>
      <c r="H4" s="123" t="s">
        <v>479</v>
      </c>
      <c r="I4" s="160"/>
      <c r="J4" s="39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21"/>
      <c r="J5" s="39"/>
    </row>
    <row r="6" spans="1:10" ht="12.75">
      <c r="A6" s="122" t="s">
        <v>2</v>
      </c>
      <c r="B6" s="114"/>
      <c r="C6" s="123" t="str">
        <f>'Stavební rozpočet'!D6</f>
        <v>Domov Sedlčany, poskytovatel sociálních služeb</v>
      </c>
      <c r="D6" s="114"/>
      <c r="E6" s="123" t="s">
        <v>352</v>
      </c>
      <c r="F6" s="123" t="str">
        <f>'Stavební rozpočet'!J6</f>
        <v> </v>
      </c>
      <c r="G6" s="114"/>
      <c r="H6" s="123" t="s">
        <v>479</v>
      </c>
      <c r="I6" s="160"/>
      <c r="J6" s="39"/>
    </row>
    <row r="7" spans="1:10" ht="12.75">
      <c r="A7" s="113"/>
      <c r="B7" s="114"/>
      <c r="C7" s="114"/>
      <c r="D7" s="114"/>
      <c r="E7" s="114"/>
      <c r="F7" s="114"/>
      <c r="G7" s="114"/>
      <c r="H7" s="114"/>
      <c r="I7" s="121"/>
      <c r="J7" s="39"/>
    </row>
    <row r="8" spans="1:10" ht="12.75">
      <c r="A8" s="122" t="s">
        <v>333</v>
      </c>
      <c r="B8" s="114"/>
      <c r="C8" s="123" t="str">
        <f>'Stavební rozpočet'!H4</f>
        <v>15.11.2021</v>
      </c>
      <c r="D8" s="114"/>
      <c r="E8" s="123" t="s">
        <v>334</v>
      </c>
      <c r="F8" s="123" t="str">
        <f>'Stavební rozpočet'!H6</f>
        <v>31.03.2022</v>
      </c>
      <c r="G8" s="114"/>
      <c r="H8" s="124" t="s">
        <v>480</v>
      </c>
      <c r="I8" s="160" t="s">
        <v>98</v>
      </c>
      <c r="J8" s="39"/>
    </row>
    <row r="9" spans="1:10" ht="12.75">
      <c r="A9" s="113"/>
      <c r="B9" s="114"/>
      <c r="C9" s="114"/>
      <c r="D9" s="114"/>
      <c r="E9" s="114"/>
      <c r="F9" s="114"/>
      <c r="G9" s="114"/>
      <c r="H9" s="114"/>
      <c r="I9" s="121"/>
      <c r="J9" s="39"/>
    </row>
    <row r="10" spans="1:10" ht="12.75">
      <c r="A10" s="122" t="s">
        <v>3</v>
      </c>
      <c r="B10" s="114"/>
      <c r="C10" s="123">
        <f>'Stavební rozpočet'!D8</f>
        <v>8012122</v>
      </c>
      <c r="D10" s="114"/>
      <c r="E10" s="123" t="s">
        <v>353</v>
      </c>
      <c r="F10" s="123" t="str">
        <f>'Stavební rozpočet'!J8</f>
        <v>Mgr. Josef Šimonvský</v>
      </c>
      <c r="G10" s="114"/>
      <c r="H10" s="124" t="s">
        <v>481</v>
      </c>
      <c r="I10" s="147" t="str">
        <f>'Stavební rozpočet'!H8</f>
        <v>31.10.2021</v>
      </c>
      <c r="J10" s="39"/>
    </row>
    <row r="11" spans="1:10" ht="12.75">
      <c r="A11" s="153"/>
      <c r="B11" s="154"/>
      <c r="C11" s="154"/>
      <c r="D11" s="154"/>
      <c r="E11" s="154"/>
      <c r="F11" s="154"/>
      <c r="G11" s="154"/>
      <c r="H11" s="154"/>
      <c r="I11" s="155"/>
      <c r="J11" s="39"/>
    </row>
    <row r="12" spans="1:9" ht="23.25" customHeight="1">
      <c r="A12" s="161" t="s">
        <v>440</v>
      </c>
      <c r="B12" s="162"/>
      <c r="C12" s="162"/>
      <c r="D12" s="162"/>
      <c r="E12" s="162"/>
      <c r="F12" s="162"/>
      <c r="G12" s="162"/>
      <c r="H12" s="162"/>
      <c r="I12" s="162"/>
    </row>
    <row r="13" spans="1:10" ht="26.25" customHeight="1">
      <c r="A13" s="95" t="s">
        <v>441</v>
      </c>
      <c r="B13" s="163" t="s">
        <v>452</v>
      </c>
      <c r="C13" s="164"/>
      <c r="D13" s="95" t="s">
        <v>455</v>
      </c>
      <c r="E13" s="163" t="s">
        <v>464</v>
      </c>
      <c r="F13" s="164"/>
      <c r="G13" s="95" t="s">
        <v>465</v>
      </c>
      <c r="H13" s="163" t="s">
        <v>482</v>
      </c>
      <c r="I13" s="164"/>
      <c r="J13" s="39"/>
    </row>
    <row r="14" spans="1:10" ht="15" customHeight="1">
      <c r="A14" s="96" t="s">
        <v>442</v>
      </c>
      <c r="B14" s="99" t="s">
        <v>453</v>
      </c>
      <c r="C14" s="102">
        <f>SUM('Stavební rozpočet'!AB12:AB127)</f>
        <v>0</v>
      </c>
      <c r="D14" s="165" t="s">
        <v>456</v>
      </c>
      <c r="E14" s="166"/>
      <c r="F14" s="102">
        <v>0</v>
      </c>
      <c r="G14" s="165" t="s">
        <v>466</v>
      </c>
      <c r="H14" s="166"/>
      <c r="I14" s="102">
        <f>ROUND(C22*(2.5/100),2)</f>
        <v>0</v>
      </c>
      <c r="J14" s="39"/>
    </row>
    <row r="15" spans="1:10" ht="15" customHeight="1">
      <c r="A15" s="97"/>
      <c r="B15" s="99" t="s">
        <v>359</v>
      </c>
      <c r="C15" s="102">
        <f>SUM('Stavební rozpočet'!AC12:AC127)</f>
        <v>0</v>
      </c>
      <c r="D15" s="165" t="s">
        <v>457</v>
      </c>
      <c r="E15" s="166"/>
      <c r="F15" s="102">
        <v>0</v>
      </c>
      <c r="G15" s="165" t="s">
        <v>467</v>
      </c>
      <c r="H15" s="166"/>
      <c r="I15" s="102">
        <v>0</v>
      </c>
      <c r="J15" s="39"/>
    </row>
    <row r="16" spans="1:10" ht="15" customHeight="1">
      <c r="A16" s="96" t="s">
        <v>443</v>
      </c>
      <c r="B16" s="99" t="s">
        <v>453</v>
      </c>
      <c r="C16" s="102">
        <f>SUM('Stavební rozpočet'!AD12:AD127)</f>
        <v>0</v>
      </c>
      <c r="D16" s="165" t="s">
        <v>458</v>
      </c>
      <c r="E16" s="166"/>
      <c r="F16" s="102">
        <v>0</v>
      </c>
      <c r="G16" s="165" t="s">
        <v>468</v>
      </c>
      <c r="H16" s="166"/>
      <c r="I16" s="102">
        <v>0</v>
      </c>
      <c r="J16" s="39"/>
    </row>
    <row r="17" spans="1:10" ht="15" customHeight="1">
      <c r="A17" s="97"/>
      <c r="B17" s="99" t="s">
        <v>359</v>
      </c>
      <c r="C17" s="102">
        <f>SUM('Stavební rozpočet'!AE12:AE127)</f>
        <v>0</v>
      </c>
      <c r="D17" s="165"/>
      <c r="E17" s="166"/>
      <c r="F17" s="103"/>
      <c r="G17" s="165" t="s">
        <v>469</v>
      </c>
      <c r="H17" s="166"/>
      <c r="I17" s="102">
        <v>0</v>
      </c>
      <c r="J17" s="39"/>
    </row>
    <row r="18" spans="1:10" ht="15" customHeight="1">
      <c r="A18" s="96" t="s">
        <v>444</v>
      </c>
      <c r="B18" s="99" t="s">
        <v>453</v>
      </c>
      <c r="C18" s="102">
        <f>SUM('Stavební rozpočet'!AF12:AF127)</f>
        <v>0</v>
      </c>
      <c r="D18" s="165"/>
      <c r="E18" s="166"/>
      <c r="F18" s="103"/>
      <c r="G18" s="165" t="s">
        <v>470</v>
      </c>
      <c r="H18" s="166"/>
      <c r="I18" s="102">
        <v>0</v>
      </c>
      <c r="J18" s="39"/>
    </row>
    <row r="19" spans="1:10" ht="15" customHeight="1">
      <c r="A19" s="97"/>
      <c r="B19" s="99" t="s">
        <v>359</v>
      </c>
      <c r="C19" s="102">
        <f>SUM('Stavební rozpočet'!AG12:AG127)</f>
        <v>0</v>
      </c>
      <c r="D19" s="165"/>
      <c r="E19" s="166"/>
      <c r="F19" s="103"/>
      <c r="G19" s="165" t="s">
        <v>471</v>
      </c>
      <c r="H19" s="166"/>
      <c r="I19" s="102">
        <v>0</v>
      </c>
      <c r="J19" s="39"/>
    </row>
    <row r="20" spans="1:10" ht="15" customHeight="1">
      <c r="A20" s="167" t="s">
        <v>312</v>
      </c>
      <c r="B20" s="168"/>
      <c r="C20" s="102">
        <f>SUM('Stavební rozpočet'!AH12:AH127)</f>
        <v>0</v>
      </c>
      <c r="D20" s="165"/>
      <c r="E20" s="166"/>
      <c r="F20" s="103"/>
      <c r="G20" s="165"/>
      <c r="H20" s="166"/>
      <c r="I20" s="103"/>
      <c r="J20" s="39"/>
    </row>
    <row r="21" spans="1:10" ht="15" customHeight="1">
      <c r="A21" s="167" t="s">
        <v>445</v>
      </c>
      <c r="B21" s="168"/>
      <c r="C21" s="102">
        <f>SUM('Stavební rozpočet'!Z12:Z127)</f>
        <v>0</v>
      </c>
      <c r="D21" s="165"/>
      <c r="E21" s="166"/>
      <c r="F21" s="103"/>
      <c r="G21" s="165"/>
      <c r="H21" s="166"/>
      <c r="I21" s="103"/>
      <c r="J21" s="39"/>
    </row>
    <row r="22" spans="1:10" ht="16.5" customHeight="1">
      <c r="A22" s="167" t="s">
        <v>446</v>
      </c>
      <c r="B22" s="168"/>
      <c r="C22" s="102">
        <f>SUM(C14:C21)</f>
        <v>0</v>
      </c>
      <c r="D22" s="167" t="s">
        <v>459</v>
      </c>
      <c r="E22" s="168"/>
      <c r="F22" s="102">
        <f>SUM(F14:F21)</f>
        <v>0</v>
      </c>
      <c r="G22" s="167" t="s">
        <v>472</v>
      </c>
      <c r="H22" s="168"/>
      <c r="I22" s="102">
        <f>SUM(I14:I21)</f>
        <v>0</v>
      </c>
      <c r="J22" s="39"/>
    </row>
    <row r="23" spans="1:10" ht="15" customHeight="1">
      <c r="A23" s="8"/>
      <c r="B23" s="8"/>
      <c r="C23" s="100"/>
      <c r="D23" s="167" t="s">
        <v>460</v>
      </c>
      <c r="E23" s="168"/>
      <c r="F23" s="104">
        <v>0</v>
      </c>
      <c r="G23" s="167" t="s">
        <v>473</v>
      </c>
      <c r="H23" s="168"/>
      <c r="I23" s="102">
        <v>0</v>
      </c>
      <c r="J23" s="39"/>
    </row>
    <row r="24" spans="4:10" ht="15" customHeight="1">
      <c r="D24" s="8"/>
      <c r="E24" s="8"/>
      <c r="F24" s="105"/>
      <c r="G24" s="167" t="s">
        <v>474</v>
      </c>
      <c r="H24" s="168"/>
      <c r="I24" s="102">
        <v>0</v>
      </c>
      <c r="J24" s="39"/>
    </row>
    <row r="25" spans="6:10" ht="15" customHeight="1">
      <c r="F25" s="106"/>
      <c r="G25" s="167" t="s">
        <v>475</v>
      </c>
      <c r="H25" s="168"/>
      <c r="I25" s="102">
        <v>0</v>
      </c>
      <c r="J25" s="39"/>
    </row>
    <row r="26" spans="1:9" ht="12.75">
      <c r="A26" s="94"/>
      <c r="B26" s="94"/>
      <c r="C26" s="94"/>
      <c r="G26" s="8"/>
      <c r="H26" s="8"/>
      <c r="I26" s="8"/>
    </row>
    <row r="27" spans="1:9" ht="15" customHeight="1">
      <c r="A27" s="169" t="s">
        <v>447</v>
      </c>
      <c r="B27" s="170"/>
      <c r="C27" s="107">
        <f>SUM('Stavební rozpočet'!AJ12:AJ127)</f>
        <v>0</v>
      </c>
      <c r="D27" s="101"/>
      <c r="E27" s="94"/>
      <c r="F27" s="94"/>
      <c r="G27" s="94"/>
      <c r="H27" s="94"/>
      <c r="I27" s="94"/>
    </row>
    <row r="28" spans="1:10" ht="15" customHeight="1">
      <c r="A28" s="169" t="s">
        <v>448</v>
      </c>
      <c r="B28" s="170"/>
      <c r="C28" s="107">
        <f>SUM('Stavební rozpočet'!AK12:AK127)+(F22+I22+F23+I23+I24+I25)</f>
        <v>0</v>
      </c>
      <c r="D28" s="169" t="s">
        <v>461</v>
      </c>
      <c r="E28" s="170"/>
      <c r="F28" s="107">
        <f>ROUND(C28*(15/100),2)</f>
        <v>0</v>
      </c>
      <c r="G28" s="169" t="s">
        <v>476</v>
      </c>
      <c r="H28" s="170"/>
      <c r="I28" s="107">
        <f>SUM(C27:C29)</f>
        <v>0</v>
      </c>
      <c r="J28" s="39"/>
    </row>
    <row r="29" spans="1:10" ht="15" customHeight="1">
      <c r="A29" s="169" t="s">
        <v>449</v>
      </c>
      <c r="B29" s="170"/>
      <c r="C29" s="107">
        <f>SUM('Stavební rozpočet'!AL12:AL127)</f>
        <v>0</v>
      </c>
      <c r="D29" s="169" t="s">
        <v>462</v>
      </c>
      <c r="E29" s="170"/>
      <c r="F29" s="107">
        <f>ROUND(C29*(21/100),2)</f>
        <v>0</v>
      </c>
      <c r="G29" s="169" t="s">
        <v>477</v>
      </c>
      <c r="H29" s="170"/>
      <c r="I29" s="107">
        <f>SUM(F28:F29)+I28</f>
        <v>0</v>
      </c>
      <c r="J29" s="39"/>
    </row>
    <row r="30" spans="1:9" ht="12.75">
      <c r="A30" s="98"/>
      <c r="B30" s="98"/>
      <c r="C30" s="98"/>
      <c r="D30" s="98"/>
      <c r="E30" s="98"/>
      <c r="F30" s="98"/>
      <c r="G30" s="98"/>
      <c r="H30" s="98"/>
      <c r="I30" s="98"/>
    </row>
    <row r="31" spans="1:10" ht="14.25" customHeight="1">
      <c r="A31" s="171" t="s">
        <v>450</v>
      </c>
      <c r="B31" s="172"/>
      <c r="C31" s="173"/>
      <c r="D31" s="171" t="s">
        <v>463</v>
      </c>
      <c r="E31" s="172"/>
      <c r="F31" s="173"/>
      <c r="G31" s="171" t="s">
        <v>478</v>
      </c>
      <c r="H31" s="172"/>
      <c r="I31" s="173"/>
      <c r="J31" s="40"/>
    </row>
    <row r="32" spans="1:10" ht="14.25" customHeight="1">
      <c r="A32" s="174"/>
      <c r="B32" s="175"/>
      <c r="C32" s="176"/>
      <c r="D32" s="174"/>
      <c r="E32" s="175"/>
      <c r="F32" s="176"/>
      <c r="G32" s="174"/>
      <c r="H32" s="175"/>
      <c r="I32" s="176"/>
      <c r="J32" s="40"/>
    </row>
    <row r="33" spans="1:10" ht="14.25" customHeight="1">
      <c r="A33" s="174"/>
      <c r="B33" s="175"/>
      <c r="C33" s="176"/>
      <c r="D33" s="174"/>
      <c r="E33" s="175"/>
      <c r="F33" s="176"/>
      <c r="G33" s="174"/>
      <c r="H33" s="175"/>
      <c r="I33" s="176"/>
      <c r="J33" s="40"/>
    </row>
    <row r="34" spans="1:10" ht="14.25" customHeight="1">
      <c r="A34" s="174"/>
      <c r="B34" s="175"/>
      <c r="C34" s="176"/>
      <c r="D34" s="174"/>
      <c r="E34" s="175"/>
      <c r="F34" s="176"/>
      <c r="G34" s="174"/>
      <c r="H34" s="175"/>
      <c r="I34" s="176"/>
      <c r="J34" s="40"/>
    </row>
    <row r="35" spans="1:10" ht="14.25" customHeight="1">
      <c r="A35" s="177" t="s">
        <v>451</v>
      </c>
      <c r="B35" s="178"/>
      <c r="C35" s="179"/>
      <c r="D35" s="177" t="s">
        <v>451</v>
      </c>
      <c r="E35" s="178"/>
      <c r="F35" s="179"/>
      <c r="G35" s="177" t="s">
        <v>451</v>
      </c>
      <c r="H35" s="178"/>
      <c r="I35" s="179"/>
      <c r="J35" s="40"/>
    </row>
    <row r="36" spans="1:9" ht="11.25" customHeight="1">
      <c r="A36" s="70" t="s">
        <v>99</v>
      </c>
      <c r="B36" s="72"/>
      <c r="C36" s="72"/>
      <c r="D36" s="72"/>
      <c r="E36" s="72"/>
      <c r="F36" s="72"/>
      <c r="G36" s="72"/>
      <c r="H36" s="72"/>
      <c r="I36" s="72"/>
    </row>
    <row r="37" spans="1:9" ht="12.75">
      <c r="A37" s="123"/>
      <c r="B37" s="114"/>
      <c r="C37" s="114"/>
      <c r="D37" s="114"/>
      <c r="E37" s="114"/>
      <c r="F37" s="114"/>
      <c r="G37" s="114"/>
      <c r="H37" s="114"/>
      <c r="I37" s="11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Stas-Dobris</dc:creator>
  <cp:keywords/>
  <dc:description/>
  <cp:lastModifiedBy>Stas-Dobris</cp:lastModifiedBy>
  <dcterms:created xsi:type="dcterms:W3CDTF">2021-11-26T06:05:37Z</dcterms:created>
  <dcterms:modified xsi:type="dcterms:W3CDTF">2021-11-26T06:07:44Z</dcterms:modified>
  <cp:category/>
  <cp:version/>
  <cp:contentType/>
  <cp:contentStatus/>
</cp:coreProperties>
</file>