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00" windowHeight="8595" tabRatio="923" activeTab="2"/>
  </bookViews>
  <sheets>
    <sheet name="příloha 1" sheetId="1" r:id="rId1"/>
    <sheet name="Titl List" sheetId="2" r:id="rId2"/>
    <sheet name="toalety" sheetId="3" r:id="rId3"/>
  </sheets>
  <definedNames/>
  <calcPr fullCalcOnLoad="1"/>
</workbook>
</file>

<file path=xl/sharedStrings.xml><?xml version="1.0" encoding="utf-8"?>
<sst xmlns="http://schemas.openxmlformats.org/spreadsheetml/2006/main" count="1351" uniqueCount="588">
  <si>
    <t>i) Náklady na úpravu dokumentace - zpracování skutečného stavu provedeného díla, není-li uvedeno jinak.</t>
  </si>
  <si>
    <t>j) Náklady na zhotovení a demontáž zařízení staveniště a veškerých výkonů sloužících pro zhotovení díla a pro provoz díla uživatelů dále nepotřebných.</t>
  </si>
  <si>
    <t>k) Náklady na úhradu specialistů pro provedení zkoušek, které jsou pro provoz díla potřebné.</t>
  </si>
  <si>
    <t xml:space="preserve">l) Náklady na ochranu proti poškození stávajících konstrukcí nedotčených výstavbou. </t>
  </si>
  <si>
    <t xml:space="preserve">m) Náklady na ochranu proti promočení, povětrnostním a přírodním podmínkám všech stávajících a nových konstrukcí. </t>
  </si>
  <si>
    <t xml:space="preserve">n) Náklady na bezpečnostní opatření, která vyplývají z předpisů o bezpečnosti práce při demontážích, bourání a nové výstavbě. </t>
  </si>
  <si>
    <t>o) Náklady na znečištění a poškození díla. Zhotovitel musí své výkony, zejméná lícní pohledové plochy, obklady, plochy stěn podlahy a jejich povrchy, okna, dveře, zařizovací předměty a všechny ostatní části již zabudované a pod., chránit před zněčištěním a poškozením až do přejímky díla.</t>
  </si>
  <si>
    <r>
      <t xml:space="preserve">1) </t>
    </r>
    <r>
      <rPr>
        <sz val="10"/>
        <rFont val="Arial CE"/>
        <family val="2"/>
      </rPr>
      <t>Jednotkové ceny uvedené v Soupise prací budou zahrnovat veškeré práce(montáže)a dodávky potřebné 
pro dokončení a předání díla objednateli do užívání bez vad a nedodělků. Nabízené jednotkové ceny jsou 
pevné ceny, platné až do přejímky ve smyslu obchodního práva. Práce a dodávky výše neuvedené a dodavatelem opodstatněné,uvede samostatně pod čarou(na samostatnou složku),kterou přiloží k nabídce. 
Na pozdější požadavky plynoucí z nejasností nebo omylu jsou vyloučena.Nedílnou součástí výkazu výměr 
je i projektová dokumentace. Dodávka - materiály a kvalifikovaná práce vyžaduje odevzdat dílo jako celek
tak, aby bylo schopno plnit řádně svoji funkci po dobu několika dalších desítek let.</t>
    </r>
  </si>
  <si>
    <r>
      <t xml:space="preserve">2) </t>
    </r>
    <r>
      <rPr>
        <sz val="10"/>
        <rFont val="Arial CE"/>
        <family val="2"/>
      </rPr>
      <t>Zhotovitel je povinen si před předáním nabídky překontrolovat Soupis prací a dodávek s výkazem výměr 
dle PD, prohlédnout, přezkoumat staveniště  a jeho okolí a obstarat si všechny nezbytné a přístupné 
informace, které mu umožní zpracovat nabídku úplně a jednoznačně. Musí se přitom mezi jiným podrobně informovat o možnostech dopravy a přístupových cest, o možnostech spojení, obstarávání a skladování materiálu a dalších jiných souvisejících okolností a případná zjištěná rizika ve své nabídce dostatečně 
zohlednit. Pozdější požadavky plynoucí z omylu nebo neznalosti poměrů na staveništi nebo neúplného jsou vyloučena.</t>
    </r>
  </si>
  <si>
    <r>
      <t>3)</t>
    </r>
    <r>
      <rPr>
        <sz val="10"/>
        <rFont val="Arial"/>
        <family val="0"/>
      </rPr>
      <t xml:space="preserve"> Rozebírání konstrukcí bude prováděno opatrně postupným rozebíráním tj. ručním rozebíráním za pomoci ručních nástrojů  a páčidel s tím, že nebudou poškozeny žádné stávající konstrukce (stávající i nové). Budouli přesto poškozeny, jejich uvedení do původního stavu a s tím spojenou škodu (finanční náklady a další) si ponese v plném rozsahu zhotovitell.</t>
    </r>
  </si>
  <si>
    <r>
      <t xml:space="preserve">4) </t>
    </r>
    <r>
      <rPr>
        <sz val="10"/>
        <rFont val="Arial"/>
        <family val="0"/>
      </rPr>
      <t>Jednotkové ceny budou také zohledňovat požární ochranu:
Konstrukce budovy, členění stavby a použité materiály musí odpovídat českým požárním předpisům,  požadavkům a musí být v souladu s nejnovějšími poznatky. Požární předěly musí být řešeny esteticky (pokud možno beze změn v materiálech). Jednotkové ceny budou též obsahovat požární ucpávky, např. pískové. Respektována musí být ČSN 730872 "Požární bezpečnost staveb". Ochrana staveb proti šíření požáru vzduchotechnickým zařízením a technologickými prostupy a navazující předpisy.</t>
    </r>
  </si>
  <si>
    <r>
      <t>5)</t>
    </r>
    <r>
      <rPr>
        <sz val="10"/>
        <rFont val="Arial"/>
        <family val="0"/>
      </rPr>
      <t xml:space="preserve"> Jestliže se zdají být rozdílná pojetí ohledně druhu provedení při vypracování nabídky, je možná třeba před předáním nabídky vyžádat si vyjasnění se zadavatelem.</t>
    </r>
  </si>
  <si>
    <r>
      <t xml:space="preserve">6) </t>
    </r>
    <r>
      <rPr>
        <sz val="10"/>
        <rFont val="Arial"/>
        <family val="0"/>
      </rPr>
      <t>Zhotovitel prohlašuje, že všechny podmínky výběrového řízení ve všech jeho částech a přílohách zcela přečetl, přezkoumal a pochopil, a že uznává bez omezení, že pro něho jsou požadované výkony jasné a nerozporné, a že na základě své zkušenosti, technického a dispozičního personálu je schopen realizovat smluvní výkony bez závad, kompletně s funkční spolehlivostí, pohotově k použití respektivě provozuschopně podle uznávaných pravidel stavební techniky v daných lhůtách a termínech. Záruční lhůta činí zásadně minimálně 10(desel ) let.</t>
    </r>
  </si>
  <si>
    <r>
      <t>7)</t>
    </r>
    <r>
      <rPr>
        <sz val="10"/>
        <rFont val="Arial"/>
        <family val="0"/>
      </rPr>
      <t xml:space="preserve"> </t>
    </r>
    <r>
      <rPr>
        <sz val="10"/>
        <rFont val="Arial CE"/>
        <family val="2"/>
      </rPr>
      <t>Existuje striktní zákaz používání látek poškozující lakové vrstvy (způsobující prohlubně) zejména polytetrafluorénů a obdobných látek. Tyto látky nesmí být ani ve stavebních materiálech, pomocných stavebních materiálech, ve stavebních dílcích, pracovních prostředcích a pod. na staveništi. Personál staveniště je třeba v pravidelných časových odstupech o tomto zákazu poučit. Poučení je nutno zaprotokolovat, vždy jednu kopii je třeba předat objednateli k založení.</t>
    </r>
  </si>
  <si>
    <r>
      <t xml:space="preserve">8) </t>
    </r>
    <r>
      <rPr>
        <sz val="10"/>
        <rFont val="Arial CE"/>
        <family val="2"/>
      </rPr>
      <t>Rozpory v Soupisu prací a dodávek samy o sobě nebo v prováděcích podkladech k tomu příslušejících, je nutno, jakmile jsou zhotoviteli díla známy, písemně je sdělit objednateli.</t>
    </r>
  </si>
  <si>
    <r>
      <t>9)</t>
    </r>
    <r>
      <rPr>
        <sz val="10"/>
        <rFont val="Arial"/>
        <family val="0"/>
      </rPr>
      <t xml:space="preserve"> Jestliže požadovaná sdělení objednateli nedojdou, i když byla zhotoviteli známa, ručí zhotovitel díla za škody a špatné výkony, které jsou důsledkem takovýchto nejasností,  nemůže z těchto rozporů vyvodit žádné nároky na náhradu škody nebo omezení svého ručení.</t>
    </r>
  </si>
  <si>
    <r>
      <t>10</t>
    </r>
    <r>
      <rPr>
        <sz val="10"/>
        <rFont val="Arial"/>
        <family val="0"/>
      </rPr>
      <t>) Nedílnou součástí Soupisu prací a dodávek je i projektová dokumentace. Soupis prací a dodávek je určen pro ocenění díla nikoliv náhrada dokumentace.</t>
    </r>
  </si>
  <si>
    <t>t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</si>
  <si>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</si>
  <si>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</si>
  <si>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</si>
  <si>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</si>
  <si>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</si>
  <si>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</si>
  <si>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</si>
  <si>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</si>
  <si>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</si>
  <si>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</si>
  <si>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</si>
  <si>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</si>
  <si>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 stavební náklady  bez DPH 21%</t>
  </si>
  <si>
    <t>celkem</t>
  </si>
  <si>
    <t>p.č.</t>
  </si>
  <si>
    <t>popis prací a dodávek</t>
  </si>
  <si>
    <t>m.j.</t>
  </si>
  <si>
    <t xml:space="preserve">množství </t>
  </si>
  <si>
    <t>jednotková cena  Kč/m.j.</t>
  </si>
  <si>
    <t>celková cena  Kč</t>
  </si>
  <si>
    <t>příloha č. 1</t>
  </si>
  <si>
    <t>Všeobecné podmínky k Soupisu prací a dodávek</t>
  </si>
  <si>
    <t>Smluvní strany se budou řídit právním řádem České republiky</t>
  </si>
  <si>
    <t xml:space="preserve">Jednotkové ceny nabídky zahrnují zejména : </t>
  </si>
  <si>
    <t xml:space="preserve">a) Veškeré náklady pro zhotovení bezvadného funkčně způsobilého díla, které je předmětem smlouvy a bude schopno plnit řádně svoji funkci po dobu několika dalších desítek let. </t>
  </si>
  <si>
    <t xml:space="preserve">b) Náklady pro zajištění bezpečnosti práce, ochrany materiálů, součástí a dalších předmětů pro bezvadné realizované dílo. </t>
  </si>
  <si>
    <t xml:space="preserve">d) Náklady na veškerý úklid na staveništi uvnitř i vně během zhotovování díla bude prováděný pravidelně a konečný úklid před přejímkou. Odvozy prováděné pravidelně zbylé suti, hmot a odpadků během zhotovování díla a dle potřeby. </t>
  </si>
  <si>
    <t>e) Náklady na zhotovení, předložení a odstranění použitých vzorků materiálů a kvality práce pro zhotovení díla, předepsané zkoušky a atesty podle příslušných předpisů nebo potřebných norem pro prokázání bezchybné funkce díla.</t>
  </si>
  <si>
    <t>f) Náklady na ochranu a pojištění díla až do přejímky.</t>
  </si>
  <si>
    <t>h) Náklady na zhotovení výkresů, výpočtů a dalších výkonů potřebných pro detailní rozpracování projektů předaných zadavatelem, které jsou potřebné pro bezvadnou realizaci díla (dílenská a montážní dokumentace).</t>
  </si>
  <si>
    <t>1</t>
  </si>
  <si>
    <t>2</t>
  </si>
  <si>
    <t>3</t>
  </si>
  <si>
    <t>Kč</t>
  </si>
  <si>
    <t>na akci :</t>
  </si>
  <si>
    <t xml:space="preserve"> sestavil :</t>
  </si>
  <si>
    <r>
      <t xml:space="preserve">Ing. Josef Fuk </t>
    </r>
    <r>
      <rPr>
        <sz val="10"/>
        <rFont val="Arial CE"/>
        <family val="2"/>
      </rPr>
      <t>- SIPK (+420606643181)</t>
    </r>
  </si>
  <si>
    <t>V Podbabě 2516, 160 00 Praha 6-Dejvice</t>
  </si>
  <si>
    <t>Generální  projektant :</t>
  </si>
  <si>
    <t>Pro zpracování Soupisu prací a dodávek s výkazem výměr je použito níže uvedených podkladů :</t>
  </si>
  <si>
    <t>m2</t>
  </si>
  <si>
    <t>bm</t>
  </si>
  <si>
    <t>16</t>
  </si>
  <si>
    <t>17</t>
  </si>
  <si>
    <t>18</t>
  </si>
  <si>
    <t>DPH 21%</t>
  </si>
  <si>
    <t>místo stavby :</t>
  </si>
  <si>
    <t>Rekapitulace nákladů</t>
  </si>
  <si>
    <t>kód</t>
  </si>
  <si>
    <t>ing. Jaroslav Borovička</t>
  </si>
  <si>
    <t>kpl</t>
  </si>
  <si>
    <t>Vypracoval :</t>
  </si>
  <si>
    <t xml:space="preserve">kpl </t>
  </si>
  <si>
    <t>ks</t>
  </si>
  <si>
    <t>9 - Dokončující konstrukce a práce</t>
  </si>
  <si>
    <t>721 - Zdravotně technické instalace budov</t>
  </si>
  <si>
    <t>19</t>
  </si>
  <si>
    <t>20</t>
  </si>
  <si>
    <t>21</t>
  </si>
  <si>
    <t>22</t>
  </si>
  <si>
    <t>68</t>
  </si>
  <si>
    <t>69</t>
  </si>
  <si>
    <t>70</t>
  </si>
  <si>
    <t>71</t>
  </si>
  <si>
    <t>94</t>
  </si>
  <si>
    <t>95</t>
  </si>
  <si>
    <t>96</t>
  </si>
  <si>
    <t>97</t>
  </si>
  <si>
    <t>99</t>
  </si>
  <si>
    <t>100</t>
  </si>
  <si>
    <t>ing Jan Macek</t>
  </si>
  <si>
    <r>
      <t>Věra Ulčová</t>
    </r>
    <r>
      <rPr>
        <sz val="10"/>
        <rFont val="Arial CE"/>
        <family val="2"/>
      </rPr>
      <t xml:space="preserve"> - SIMO (+420773518887)</t>
    </r>
  </si>
  <si>
    <t xml:space="preserve"> - Projektová dokumentace pro výběr dodavatele, která je jeho nedílnou součástí</t>
  </si>
  <si>
    <t xml:space="preserve">6 - Podlahové konstrukce </t>
  </si>
  <si>
    <r>
      <rPr>
        <b/>
        <sz val="9"/>
        <rFont val="Arial"/>
        <family val="2"/>
      </rPr>
      <t>Penetrace</t>
    </r>
    <r>
      <rPr>
        <sz val="9"/>
        <rFont val="Arial"/>
        <family val="2"/>
      </rPr>
      <t xml:space="preserve"> podkladu </t>
    </r>
  </si>
  <si>
    <r>
      <rPr>
        <b/>
        <sz val="9"/>
        <rFont val="Arial"/>
        <family val="2"/>
      </rPr>
      <t>Monáž</t>
    </r>
    <r>
      <rPr>
        <sz val="9"/>
        <rFont val="Arial"/>
        <family val="2"/>
      </rPr>
      <t xml:space="preserve">+demontáž - Lešení pomocné pro zatížení do 150kg/m2 o výšce lešenové podlahy do 3,50m </t>
    </r>
  </si>
  <si>
    <r>
      <rPr>
        <b/>
        <sz val="9"/>
        <rFont val="Arial"/>
        <family val="2"/>
      </rPr>
      <t>Úklid</t>
    </r>
    <r>
      <rPr>
        <sz val="9"/>
        <rFont val="Arial"/>
        <family val="2"/>
      </rPr>
      <t xml:space="preserve"> místností dotčených stavbou při výšce podlaží do 4m</t>
    </r>
  </si>
  <si>
    <t>c) Náklady na přípomoce,pomocný a montážní materiál, lešení, přesuny hmot-není-li uvedeno jinak pro vnitřní i vnější dopravu,  na skladování, dovozné, balné, zpětné odevzdání obalů, cla, ochrany konstrukcí, poplatky za skládkovné, recyklaci, dále náklady na veškeré údžbářské, opravárenské, udržovací práce nutné pro zhotovení díla a náklady na podpěrné konstrukce pro jakoukoliv výšku, na zařízení staveniště, mimostaveništní dopravu,  naní-li stanoveno-uvedeno jinak.</t>
  </si>
  <si>
    <t>g) Náklady na poskytnutí odborného dohledu tj. odpovědného stavbyvedoucího a vedoucího šéfmontéra.</t>
  </si>
  <si>
    <t>Středočeský kraj, Krajský úřad, 
Zborovská 81/11. Praha 5, 150 21</t>
  </si>
  <si>
    <t>investor, stavebník :</t>
  </si>
  <si>
    <t>elektro</t>
  </si>
  <si>
    <t>voda SV + TUV</t>
  </si>
  <si>
    <t>vypustit a napustit systém ÚT</t>
  </si>
  <si>
    <t>3b</t>
  </si>
  <si>
    <t>1a</t>
  </si>
  <si>
    <t>1c</t>
  </si>
  <si>
    <t>Opatrné odsekání obkladů z obkladaček vnitřních přes 1m2</t>
  </si>
  <si>
    <t>Demontáž pisoárů</t>
  </si>
  <si>
    <t>Demontáž umyvadel</t>
  </si>
  <si>
    <t>Demontáž sprchové vaničky</t>
  </si>
  <si>
    <t>Demontáž klosetů splachovacích s nádržkou</t>
  </si>
  <si>
    <t>sbr</t>
  </si>
  <si>
    <t>Baterie umyvadlové, sprchové,dřezové,výlevkové</t>
  </si>
  <si>
    <t>Demontáž dřezu na konzolách</t>
  </si>
  <si>
    <t>Demontáž výlevek diturvitových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</si>
  <si>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</si>
  <si>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</si>
  <si>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</si>
  <si>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</si>
  <si>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</si>
  <si>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</si>
  <si>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</si>
  <si>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</si>
  <si>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</si>
  <si>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</si>
  <si>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</si>
  <si>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</si>
  <si>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 xml:space="preserve">ks </t>
  </si>
  <si>
    <t>9-Přípravné práce + demontáže konstrukcí</t>
  </si>
  <si>
    <t>Vyřezání, zaslepení  a  úprava stávajícího vodovodního a kanalizačního potrubí</t>
  </si>
  <si>
    <t>Vysekání vodovodního potrubí DN do 52mm</t>
  </si>
  <si>
    <t>Vysekání kanalizačního potrubí DN do 200mm</t>
  </si>
  <si>
    <t>Nové konstrukce</t>
  </si>
  <si>
    <t>výměra viz odd. 9 / odsekání stávajících obkladů</t>
  </si>
  <si>
    <t>Omítka MVC pod obklady - vyrovnání podkladu, tl. do 10mm</t>
  </si>
  <si>
    <t>Začištění omítek s dodáním hmot kolem vybouraných obkladů</t>
  </si>
  <si>
    <t>Hrubá výplň rýh ve stěnách maltou o jakékoliv šířce rýhy</t>
  </si>
  <si>
    <t xml:space="preserve">Demontáž  zařizovacích předmětů </t>
  </si>
  <si>
    <r>
      <t xml:space="preserve">Napájecí zdroj až pro 8 zařízení - pisoárů
Kompletní provedení </t>
    </r>
    <r>
      <rPr>
        <sz val="9"/>
        <rFont val="Arial"/>
        <family val="2"/>
      </rPr>
      <t>včetně montážního a pomocného materiálu</t>
    </r>
  </si>
  <si>
    <r>
      <rPr>
        <b/>
        <sz val="9"/>
        <rFont val="Arial"/>
        <family val="2"/>
      </rPr>
      <t>Sušič rukou</t>
    </r>
    <r>
      <rPr>
        <sz val="9"/>
        <rFont val="Arial"/>
        <family val="2"/>
      </rPr>
      <t xml:space="preserve">, vel. Š. 265 x v. 270 x hl. 196mm, výkon 2200W, 425000120, Bezdotykové spínání pomocí infračerveného čidla
Plastový kryt
Elektrické připojení pomocí kabelu se zástrčkou
Barevné provedení: Bílá
Elektrické připojení: 230 V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</si>
  <si>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rPr>
        <b/>
        <sz val="9"/>
        <rFont val="Arial"/>
        <family val="2"/>
      </rPr>
      <t>Zásobník skládaných ručníků</t>
    </r>
    <r>
      <rPr>
        <sz val="9"/>
        <rFont val="Arial"/>
        <family val="2"/>
      </rPr>
      <t xml:space="preserve"> , stříbrný s logem, vel. v 345 mm x h 112 mm x š 306 mm stříbrný plast, 603250, transparentní záda a bok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</si>
  <si>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t xml:space="preserve">Dávkovač tekutého mýdla </t>
    </r>
    <r>
      <rPr>
        <sz val="9"/>
        <rFont val="Arial"/>
        <family val="2"/>
      </rPr>
      <t xml:space="preserve">- dolévací, 1 L, stříbrný s logem, 601250, vel.  v 232 mm x š 114 mm x h 124 mm, transparentní bok, 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</si>
  <si>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t xml:space="preserve">Zásuvka jednonásobná s ochranným kolíkem </t>
    </r>
    <r>
      <rPr>
        <sz val="9"/>
        <rFont val="Arial"/>
        <family val="2"/>
      </rPr>
      <t xml:space="preserve">kouřová šedá 5518A-A2349 S2, vel. š.70,8 mm,dl. 70,8 mm, v. 37,3 mm, hmotnost: 68,25 g, 16 A, 250 V AC, upevnění šrouby, šroubové svorky (pro vodiče 1,5-2,5 mm²)
</t>
    </r>
    <r>
      <rPr>
        <b/>
        <sz val="9"/>
        <rFont val="Arial"/>
        <family val="2"/>
      </rPr>
      <t xml:space="preserve">Kompletní provedení </t>
    </r>
    <r>
      <rPr>
        <sz val="9"/>
        <rFont val="Arial"/>
        <family val="2"/>
      </rPr>
      <t>včetně montážního a pomocného materiálu</t>
    </r>
  </si>
  <si>
    <r>
      <rPr>
        <b/>
        <sz val="9"/>
        <rFont val="Arial"/>
        <family val="2"/>
      </rPr>
      <t>Závěsné svítidlo</t>
    </r>
    <r>
      <rPr>
        <sz val="9"/>
        <rFont val="Arial"/>
        <family val="2"/>
      </rPr>
      <t xml:space="preserve">, kombinace chromovaného kovu a bílého skla, zavěšení na tři lanka, vhodné do všech druhů interiérů. specifikace: 1 x 60W  E27  230V, průměr stínidla: 30 cm, výška: 120 cm, provedení: chromovaný kov, bílé sklo + žárovka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</si>
  <si>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t>Zásobník toaletního papíru</t>
    </r>
    <r>
      <rPr>
        <sz val="9"/>
        <rFont val="Arial"/>
        <family val="2"/>
      </rPr>
      <t xml:space="preserve"> - nerez satén, pr. 26,5cm, AE25000
Výběr dle investora a architekta stavby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</si>
  <si>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rPr>
        <b/>
        <sz val="9"/>
        <rFont val="Arial"/>
        <family val="2"/>
      </rPr>
      <t>WC štětka válcová</t>
    </r>
    <r>
      <rPr>
        <sz val="9"/>
        <rFont val="Arial"/>
        <family val="2"/>
      </rPr>
      <t xml:space="preserve"> na postavení i zavěšení na stěnu, chrom 102313066, tato série nabízí volbu tradičního spoje nebo snadné a rychlé lepení, hmotnost  0,98 kg, vel. v. 390mm, průměr cca 90mm
Výběr dle investora a architekta stavby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</si>
  <si>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rPr>
        <b/>
        <sz val="9"/>
        <rFont val="Arial"/>
        <family val="2"/>
      </rPr>
      <t xml:space="preserve">Odpadkový koš kulatý 3 l </t>
    </r>
    <r>
      <rPr>
        <sz val="9"/>
        <rFont val="Arial"/>
        <family val="2"/>
      </rPr>
      <t>chrom,  6162, víko ovládané pedálem, plastová vyjímatelná vložka, provedení chrom, rozměry: výška 265 mm x šířka 165 mm
Výběr dle investora a architekta stavby</t>
    </r>
  </si>
  <si>
    <r>
      <rPr>
        <b/>
        <sz val="9"/>
        <rFont val="Arial"/>
        <family val="2"/>
      </rPr>
      <t>Odpadkový koš na papírové ručníky</t>
    </r>
    <r>
      <rPr>
        <sz val="9"/>
        <rFont val="Arial"/>
        <family val="2"/>
      </rPr>
      <t xml:space="preserve"> nerez, satén, 900771, montáž na zeď, vel. cca š. 370 x hl. 191 x v. 485mm, výběr dle investora a architekta stavby</t>
    </r>
  </si>
  <si>
    <r>
      <t>Kovový zásobník hygienických sáčků</t>
    </r>
    <r>
      <rPr>
        <sz val="9"/>
        <rFont val="Arial"/>
        <family val="2"/>
      </rPr>
      <t>, nerez matný, 103069, malé rozměry, výměnné náplně obsahují 25 ks hygienických sáčků, uzamykatelný na klíč, hmotnost: 0,36 kg, materiál: kov, barva: nerez matný, vel. v. 170 x š. 95 x hl. 24mm, výběr dle investora a architekta stavby</t>
    </r>
  </si>
  <si>
    <t>Jednotková cena obsahuje kompletní provedení včetně materiálu,montážního a pomocného materiálu= dodávka- repase, montáž, kování, povrchová úprava, montážní i podružný materiál, mimostaveništní doprava-dílna a zpět</t>
  </si>
  <si>
    <t>Výměry - pro podklad pod podlahové keramické dlaždice</t>
  </si>
  <si>
    <t>7719901111+0191</t>
  </si>
  <si>
    <r>
      <rPr>
        <b/>
        <sz val="9"/>
        <rFont val="Arial"/>
        <family val="2"/>
      </rPr>
      <t xml:space="preserve"> Keramická dlažba</t>
    </r>
    <r>
      <rPr>
        <sz val="9"/>
        <rFont val="Arial"/>
        <family val="2"/>
      </rPr>
      <t xml:space="preserve">-Dodávka - tmavě šedá 60x60cm, matná, rektifikovaná, slinutá, mrazuvzdorná, jemný, matný reliéf připomíná udusanou hlínu, dar63642.+ spárovací hmota vodě odolná, při dodávce odolnost proti otěru PEI 4, </t>
    </r>
  </si>
  <si>
    <t>781 47</t>
  </si>
  <si>
    <r>
      <rPr>
        <b/>
        <sz val="9"/>
        <rFont val="Arial"/>
        <family val="2"/>
      </rPr>
      <t>Řezání</t>
    </r>
    <r>
      <rPr>
        <sz val="9"/>
        <rFont val="Arial"/>
        <family val="2"/>
      </rPr>
      <t xml:space="preserve"> dlaždic keramických , rovné  
(1ks dlaždice ;8,125kg)
 cca ks4*6*5+ks*4*4*4</t>
    </r>
  </si>
  <si>
    <t xml:space="preserve"> 771 - Keramická dlažba </t>
  </si>
  <si>
    <r>
      <rPr>
        <b/>
        <sz val="9"/>
        <rFont val="Arial"/>
        <family val="2"/>
      </rPr>
      <t>Stavebn</t>
    </r>
    <r>
      <rPr>
        <sz val="9"/>
        <rFont val="Arial"/>
        <family val="2"/>
      </rPr>
      <t xml:space="preserve">í přípomoce pro rozvody vody,kanalizace, osazení umyvadel, baterii,  WC mís, pisoárů </t>
    </r>
  </si>
  <si>
    <t>Dodání nerezových dvířek pro ZTI vel. 400/400mm v rámu a osazení do zdiva</t>
  </si>
  <si>
    <r>
      <rPr>
        <b/>
        <sz val="9"/>
        <rFont val="Arial"/>
        <family val="2"/>
      </rPr>
      <t>Stavební</t>
    </r>
    <r>
      <rPr>
        <sz val="9"/>
        <rFont val="Arial"/>
        <family val="2"/>
      </rPr>
      <t xml:space="preserve"> přípomoce pro rozvody elektro a UT </t>
    </r>
  </si>
  <si>
    <t>781 - Keramické obklady</t>
  </si>
  <si>
    <t xml:space="preserve">Přesun hmot </t>
  </si>
  <si>
    <t>763 - Konstrukce suché výstavby - Sádrokartonové</t>
  </si>
  <si>
    <t>Potrubí připojovací - trubka PPs DN 50</t>
  </si>
  <si>
    <t>Potrubí připojovací - trubka PPs DN 70</t>
  </si>
  <si>
    <t>Potrubí připojovací - trubka PPs DN 100</t>
  </si>
  <si>
    <t>722 -  Vnitřní vodovod</t>
  </si>
  <si>
    <r>
      <t xml:space="preserve">náklady celkem </t>
    </r>
    <r>
      <rPr>
        <sz val="10"/>
        <rFont val="Arial"/>
        <family val="2"/>
      </rPr>
      <t>včetně</t>
    </r>
    <r>
      <rPr>
        <b/>
        <sz val="10"/>
        <rFont val="Arial"/>
        <family val="2"/>
      </rPr>
      <t xml:space="preserve"> DPH 21%</t>
    </r>
  </si>
  <si>
    <r>
      <rPr>
        <b/>
        <sz val="9"/>
        <rFont val="Arial"/>
        <family val="2"/>
      </rPr>
      <t>Vyvěšení</t>
    </r>
    <r>
      <rPr>
        <sz val="9"/>
        <rFont val="Arial"/>
        <family val="2"/>
      </rPr>
      <t xml:space="preserve"> dveří včetně uložení pro repasi a opětovným zavěšením</t>
    </r>
  </si>
  <si>
    <r>
      <rPr>
        <b/>
        <sz val="9"/>
        <rFont val="Arial"/>
        <family val="2"/>
      </rPr>
      <t>Vyrovnávac</t>
    </r>
    <r>
      <rPr>
        <sz val="9"/>
        <rFont val="Arial"/>
        <family val="2"/>
      </rPr>
      <t xml:space="preserve">í vrstva- samonivelační stěrka 30MPa, do  tl.6mm </t>
    </r>
  </si>
  <si>
    <r>
      <rPr>
        <b/>
        <sz val="9"/>
        <rFont val="Arial"/>
        <family val="2"/>
      </rPr>
      <t>Dodávka</t>
    </r>
    <r>
      <rPr>
        <sz val="9"/>
        <rFont val="Arial"/>
        <family val="2"/>
      </rPr>
      <t xml:space="preserve"> - Keramické obklady ,Obklad bílá 30x60cm, matná, rektifikovaná, wakv4104.1+ spárovací hmota vodě odolná.</t>
    </r>
  </si>
  <si>
    <t>Trubka plastová PPR - stabi, PH20</t>
  </si>
  <si>
    <t>Trubka D 20 x 2,8</t>
  </si>
  <si>
    <t>Trubka D 25 x 3,5</t>
  </si>
  <si>
    <t>Trubka D 32 x 4,5</t>
  </si>
  <si>
    <t>Trubka D 40 x 5,5</t>
  </si>
  <si>
    <t>Kohout rohový RK DN 15 s připojovací trubičkou</t>
  </si>
  <si>
    <t>725 - Zařizovací předměty</t>
  </si>
  <si>
    <t>Baterie jednopáková dřezová</t>
  </si>
  <si>
    <t>Baterie nástěnná vanová (pro výlevky)</t>
  </si>
  <si>
    <r>
      <rPr>
        <b/>
        <sz val="8"/>
        <rFont val="Arial"/>
        <family val="2"/>
      </rPr>
      <t>Páková umyvadlová baterie</t>
    </r>
    <r>
      <rPr>
        <sz val="8"/>
        <rFont val="Arial"/>
        <family val="2"/>
      </rPr>
      <t xml:space="preserve"> DN 15,  velikost S, chrom 32612002, hmotnost 1,84kg,  keramická kartuše, jednootvorová montáž, kovová páka, technologie kartuše 
pro hladkou manipulaci, variabilně nastavitelný omezovač průtoku, s omezovačem teploty, instalační systém s centrovací podporou, perlátor, odstranění vodního kamene přetřením, odtoková souprava DN 32, flexi připojovací 
hadičky
</t>
    </r>
    <r>
      <rPr>
        <b/>
        <sz val="8"/>
        <rFont val="Arial"/>
        <family val="2"/>
      </rPr>
      <t>Kompletní provedení</t>
    </r>
    <r>
      <rPr>
        <sz val="8"/>
        <rFont val="Arial"/>
        <family val="2"/>
      </rPr>
      <t xml:space="preserve"> včetně montážního a pomocného materiálu</t>
    </r>
  </si>
  <si>
    <r>
      <rPr>
        <b/>
        <sz val="8"/>
        <rFont val="Arial"/>
        <family val="2"/>
      </rPr>
      <t>Závěsný klozet</t>
    </r>
    <r>
      <rPr>
        <sz val="8"/>
        <rFont val="Arial"/>
        <family val="2"/>
      </rPr>
      <t xml:space="preserve"> s hlubokým splachováním, vel. šířka360xhl. 530xvýška 430 mm, sanitární keramika bílá,  H8209610000001, hmotnost 26kg
</t>
    </r>
    <r>
      <rPr>
        <b/>
        <sz val="8"/>
        <rFont val="Arial"/>
        <family val="2"/>
      </rPr>
      <t>WC sedátko s poklopem</t>
    </r>
    <r>
      <rPr>
        <sz val="8"/>
        <rFont val="Arial"/>
        <family val="2"/>
      </rPr>
      <t xml:space="preserve">, odnímatelné, se zpomalovacím sklápěcím systémem, duroplast, bílá H8919610000001, vel. š. 445x hl.365x v.35mm
</t>
    </r>
    <r>
      <rPr>
        <b/>
        <sz val="8"/>
        <rFont val="Arial"/>
        <family val="2"/>
      </rPr>
      <t>Kompletní provedení</t>
    </r>
    <r>
      <rPr>
        <sz val="8"/>
        <rFont val="Arial"/>
        <family val="2"/>
      </rPr>
      <t xml:space="preserve"> včetně montážního a pomocného materiálu</t>
    </r>
  </si>
  <si>
    <r>
      <rPr>
        <b/>
        <sz val="8"/>
        <rFont val="Arial"/>
        <family val="2"/>
      </rPr>
      <t>Nádržka pro závěsné WC,</t>
    </r>
    <r>
      <rPr>
        <sz val="8"/>
        <rFont val="Arial"/>
        <family val="2"/>
      </rPr>
      <t xml:space="preserve">  montážní prvek určený pro instalaci s mokrými procesy do masivních zděných konstrukcí, originální podomítková splachovací nádržka zaručuje rychlou a snadnou montáž, vysokou spolehlivost a jednoduchý servis. nosnost: 400 kg
Dodávka včetně:
Přívod vody R 1/2" s integrovaným rohovým ventilem a ručním ovládacím kolečkem, Splachovací koleno,  Ochranná zátka,  Kryt pro hrubou montáž pro servisní otvor,  Souprava pro připojení WC, ř 90 mm,  Odpadní koleno pro WC, PE-HD, ř 90 mm,  Přechodka, PE-HD, ř 90/110 mm,  2 závitové tyče M12 pro upevnění keramiky, Trubková chránička pro přívod vody, Výplňový díl,  Souprava pro tlumení hluku,  Upevňovací materiál
</t>
    </r>
    <r>
      <rPr>
        <b/>
        <sz val="8"/>
        <rFont val="Arial"/>
        <family val="2"/>
      </rPr>
      <t>Ovládací tlačítko</t>
    </r>
    <r>
      <rPr>
        <sz val="8"/>
        <rFont val="Arial"/>
        <family val="2"/>
      </rPr>
      <t xml:space="preserve">, pro 2 množství splachování,
k ovládání splachování u splachovacích nádržek pod omítku, ovládání zepředu, podrobnosti dle výběru investora a architekta stavby
</t>
    </r>
    <r>
      <rPr>
        <b/>
        <sz val="8"/>
        <rFont val="Arial"/>
        <family val="2"/>
      </rPr>
      <t>Kompletní provedení</t>
    </r>
    <r>
      <rPr>
        <sz val="8"/>
        <rFont val="Arial"/>
        <family val="2"/>
      </rPr>
      <t xml:space="preserve"> včetně montážního a pomocného materiálu</t>
    </r>
  </si>
  <si>
    <r>
      <rPr>
        <b/>
        <sz val="8"/>
        <rFont val="Arial"/>
        <family val="2"/>
      </rPr>
      <t>Pisoár keramický bílý</t>
    </r>
    <r>
      <rPr>
        <sz val="8"/>
        <rFont val="Arial"/>
        <family val="2"/>
      </rPr>
      <t xml:space="preserve"> s automatickým inteligentním (IQ) splachovačem,, Elektronika snímá a vyhodnocuje procesy v sifonu, na základě čehož dá pokyn ke spláchnutí. Ke spláchnutí stačí pouze jeden litr vody. Pokud dojde k přiblížení k pisoáru bez jeho následného použití, řídicí elektronika nereaguje. Tím se zabrání zbytečnému splachování při náhodném a krátkodobém vstupu (průchod kolem pisoáru apod.). Po 24 hodinách klidu pisoár automaticky spláchne. Konstrukční řešení splachovače umožňuje jednoduchou montáž, která sestává z pouhého připojení a zavěšení keramiky na stěnu. Vzhledem k uložení všech prvků v keramice je splachovač chráněn před mechanickým poškozením, a to i úmyslným. Pisoár neobsahuje žádné optické prvky a odstraňuje tedy nevýhody senzorové technologie, jako je zašpinění nebo poškození snímacích diod a jejich zhoršená citlivost na tmavé barvy, aup 5-II, Dodávka včetně: keramický pisoár, elektronika se snímačem, elektromagnetický ventil, rohový ventil s filtrem, samonasávací sifon, připojovací hadice s oplachovou přípojkou, instalační šrouby s krytkami – 2 kusy
</t>
    </r>
    <r>
      <rPr>
        <b/>
        <sz val="8"/>
        <rFont val="Arial"/>
        <family val="2"/>
      </rPr>
      <t xml:space="preserve">Kompletní provedení </t>
    </r>
    <r>
      <rPr>
        <sz val="8"/>
        <rFont val="Arial"/>
        <family val="2"/>
      </rPr>
      <t>včetně montážního a pomocného materiálu</t>
    </r>
  </si>
  <si>
    <t>Potrubí vnitřní kanalizační PP+HT systém tlumící zvuk</t>
  </si>
  <si>
    <t>784 - Malby stěn a stropů</t>
  </si>
  <si>
    <t>Opatrné odsekání parapetních keramických dlaždic, plochy do 1m2</t>
  </si>
  <si>
    <t xml:space="preserve">Přesun hmot  </t>
  </si>
  <si>
    <t>Zkouška těsnosti vodou do DN 200</t>
  </si>
  <si>
    <r>
      <t xml:space="preserve">721 - Vnitřní kanalizace </t>
    </r>
    <r>
      <rPr>
        <sz val="9"/>
        <rFont val="Arial"/>
        <family val="2"/>
      </rPr>
      <t xml:space="preserve">včetně montážního a </t>
    </r>
  </si>
  <si>
    <t>Proplach a desinfekce vodovodního potrubí 
do DN 80mm</t>
  </si>
  <si>
    <t>Zkouška těsnosti vodou do DN 50</t>
  </si>
  <si>
    <t>Přesun hmot  (8%)</t>
  </si>
  <si>
    <t xml:space="preserve">Dodáv.+Mont.
</t>
  </si>
  <si>
    <r>
      <t>Nástěnné svítidlo,</t>
    </r>
    <r>
      <rPr>
        <sz val="9"/>
        <rFont val="Arial"/>
        <family val="2"/>
      </rPr>
      <t xml:space="preserve"> čistý design a vysoká kvalita, 
matný bílý lakovaný kov, vhodné k osvětlení chodby, haly, schodiště nebo koupelny, 71135, včetně
 žárovky: 1x max. 100 watt halogenová R7S 230V, 
vel. v.10 cm x š. 18 cm x hl.6,5 cm, nástěnná deska: 
10 cm x 17 cm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</si>
  <si>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rPr>
        <b/>
        <sz val="9"/>
        <rFont val="Arial"/>
        <family val="2"/>
      </rPr>
      <t xml:space="preserve">Vypínač; </t>
    </r>
    <r>
      <rPr>
        <sz val="9"/>
        <rFont val="Arial"/>
        <family val="2"/>
      </rPr>
      <t xml:space="preserve">kryt spínače jednoduchý kouřová šedá 
3558A-A651 S2,vel. š. 65,3 mm,dl. 65 mm, v. 26 mm, hmotnost: 26,46 g, kryt spínače se dodává s 
přídržnou deskou pro upevnění k přístroji spínače+rámeček jednonásobný+ přístroj spínače jednopólového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</si>
  <si>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t xml:space="preserve">Kč </t>
  </si>
  <si>
    <t>Úpravy kabelů</t>
  </si>
  <si>
    <r>
      <t>Umyvadlo keramické bílé vel. 60x46,5x9,5cm</t>
    </r>
    <r>
      <rPr>
        <sz val="9"/>
        <rFont val="Arial"/>
        <family val="2"/>
      </rPr>
      <t xml:space="preserve">, s </t>
    </r>
    <r>
      <rPr>
        <sz val="8"/>
        <rFont val="Arial"/>
        <family val="2"/>
      </rPr>
      <t xml:space="preserve">otvorem na baterii uprostřed, s oblým designem, hmotnost 17kg, 1696.3.000.104.1
</t>
    </r>
    <r>
      <rPr>
        <b/>
        <sz val="8"/>
        <rFont val="Arial"/>
        <family val="2"/>
      </rPr>
      <t>Sifon umyvadlový</t>
    </r>
    <r>
      <rPr>
        <sz val="8"/>
        <rFont val="Arial"/>
        <family val="2"/>
      </rPr>
      <t xml:space="preserve">,  vtok 5/4 CR, chrom, hmotnost 0,74kg, sifm + manžeta
</t>
    </r>
    <r>
      <rPr>
        <b/>
        <sz val="8"/>
        <rFont val="Arial"/>
        <family val="2"/>
      </rPr>
      <t>Vtok um. 5/4</t>
    </r>
    <r>
      <rPr>
        <sz val="8"/>
        <rFont val="Arial"/>
        <family val="2"/>
      </rPr>
      <t>, clic-clac celochrom, hmotnost 0,50kg, vf785cr, clic-clac má kulatý pochromovaný klobouk, který dokonale překryje vtok v umyvadle, klobouk lze odmontovat a vyčistit tak vtok od nečistot jako jsou například lidské vlasy</t>
    </r>
    <r>
      <rPr>
        <b/>
        <sz val="8"/>
        <rFont val="Arial"/>
        <family val="2"/>
      </rPr>
      <t xml:space="preserve">
Montážní sada na uchycení umyvadla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Set pro mokré vrtání</t>
    </r>
    <r>
      <rPr>
        <sz val="8"/>
        <rFont val="Arial"/>
        <family val="2"/>
      </rPr>
      <t xml:space="preserve"> složený z diamantového vrtáku a adaptéru, který zajišťuje optimální chlazení a přesné vedení vrtáku.
</t>
    </r>
    <r>
      <rPr>
        <b/>
        <sz val="8"/>
        <rFont val="Arial"/>
        <family val="2"/>
      </rPr>
      <t xml:space="preserve">Zvukoizolační vložka k umyvadlu - </t>
    </r>
    <r>
      <rPr>
        <sz val="8"/>
        <rFont val="Arial"/>
        <family val="2"/>
      </rPr>
      <t xml:space="preserve">vložka z měkké hmoty, která se dává mezi umyvadlo a zeď. Zabraňuje prasknutí obkladů při dotažení umyvadla ke zdi
</t>
    </r>
    <r>
      <rPr>
        <b/>
        <sz val="8"/>
        <rFont val="Arial"/>
        <family val="2"/>
      </rPr>
      <t xml:space="preserve">Kompletní provedení </t>
    </r>
    <r>
      <rPr>
        <sz val="8"/>
        <rFont val="Arial"/>
        <family val="2"/>
      </rPr>
      <t>včetně montážního a pomocného materiálu</t>
    </r>
  </si>
  <si>
    <r>
      <rPr>
        <b/>
        <sz val="8"/>
        <rFont val="Arial"/>
        <family val="2"/>
      </rPr>
      <t>Předstěnový</t>
    </r>
    <r>
      <rPr>
        <sz val="8"/>
        <rFont val="Arial"/>
        <family val="2"/>
      </rPr>
      <t xml:space="preserve"> instalační systém do kombinovaných stěn   </t>
    </r>
  </si>
  <si>
    <r>
      <rPr>
        <b/>
        <sz val="9"/>
        <rFont val="Arial"/>
        <family val="2"/>
      </rPr>
      <t>Dřez</t>
    </r>
    <r>
      <rPr>
        <sz val="9"/>
        <rFont val="Arial"/>
        <family val="2"/>
      </rPr>
      <t xml:space="preserve"> nerezový včetně spodní kuch. skříňky</t>
    </r>
  </si>
  <si>
    <r>
      <rPr>
        <b/>
        <sz val="9"/>
        <rFont val="Arial"/>
        <family val="2"/>
      </rPr>
      <t>Výlevka</t>
    </r>
    <r>
      <rPr>
        <sz val="9"/>
        <rFont val="Arial"/>
        <family val="2"/>
      </rPr>
      <t xml:space="preserve"> ocelová</t>
    </r>
  </si>
  <si>
    <t>9 - Přípravné práce + demontáže konstrukcí</t>
  </si>
  <si>
    <t>6 - Vnitřní úpravy povrchů</t>
  </si>
  <si>
    <t>766 - Truhlářské konstrukce</t>
  </si>
  <si>
    <t>731 - Ústřední vytápění</t>
  </si>
  <si>
    <t>Nové a úprava připojovacího potrubí DN 15</t>
  </si>
  <si>
    <t>Termostatické hlavice včetně šroubení</t>
  </si>
  <si>
    <t>Přesun hmot</t>
  </si>
  <si>
    <t>Vyhláška 169/2016Sb.</t>
  </si>
  <si>
    <t xml:space="preserve"> - příloha č.1</t>
  </si>
  <si>
    <t>Elektroinstalace</t>
  </si>
  <si>
    <t>Interiérové prvky</t>
  </si>
  <si>
    <r>
      <rPr>
        <b/>
        <sz val="9"/>
        <rFont val="Arial"/>
        <family val="2"/>
      </rPr>
      <t>Demontáž,</t>
    </r>
    <r>
      <rPr>
        <sz val="9"/>
        <rFont val="Arial"/>
        <family val="2"/>
      </rPr>
      <t xml:space="preserve"> vyklizení a likvidace drobných předmětů -zásobník na toaletní papír, háček na dveřích, el. sušák rukou, nádoba+štětka na WC - zásobník na papír.ručníky </t>
    </r>
  </si>
  <si>
    <t>Demontáž malé kuchyňské linky-spodní+horní skříňka</t>
  </si>
  <si>
    <t>Opatrné odsekání podlahových keramických dlaždic, plochy přes 1m2 +začištění povrchu (zbroušení)+ zametení</t>
  </si>
  <si>
    <t>rýhy do hl 50mm a š. do 70mm. (pro vodu)</t>
  </si>
  <si>
    <t>Potrubí odpadní svislé - trubka PPs DN 100</t>
  </si>
  <si>
    <t>Kulový kohout KK DN 20</t>
  </si>
  <si>
    <t xml:space="preserve">Kloset zavěšený samonosný  do zapuštěné stěny </t>
  </si>
  <si>
    <t>Pisoár  s automatickém inteligentním splachováním</t>
  </si>
  <si>
    <t>v. č. 2a až 11a ( podlaží 1.NP - 6.NP )</t>
  </si>
  <si>
    <r>
      <rPr>
        <b/>
        <sz val="9"/>
        <rFont val="Arial"/>
        <family val="2"/>
      </rPr>
      <t>Vypnutí</t>
    </r>
    <r>
      <rPr>
        <sz val="9"/>
        <rFont val="Arial"/>
        <family val="2"/>
      </rPr>
      <t xml:space="preserve"> a po dokončení prací opětovné zapnutí medii 
v místnostech dotčených stavbou pro elektro, 
voda SV  + TUV , vypustit a napustit systém ÚT ; 
(úpravy na  WC  viz dle v. č.  2a až 11a) </t>
    </r>
  </si>
  <si>
    <t xml:space="preserve">2,95*2+4,71*2  </t>
  </si>
  <si>
    <t>4,82*2+0,45*2+3,62*2</t>
  </si>
  <si>
    <t>4,3*2</t>
  </si>
  <si>
    <t>4,25*2</t>
  </si>
  <si>
    <t>pánské toalety 1001 č.v.2a</t>
  </si>
  <si>
    <t>dámské toalety 1092 č.v.3a</t>
  </si>
  <si>
    <t>1,6*1,1+3,29*1,1</t>
  </si>
  <si>
    <t>4,12*1,1</t>
  </si>
  <si>
    <t>1,63*1,1+1,17*1,1+1,71*1,1+1,29*1,1</t>
  </si>
  <si>
    <t>4,3*1,4</t>
  </si>
  <si>
    <t>4,32*1,1</t>
  </si>
  <si>
    <t>pánské toalety 1093 č.v. 4a</t>
  </si>
  <si>
    <t xml:space="preserve"> 1001a ;</t>
  </si>
  <si>
    <t>1001b ;</t>
  </si>
  <si>
    <t>1001c ;</t>
  </si>
  <si>
    <t>1001d ;</t>
  </si>
  <si>
    <t>1092a ;</t>
  </si>
  <si>
    <t>1092b ;</t>
  </si>
  <si>
    <t>1092c ;</t>
  </si>
  <si>
    <t>1092d ;</t>
  </si>
  <si>
    <t xml:space="preserve"> 1092e ;</t>
  </si>
  <si>
    <t>1093a ;</t>
  </si>
  <si>
    <t>1093b</t>
  </si>
  <si>
    <t>1093c</t>
  </si>
  <si>
    <t>1093d</t>
  </si>
  <si>
    <t>5,19*1,1+1,15*1,1</t>
  </si>
  <si>
    <t>1,43*1,4+0,2*1,4+1,17*1,4+0,31*0,3+0,91*1,07+0,31*0,3+4,05*1,4</t>
  </si>
  <si>
    <t>4,04*1,1</t>
  </si>
  <si>
    <t>3,05*1,1+0,21*,35+,9*,74+,21*,35+,39*1,1</t>
  </si>
  <si>
    <t>dámské toalety 2083 č.v.5a</t>
  </si>
  <si>
    <t>2083a</t>
  </si>
  <si>
    <t>2083b</t>
  </si>
  <si>
    <t>2083c</t>
  </si>
  <si>
    <t>2083e</t>
  </si>
  <si>
    <t>2083d</t>
  </si>
  <si>
    <t>2083f</t>
  </si>
  <si>
    <t>5,32*2</t>
  </si>
  <si>
    <t>3,85*2</t>
  </si>
  <si>
    <t>3,82*2</t>
  </si>
  <si>
    <t>kuchyňka 2090 č.v. 6a</t>
  </si>
  <si>
    <t>5,94*2</t>
  </si>
  <si>
    <t>3078a</t>
  </si>
  <si>
    <t>3078b</t>
  </si>
  <si>
    <t>3078c</t>
  </si>
  <si>
    <t>1,015*2+0,2*1,25+0,9*1,25+0,2*1,25+0,63*2+3,3*2</t>
  </si>
  <si>
    <t>úklid a dámské toalety 3078 č.v. 7a</t>
  </si>
  <si>
    <t>pánské toalety 4077 č.v. 8a</t>
  </si>
  <si>
    <t>,95*2+,34*,75+,86*1,25+,34*,75+2,534*2+,29*2+,29*2</t>
  </si>
  <si>
    <t>4077a</t>
  </si>
  <si>
    <t>4077b</t>
  </si>
  <si>
    <t>4077c</t>
  </si>
  <si>
    <t>4077d</t>
  </si>
  <si>
    <t>1,93*2+,36*1,2+,98*,8+,34*1,2+,98*2+3,47*2</t>
  </si>
  <si>
    <t>4,06*2</t>
  </si>
  <si>
    <t>3,96*2</t>
  </si>
  <si>
    <t>dámské toalety 4078 č.v. 9a</t>
  </si>
  <si>
    <t>4078a</t>
  </si>
  <si>
    <t>4078b</t>
  </si>
  <si>
    <t>2,95*2+1,46*2</t>
  </si>
  <si>
    <t>4,64*2</t>
  </si>
  <si>
    <t>pánské toalety 5026 10a</t>
  </si>
  <si>
    <t>5026a</t>
  </si>
  <si>
    <t>5026b</t>
  </si>
  <si>
    <t>5026c</t>
  </si>
  <si>
    <t>5026d</t>
  </si>
  <si>
    <t>1,09*2+,2*1,2+,76*,8+,2*1,2+,98*2+3,47*2</t>
  </si>
  <si>
    <t>1,61*2+,63*,75+1,25*1,25+,63*,75+,3*2+,2*2</t>
  </si>
  <si>
    <t>4,08*2</t>
  </si>
  <si>
    <t>4*2</t>
  </si>
  <si>
    <t>dámské toalety 5025 11a</t>
  </si>
  <si>
    <t>5025a</t>
  </si>
  <si>
    <t>5025b</t>
  </si>
  <si>
    <t>2,65*2+,15*2+2,44*2,5+1,74*2+,2*,8+,88*1,23+,2*,8+2,36*2</t>
  </si>
  <si>
    <t>4,68*2</t>
  </si>
  <si>
    <t>0,93*2+,25*1,25+0,9*0,8+0,25*1,2+0,84*2+2,835*2+0,2</t>
  </si>
  <si>
    <t>1,34*2+0,25*0,75+0,89*1,25+0,25*0,75+0,87*2+0,15*1,2+1,67*0,8+0,15*1,2+3,3*2+0,4*2+0,4*2+0,47*2+0,7*2+0,2</t>
  </si>
  <si>
    <t xml:space="preserve"> m.č.1001a-1001d ; 
11,9m2 </t>
  </si>
  <si>
    <t>v.č. 3a / 2NP dámské toalety</t>
  </si>
  <si>
    <t xml:space="preserve">v.č. 2a/ 1NP pánské toalety </t>
  </si>
  <si>
    <t xml:space="preserve"> m.č. 1092a - 1092e ; 
11,36m2 </t>
  </si>
  <si>
    <t>v.č. 4a / 2NP pánské toalety</t>
  </si>
  <si>
    <t xml:space="preserve"> m.č. 1093a - 1093d  
12,68m2 </t>
  </si>
  <si>
    <t>v.č. 5a / 3NP dámské toalety</t>
  </si>
  <si>
    <t>v.č. 6a / 3NP kuchyňka</t>
  </si>
  <si>
    <t xml:space="preserve"> m.č. 2090; 
3,2m2 </t>
  </si>
  <si>
    <t>v.č. 7a / 4.NP úklid a dámské toalety</t>
  </si>
  <si>
    <t xml:space="preserve"> m.č. 3078a - 3078c; 
7,83m2 </t>
  </si>
  <si>
    <t>v.č. 8a / 5NP pánské toalety</t>
  </si>
  <si>
    <t xml:space="preserve"> m.č. 4077a - 4077d; 
9,81m2 </t>
  </si>
  <si>
    <t xml:space="preserve"> m.č. 2083a-2083f; 
18,72m2 </t>
  </si>
  <si>
    <t>v.č. 9a / 5NP dámské toalety</t>
  </si>
  <si>
    <t xml:space="preserve"> m.č. 4078a - 4078b; 
3,62m2 </t>
  </si>
  <si>
    <t xml:space="preserve"> m.č. 5026a - 5026d; 
9,78m2 </t>
  </si>
  <si>
    <t>v.č. 10a / 6NP pánské toalety</t>
  </si>
  <si>
    <t xml:space="preserve"> m.č. 5025a - 5025b; 
3,62m2 </t>
  </si>
  <si>
    <t>v.č.11a/ 6.NP dámské toalety</t>
  </si>
  <si>
    <t>pánské toalety 2NP; výměra ; 0,5</t>
  </si>
  <si>
    <t>dámské toalety 3.NP výměra 0,4</t>
  </si>
  <si>
    <t>dámské toalety 4.NP výměra 0,37</t>
  </si>
  <si>
    <t>3NP dámské toalety - č.v.5a</t>
  </si>
  <si>
    <t>Demontáž  parapetů z lamina  š. do 300mm, dl přes 1m</t>
  </si>
  <si>
    <t>5.NP pánské toalety - č.v. 8a</t>
  </si>
  <si>
    <t>6.NP pánské toalety - č.v. 10a</t>
  </si>
  <si>
    <t>č.v.12a / 1NP sklad</t>
  </si>
  <si>
    <t>1001a</t>
  </si>
  <si>
    <t>9,41-1-0,8</t>
  </si>
  <si>
    <t>1001b</t>
  </si>
  <si>
    <t>11,78-0,8</t>
  </si>
  <si>
    <t>v.č. 13a / 2NP dámské toalety</t>
  </si>
  <si>
    <t>1092a</t>
  </si>
  <si>
    <t>1092b</t>
  </si>
  <si>
    <t>1092c</t>
  </si>
  <si>
    <t>1092d</t>
  </si>
  <si>
    <t>1092e</t>
  </si>
  <si>
    <t>1,6+3,3</t>
  </si>
  <si>
    <t>1,17+1,71+1,29+1,63</t>
  </si>
  <si>
    <t>v.č. 4a/ 2NP pánské toalety</t>
  </si>
  <si>
    <t>5,19+1,15</t>
  </si>
  <si>
    <t>1093a</t>
  </si>
  <si>
    <t>1,43+,2+1,17+,31+,31+4,05</t>
  </si>
  <si>
    <t>3,05+,21+,21+,39</t>
  </si>
  <si>
    <t>,95+,25+,25+,84+2,835</t>
  </si>
  <si>
    <t>1,34+,25+,25+,89+,25+,87+,15+1,67+,15+3,3+,4+,4+,47+,7</t>
  </si>
  <si>
    <t>v.č. 6a / 3 NP kuchyňka</t>
  </si>
  <si>
    <t>v.č. 7a/ 4.NP úklid, dámské toalety</t>
  </si>
  <si>
    <t>1,015+0,2+0,2+0,63+3,3</t>
  </si>
  <si>
    <t>2,65+,15+2,44+1,74+,2+,2+2,36</t>
  </si>
  <si>
    <t>0,95+,34+,34+2,534+,29+,29</t>
  </si>
  <si>
    <t>1,93+,36+,34+,98+3,47</t>
  </si>
  <si>
    <t>v.č. 9a / 4NP dámské toalety</t>
  </si>
  <si>
    <t>1,09+,2+,2+,98+3,47</t>
  </si>
  <si>
    <t>1,61+,63+,63+,3+,2</t>
  </si>
  <si>
    <t>v.č. 11a / 6NP dámské toalety</t>
  </si>
  <si>
    <t>2,95+1,46</t>
  </si>
  <si>
    <t>výměra: 12,37+10,72+12,31+18,18+3,2+7,54+9,45+3,46+9,34+3,46</t>
  </si>
  <si>
    <t xml:space="preserve">v.č. 12a / 1NP sklad </t>
  </si>
  <si>
    <t>1001a-1001b 
12,37</t>
  </si>
  <si>
    <t xml:space="preserve"> m.č. 1092a - 1092e ; 
10,72m2</t>
  </si>
  <si>
    <t>v.č. 14a / 3NP dámské toalety</t>
  </si>
  <si>
    <t xml:space="preserve"> m.č. 1093a -1093d; 
12,31m2 </t>
  </si>
  <si>
    <t xml:space="preserve"> m.č. 2083a - 2083f ; 
18,18m2 </t>
  </si>
  <si>
    <t>v.č. 15a/3NP dámské toalety</t>
  </si>
  <si>
    <t>v.č. 16a / 3 NP kuchyňka</t>
  </si>
  <si>
    <t xml:space="preserve"> m.č. 2090 ; 
3,20m2 </t>
  </si>
  <si>
    <t>v.č. 17a / 4NP pánské toalety</t>
  </si>
  <si>
    <t xml:space="preserve"> m.č. 3078a - 3078c; 
7,54m2 </t>
  </si>
  <si>
    <t>v.č. 18a / 5NP pánské toalety</t>
  </si>
  <si>
    <t xml:space="preserve"> m.č. 4077a - 4077d; 
9,45m2 </t>
  </si>
  <si>
    <t>v.č. 19a / 5NP dámské toalety</t>
  </si>
  <si>
    <t xml:space="preserve"> m.č. 4078a - 4078b; 
3,46m2 </t>
  </si>
  <si>
    <t>v.č.20a / 6NP pánské toalety</t>
  </si>
  <si>
    <t xml:space="preserve"> m.č. 5026a - 5026d; 
9,34m2 </t>
  </si>
  <si>
    <t>v.č.21a / 6NP dámské toalety</t>
  </si>
  <si>
    <t xml:space="preserve"> m.č. 5025a - 5025b; 
3,46m2 </t>
  </si>
  <si>
    <t>Nerezový zákryt 320/320 v rámu osazení do zdiva a sádrokartonu</t>
  </si>
  <si>
    <t>Větrací mřížka 250/150mm nerezová s rámečkem pro osazení do zdiva</t>
  </si>
  <si>
    <t>Větrací mřížka 200/200mm nerezová s rámečkem pro osazení do zdiva</t>
  </si>
  <si>
    <t>Větrací mřížka 150/150mm nerezová s rámečkem pro osazení do zdiva</t>
  </si>
  <si>
    <t>výměra : 90m2+10% prořez</t>
  </si>
  <si>
    <r>
      <rPr>
        <b/>
        <sz val="9"/>
        <rFont val="Arial"/>
        <family val="2"/>
      </rPr>
      <t>Montáž</t>
    </r>
    <r>
      <rPr>
        <sz val="9"/>
        <rFont val="Arial"/>
        <family val="2"/>
      </rPr>
      <t xml:space="preserve"> podlah z dlaždic keramických,   kladení do flexibilního lepidla+penetrace,  spárovaní hmotou vodě odolnou ; výměra 90m2</t>
    </r>
  </si>
  <si>
    <t>výměry obkladů stěn viz odd.9 / demontáž obkladů : 333m2+10%</t>
  </si>
  <si>
    <t>v.č. 14a / 2.NP pánské toalety ; výměra ; 0,6</t>
  </si>
  <si>
    <t>v.č. 15a / 3NP dámské toalety ; 1,1</t>
  </si>
  <si>
    <t>v.č. 17a / 4NP dámské toalety ; 0,45</t>
  </si>
  <si>
    <t>v.č. 18a / 5NP pánské toalety ; 0,5</t>
  </si>
  <si>
    <t>v.č. 20a/ 6NP pánské toalety ; 0,5</t>
  </si>
  <si>
    <t>výměry pro parapety : 3,2m2+10%</t>
  </si>
  <si>
    <t>Sádrokartonový podhled kazetový, demontovatelný, velikost kazet 600x600mm + závěsná nosná 
konstrukce viditelná</t>
  </si>
  <si>
    <t>v.č. 12a / 1NP sklad</t>
  </si>
  <si>
    <t>v.č. 14a / 2NP pánské toalety</t>
  </si>
  <si>
    <t>v.č. 15a / 3NP dámské toalety</t>
  </si>
  <si>
    <t>v.č. 16a / 3NP kuchyňka</t>
  </si>
  <si>
    <t>v.č. 17a / 4NP dámské toalety</t>
  </si>
  <si>
    <r>
      <rPr>
        <b/>
        <sz val="9"/>
        <rFont val="Arial"/>
        <family val="2"/>
      </rPr>
      <t>Řezání</t>
    </r>
    <r>
      <rPr>
        <sz val="9"/>
        <rFont val="Arial"/>
        <family val="2"/>
      </rPr>
      <t xml:space="preserve"> obkladu keramických , rovné  
(1ks dlaždice ;8,125kg)
 cca ks6*6*5+ks*6*4*4</t>
    </r>
  </si>
  <si>
    <t xml:space="preserve">Přesun hmot pro obklady z dlaždic  </t>
  </si>
  <si>
    <t xml:space="preserve">Přesun hmot pro podlahy z dlaždic  </t>
  </si>
  <si>
    <t>Poznámka: Podrobnosti viz výkres č. .22a-24a</t>
  </si>
  <si>
    <t xml:space="preserve">Přesun hmot   </t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</si>
  <si>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levé prolamované, 
vel. L 900 x 2100 mm, dřevěné do dřevěných 
zárubní s prahem, budou repasovány, opáleny, vykytovány přebroušeny, natřeny v odstínu 
stávajících včetně  zárubní, 
kování stávající repasovat, barva dle stávajících, zárubeň stávající dřevěná s obložkou - barva dle stávajících</t>
    </r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</si>
  <si>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levé prolamované, 
vel. L 700 x 2000 mm, imitující dřevo včetnězárubní do s prahem, budou repasovány, opáleny, vykytovány přebroušeny, natřeny v odstínu 
stávajících včetně  zárubní, 
kování stávající repasovat, barva dle stávajících, zárubeň stávající - barva dle stávajících</t>
    </r>
  </si>
  <si>
    <r>
      <rPr>
        <b/>
        <sz val="9"/>
        <rFont val="Arial"/>
        <family val="2"/>
      </rPr>
      <t>stávající</t>
    </r>
    <r>
      <rPr>
        <sz val="9"/>
        <rFont val="Arial"/>
        <family val="2"/>
      </rPr>
      <t xml:space="preserve"> dveře hladké dýhované, levé do ocelových zárubní, L 600 x 1970 mm,  kování - nová klika nerezová, barva šedá,  zárubeň - stávající ocelová (barva bílá), barva nová šedá. Stávající provětrávací mřížka 50/400 mm bude vyměna za novou nerezovou ve stejném rozměru.</t>
    </r>
  </si>
  <si>
    <r>
      <rPr>
        <b/>
        <sz val="9"/>
        <rFont val="Arial"/>
        <family val="2"/>
      </rPr>
      <t xml:space="preserve">nové </t>
    </r>
    <r>
      <rPr>
        <sz val="9"/>
        <rFont val="Arial"/>
        <family val="2"/>
      </rPr>
      <t>dveře hladké dýhované, levé do nových ocelových zárubní, L 600 x 1970 mm,  s provětrávací nerezovou mřížkou 50/400 mm, včetně nového kování WC západkou, demontáž stávajících dveří včetně zárubně</t>
    </r>
  </si>
  <si>
    <r>
      <rPr>
        <b/>
        <sz val="9"/>
        <rFont val="Arial"/>
        <family val="2"/>
      </rPr>
      <t xml:space="preserve">nové </t>
    </r>
    <r>
      <rPr>
        <sz val="9"/>
        <rFont val="Arial"/>
        <family val="2"/>
      </rPr>
      <t>dveře hladké dýhované, pravé do nových ocelových zárubní, P 700 x 1970 mm,  s provětrávací nerezovou mřížkou 50/400 mm, včetně nového kování WC západkou, demontáž stávajících dveří včetně zárubně</t>
    </r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</si>
  <si>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pravé prolamované, 
vel. P 700 x 2000 mm, imitující dřevo včetnězárubní do s prahem, budou repasovány, opáleny, vykytovány přebroušeny, natřeny v odstínu 
stávajících včetně  zárubní, 
kování stávající repasovat, barva dle stávajících, zárubeň stávající - barva dle stávajících</t>
    </r>
  </si>
  <si>
    <r>
      <rPr>
        <b/>
        <sz val="9"/>
        <rFont val="Arial"/>
        <family val="2"/>
      </rPr>
      <t>stávající</t>
    </r>
    <r>
      <rPr>
        <sz val="9"/>
        <rFont val="Arial"/>
        <family val="2"/>
      </rPr>
      <t xml:space="preserve"> dveře hladké dýhované, pravé do ocelových zárubní, P 600 x 1970 mm,  kování - nová klika nerezová, barva šedá,  zárubeň - stávající ocelová (barva bílá), barva nová šedá. Stávající provětrávací mřížka 50/400 mm bude vyměna za novou nerezovou ve stejném rozměru.</t>
    </r>
  </si>
  <si>
    <r>
      <rPr>
        <b/>
        <sz val="9"/>
        <rFont val="Arial"/>
        <family val="2"/>
      </rPr>
      <t>stávající</t>
    </r>
    <r>
      <rPr>
        <sz val="9"/>
        <rFont val="Arial"/>
        <family val="2"/>
      </rPr>
      <t xml:space="preserve"> dveře pravé prolamované, P 700 x 2000mm, dřevěné do dřevěných zárubní s prahem, budou repasovány, opáleny vykytovány přebroušeny, natřeny v odstínu stávajících včetně zárubní, barva dle stávajících,  zárubeň stávající dřevěná s obložkou - barva dle stávajících</t>
    </r>
  </si>
  <si>
    <t>D13</t>
  </si>
  <si>
    <t>D14</t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</si>
  <si>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hladké dýhované, levé do ocelových zárubní, L 800 x 1970 mm , budou, opáleny, vykytovány přebroušeny, kování - nová klika nerezová včetně štítku a wc západky, barva šedá,  zárubeň - stávající ocelová (barva bílá), barva nová šedá</t>
    </r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</si>
  <si>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hladké dýhované, levé do ocelových zárubní, L 700 x 1970 mm,  budou, opáleny, vykytovány přebroušeny,kování - nová klika nerezová včetně štítku a wc západky, barva šedá,  zárubeň -  stávající ocelová (barva bílá), barva nová šedá. Stávající provětrávací mřížka 50/400 mm bude vyměna za novou nerezovou ve stejném rozměru.</t>
    </r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</si>
  <si>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hladké dýhované, levé do ocelových zárubní, P 800 x 1970 mm , s částečným prosklením budou, opáleny, vykytovány přebroušeny, kování - nová klika nerezová včetně štítku a wc západky, barva šedá,  zárubeň - stávající ocelová (barva bílá), barva nová šedá</t>
    </r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</si>
  <si>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hladké dýhované, levé do ocelových zárubní, L 600 x 1970 mm , budou, opáleny, vykytovány přebroušeny, kování - nová klika nerezová včetně štítku a wc západky, barva šedá,  zárubeň - stávající ocelová (barva bílá), barva nová šedá</t>
    </r>
  </si>
  <si>
    <r>
      <rPr>
        <b/>
        <sz val="9"/>
        <rFont val="Arial"/>
        <family val="2"/>
      </rPr>
      <t xml:space="preserve">nové </t>
    </r>
    <r>
      <rPr>
        <sz val="9"/>
        <rFont val="Arial"/>
        <family val="2"/>
      </rPr>
      <t>dveře hladké dýhované, pravé do nových ocelových zárubní, P 700 x 1970 mm,  s provětrávací nerezovou mřížkou 50/400 mm, včetně nového kování nová klika nerezová včetně štítku a wc západky, demontáž stávajících dveří včetně zárubně</t>
    </r>
  </si>
  <si>
    <t>D15</t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</si>
  <si>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pravé prolamované, 
vel. P 900 x 2000 mm, dřevěné do dřevěných 
zárubní s prahem, budou repasovány, opáleny, vykytovány přebroušeny, natřeny v odstínu 
stávajících včetně  zárubní, 
kování stávající repasovat, barva dle stávajících, zárubeň stávající dřevěná s obložkou - barva dle stávajících</t>
    </r>
  </si>
  <si>
    <t>D16</t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</si>
  <si>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pravé prolamované, 
vel. P 700 x 2000 mm, dřevěné do dřevěných 
zárubní s prahem, budou repasovány, opáleny, vykytovány přebroušeny, natřeny v odstínu 
stávajících včetně  zárubní, 
kování stávající repasovat, barva dle stávajících, zárubeň stávající dřevěná s obložkou - barva dle stávajících</t>
    </r>
  </si>
  <si>
    <t>D17</t>
  </si>
  <si>
    <t>D18</t>
  </si>
  <si>
    <t xml:space="preserve">Přesun hmot pro konstrukce truhlářské,vodorovná doprava do 50m, v objektech v. do 36m </t>
  </si>
  <si>
    <r>
      <rPr>
        <b/>
        <sz val="9"/>
        <rFont val="Arial"/>
        <family val="2"/>
      </rPr>
      <t xml:space="preserve">stávající </t>
    </r>
    <r>
      <rPr>
        <sz val="9"/>
        <rFont val="Arial"/>
        <family val="2"/>
      </rPr>
      <t>dveře hladké dýhované, pravé do ocelových zárubní, P 600 x 1970 mm , budou, opáleny, vykytovány přebroušeny, kování - nová klika nerezová včetně štítku a wc západky, barva šedá,  zárubeň - stávající ocelová (barva bílá), barva nová šedá</t>
    </r>
  </si>
  <si>
    <t>d+m</t>
  </si>
  <si>
    <r>
      <t xml:space="preserve">Ukončující a rohové lišty </t>
    </r>
    <r>
      <rPr>
        <sz val="9"/>
        <rFont val="Arial"/>
        <family val="2"/>
      </rPr>
      <t>jedná se nerezové lišty obloučkové</t>
    </r>
  </si>
  <si>
    <t>v.č. 12a / 1.NP sklad</t>
  </si>
  <si>
    <r>
      <rPr>
        <b/>
        <sz val="9"/>
        <rFont val="Arial"/>
        <family val="2"/>
      </rPr>
      <t>Montáž</t>
    </r>
    <r>
      <rPr>
        <sz val="9"/>
        <rFont val="Arial"/>
        <family val="2"/>
      </rPr>
      <t xml:space="preserve"> obkladů vnitřních stěn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 dlaždic keramických</t>
    </r>
    <r>
      <rPr>
        <b/>
        <sz val="9"/>
        <rFont val="Arial"/>
        <family val="2"/>
      </rPr>
      <t xml:space="preserve">,  </t>
    </r>
    <r>
      <rPr>
        <sz val="9"/>
        <rFont val="Arial"/>
        <family val="2"/>
      </rPr>
      <t xml:space="preserve"> kladení do flexibilního lepidla+penetrace,+spárování hmotou vodě odolnou; výměra 333,00m2</t>
    </r>
  </si>
  <si>
    <r>
      <rPr>
        <b/>
        <sz val="9"/>
        <rFont val="Arial"/>
        <family val="2"/>
      </rPr>
      <t>Montáž</t>
    </r>
    <r>
      <rPr>
        <sz val="9"/>
        <rFont val="Arial"/>
        <family val="2"/>
      </rPr>
      <t xml:space="preserve"> obkladů vnitřních parapetů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 dlaždic keramických</t>
    </r>
    <r>
      <rPr>
        <b/>
        <sz val="9"/>
        <rFont val="Arial"/>
        <family val="2"/>
      </rPr>
      <t xml:space="preserve">,  </t>
    </r>
    <r>
      <rPr>
        <sz val="9"/>
        <rFont val="Arial"/>
        <family val="2"/>
      </rPr>
      <t xml:space="preserve"> kladení do flexibilního lepidla+penetrace,+spárování hmotou vodě odolnou; výměra3,5m2</t>
    </r>
  </si>
  <si>
    <t xml:space="preserve">v.č. 13a / 1.NP dámské toalety </t>
  </si>
  <si>
    <t xml:space="preserve">v.č. 14a / 1.NP pánské toalety </t>
  </si>
  <si>
    <t xml:space="preserve">v.č. 15a / 3.NP dámské toalety </t>
  </si>
  <si>
    <t>v.č. 16a / 3.NP kuchyňka</t>
  </si>
  <si>
    <t xml:space="preserve">v.č. 17a / 3.NP dámské toalety </t>
  </si>
  <si>
    <t xml:space="preserve">v.č. 18a / 5.NP pánské toalety </t>
  </si>
  <si>
    <t xml:space="preserve">v.č. 19a / 5.NP dámské toalety </t>
  </si>
  <si>
    <t xml:space="preserve">v.č. 20a / 5.NP pánské toalety </t>
  </si>
  <si>
    <t>Demontáž sádrokartonových podhledů</t>
  </si>
  <si>
    <t>okno ve stavebním otvoru 900/2960, ozn O1</t>
  </si>
  <si>
    <t>okno ve stavebním otvoru 900/2390, ozn O2</t>
  </si>
  <si>
    <t>okno ve stavebním otvoru 900/2500, ozn O3</t>
  </si>
  <si>
    <t>okno ve stavebním otvoru 900/2050, ozn O4</t>
  </si>
  <si>
    <t>okno ve stavebním otvoru 1670/2500 ozn O5</t>
  </si>
  <si>
    <t>okno ve stavebním otvoru 900/2500 ozn O6</t>
  </si>
  <si>
    <t>okno ve stavebním otvoru 900/1660 ozn O7</t>
  </si>
  <si>
    <t>Odstranění stávajícího nátětu z výlezu na střechu jeho opětovný nátěr základovou barvou a finální nátěr v odstínu šedé. Rozměr výlez 800/1000 mm</t>
  </si>
  <si>
    <t>33</t>
  </si>
  <si>
    <t>54</t>
  </si>
  <si>
    <t>81</t>
  </si>
  <si>
    <t>9,5</t>
  </si>
  <si>
    <t>37</t>
  </si>
  <si>
    <t>34</t>
  </si>
  <si>
    <t>18,5</t>
  </si>
  <si>
    <t>24</t>
  </si>
  <si>
    <t>v.č. 21a / 6NP dámské toalety</t>
  </si>
  <si>
    <t>v.č. 20a / 6NP pánské toalety</t>
  </si>
  <si>
    <t>DVEŘE</t>
  </si>
  <si>
    <t>OKNA</t>
  </si>
  <si>
    <t>Jednotková cena obsahuje kompletní provedení včetně materiálu,montážního a pomocného materiálu= dodávka- úprava ostění a napojení na stávající oplechování s jeho případnou opravou, montáž, kování, povrchová úprava, montážní i podružný materiál, mimostaveništní doprava-dílna a zpět</t>
  </si>
  <si>
    <t>okno ve stavebním otvoru 900/2960, ozn O1 2,7</t>
  </si>
  <si>
    <t>okno ve stavebním otvoru 900/2390, ozn O2 2,15</t>
  </si>
  <si>
    <t>okno ve stavebním otvoru 900/2500, ozn O3 2,25</t>
  </si>
  <si>
    <t>okno ve stavebním otvoru 900/2050, ozn O4 1,85</t>
  </si>
  <si>
    <t>okno ve stavebním otvoru 1670/2500 ozn O5 4,18</t>
  </si>
  <si>
    <t>okno ve stavebním otvoru 900/2500 ozn O6 2,25</t>
  </si>
  <si>
    <t>okno ve stavebním otvoru 900/1660 ozn O7 1,5</t>
  </si>
  <si>
    <t>Nátěr vodě odolný + penetrace+ místní tmelení odstín bílá</t>
  </si>
  <si>
    <t xml:space="preserve">3 -Svislé konstrukce </t>
  </si>
  <si>
    <t>č.v.13a / 2NP dámské toalety</t>
  </si>
  <si>
    <t>,89*2,77+1,03*2,77+,9*2,77</t>
  </si>
  <si>
    <t>,86*4+1*4</t>
  </si>
  <si>
    <t>č.v.14a / 2NP pánské toalety</t>
  </si>
  <si>
    <t>,92*4+,9*4+,93*4</t>
  </si>
  <si>
    <t>č.v.17a /4NP dámské toalety</t>
  </si>
  <si>
    <t>,72*4</t>
  </si>
  <si>
    <t>č.v.18a /5NP pánské toalety</t>
  </si>
  <si>
    <t>,9*4+,85*4</t>
  </si>
  <si>
    <t>č.v.19a /5NP dámské toalety</t>
  </si>
  <si>
    <t>,68*4</t>
  </si>
  <si>
    <t>č.v.20a /6NP pánské toalety</t>
  </si>
  <si>
    <t>,83*4+,87*4</t>
  </si>
  <si>
    <t>č.v.21a /6NP dámské toalety</t>
  </si>
  <si>
    <r>
      <rPr>
        <b/>
        <sz val="9"/>
        <rFont val="Arial CE"/>
        <family val="0"/>
      </rPr>
      <t>Předstěny</t>
    </r>
    <r>
      <rPr>
        <sz val="9"/>
        <rFont val="Arial CE"/>
        <family val="0"/>
      </rPr>
      <t xml:space="preserve"> jednoduché z plynosilikátových příčkovek 500/250/80mm, včetně provázání s okolnímí konstrukcemi a natažení omítky pod obklady</t>
    </r>
  </si>
  <si>
    <t>1NP-6NP</t>
  </si>
  <si>
    <t>3 - Svislé konstrukce</t>
  </si>
  <si>
    <r>
      <rPr>
        <b/>
        <sz val="9"/>
        <rFont val="Arial CE"/>
        <family val="0"/>
      </rPr>
      <t>Příčky</t>
    </r>
    <r>
      <rPr>
        <sz val="9"/>
        <rFont val="Arial CE"/>
        <family val="0"/>
      </rPr>
      <t xml:space="preserve"> a dozdívky jednoduché z plynosilikátových příčkovek 500/250/100mm, včetně provázání s okolnímí konstrukcemi a natažení omítky pod obklady</t>
    </r>
  </si>
  <si>
    <t>č.v.15a /3NP dámské toalety</t>
  </si>
  <si>
    <t>,2*1,55*3+,5*4</t>
  </si>
  <si>
    <t>,2*1,75</t>
  </si>
  <si>
    <t>1,7*4+,9*2+,2*1,75</t>
  </si>
  <si>
    <t>,2*1,65</t>
  </si>
  <si>
    <t>v.č. 12a/ 1NP sklad</t>
  </si>
  <si>
    <t>v.č. 14a/ 2NP pánské toalety</t>
  </si>
  <si>
    <t>v.č. 15a/ 3NP dámské toalety</t>
  </si>
  <si>
    <t>v.č. 18a / 3NP pánské toalety</t>
  </si>
  <si>
    <t>v.č. 21a / 6NPdámské toalety</t>
  </si>
  <si>
    <t>v.č. 16a/ 3NP kucyńka</t>
  </si>
  <si>
    <t>v.č. 16a/ 3NP kuchyňka</t>
  </si>
  <si>
    <t>v.č. 12a/ 1NP sklad 600/900 mm</t>
  </si>
  <si>
    <t>v.č. 17a / 4NP dámské toalety 600/900</t>
  </si>
  <si>
    <t>v.č. 18a / 3NP pánské toalety 600/900</t>
  </si>
  <si>
    <t>v.č. 19a / 5NP dámské toalety 600/900</t>
  </si>
  <si>
    <t>v.č. 20a / 6NP pánské toalety 600/900</t>
  </si>
  <si>
    <t>v.č. 21a / 6NPdámské toalety 600/900</t>
  </si>
  <si>
    <t>v.č. 15a/ 3NP dámské toalety 1200/900</t>
  </si>
  <si>
    <t>v.č. 13a / 2NP dámské toalety kulaté prům. 450 mm</t>
  </si>
  <si>
    <t>v.č. 14a/ 2NP pánské toalety prům.450 mm</t>
  </si>
  <si>
    <t>1.NP až 6 NP  - el. sušák (ks 5) + zásobník na toalet.papír bubnový (ks 14) + nádoba+štětka na WC (ks 17) + 3.NP zásobník na papír.ručníky (ks 8), mýdelník (ks 8)</t>
  </si>
  <si>
    <t>STAVEBNÍ ÚPRAVY WC-ČÁST A</t>
  </si>
  <si>
    <t>Datum: 03.2020</t>
  </si>
  <si>
    <t>Zařízení staveniště + projekt skutečného provedení stavby</t>
  </si>
  <si>
    <t>Opatrné vyřezání  rýh ve zdivu cihelném na MVC  hl. 200mm a š. 400mm. (svislá šachta pro soupací vedení vody a kanalizace - stoupačky) vč. prostupů stropní konstrukcí (žb)</t>
  </si>
  <si>
    <t>Opatrné vyřezání rýh ve zdivu cihelném na MVC do hl 70mm a š. do 70mm. (pro kanalizaci DN 50)</t>
  </si>
  <si>
    <t>pro dámské toalety+pánské toalety 
1 NP až 6NP (připojovací potrubí)</t>
  </si>
  <si>
    <t>Opatrné vyřezání rýh ve zdivu cihelném na MVC do hl 100mm a š. do 100mm. (pro kanalizaci DN 70)</t>
  </si>
  <si>
    <t>Opatrné vyřezání  rýh ve zdivu cihelném na MVC do hl 150mm a š. do 150mm. (pro kanalizaci DN 100)</t>
  </si>
  <si>
    <t>Opatrné vyřezání rýh ve zdivu cihelném na MVC do hl 50mm a š. do 70mm. (pro vodu D20)</t>
  </si>
  <si>
    <t>Opatrné vysekání  výklenků nebo kapes ve zdivu cihelném na MVC do pohledové plochy do 0,16m2 a hl. do 300mm.  (pro uzavírací ventily - kohout rohový)</t>
  </si>
  <si>
    <t>Vysekání výklenků ve zdivu cihelném pro  pisoáry</t>
  </si>
  <si>
    <t>pro dámské toalety+pánské toalety 
1NP až 6NP</t>
  </si>
  <si>
    <t>Demontáž stávajícího přívodního potrubí UT - DN 15 včetně odřezání konzol, držáků objímek, připojovacích armatur (výměra bude upřesněna dle skutečnosti)</t>
  </si>
  <si>
    <t>Demontáž stávajících otopných těles, radiátorů litinových, článkových včetně regulačních ventilů vel. 1x 900/100 5čl. v.č.2a, 2x 500/100 10čl. v.č.5a + 10a, 1x 500/100 16čl. v.č.5a, 2x 500/100 8čl. v.č.7a+8a, 1x 500/100 6čl. v.č.8a</t>
  </si>
  <si>
    <r>
      <rPr>
        <b/>
        <sz val="9"/>
        <rFont val="Arial"/>
        <family val="2"/>
      </rPr>
      <t>Vnitrostaveništn</t>
    </r>
    <r>
      <rPr>
        <sz val="9"/>
        <rFont val="Arial"/>
        <family val="2"/>
      </rPr>
      <t>í doprava suti a vybouraných hmot, vodorovně do 50m, svisle s omezením mechanizace v do průměrné výšky 18m</t>
    </r>
  </si>
  <si>
    <r>
      <rPr>
        <b/>
        <sz val="9"/>
        <rFont val="Arial"/>
        <family val="2"/>
      </rPr>
      <t>Odvoz</t>
    </r>
    <r>
      <rPr>
        <sz val="9"/>
        <rFont val="Arial"/>
        <family val="2"/>
      </rPr>
      <t xml:space="preserve"> suti a vybouraných hmot na skládku se složením na vzdálenost do 1km </t>
    </r>
  </si>
  <si>
    <r>
      <rPr>
        <b/>
        <sz val="9"/>
        <rFont val="Arial"/>
        <family val="2"/>
      </rPr>
      <t xml:space="preserve">Příplatek </t>
    </r>
    <r>
      <rPr>
        <sz val="9"/>
        <rFont val="Arial"/>
        <family val="2"/>
      </rPr>
      <t>k ceně za každý další i započtený  1km přes 1km  (19km)  cena : Kč 12 * 19km</t>
    </r>
  </si>
  <si>
    <r>
      <rPr>
        <b/>
        <sz val="9"/>
        <rFont val="Arial"/>
        <family val="2"/>
      </rPr>
      <t>Poplatek</t>
    </r>
    <r>
      <rPr>
        <sz val="9"/>
        <rFont val="Arial"/>
        <family val="2"/>
      </rPr>
      <t xml:space="preserve"> za uložení stavebního odpadu na skládce (skládkovné z keramického materiálu</t>
    </r>
  </si>
  <si>
    <r>
      <rPr>
        <b/>
        <sz val="8"/>
        <rFont val="Arial"/>
        <family val="2"/>
      </rPr>
      <t xml:space="preserve">Poznámka </t>
    </r>
    <r>
      <rPr>
        <sz val="8"/>
        <rFont val="Arial"/>
        <family val="2"/>
      </rPr>
      <t>:
Kovové předměty budou zváženy, hmotnost zapsána do stavebního deníku, odvezeny do sběrny druhotných surovin (kovošrot) a jejich výzisk bude odečten z ceny díla v hodnotě určené cenou/ kg v den jejich prodeje. Výměra ; cca 157kg (ocel.potrubí ?) upřesní se dle skutečnosti.</t>
    </r>
  </si>
  <si>
    <t>v.č. 13a deska o rozměru 1500/600/30 mm</t>
  </si>
  <si>
    <t>v.č. 13a deska o rozměru 1800/600/30 mm</t>
  </si>
  <si>
    <r>
      <t xml:space="preserve">Umyvadlová deska </t>
    </r>
    <r>
      <rPr>
        <sz val="9"/>
        <rFont val="Arial"/>
        <family val="2"/>
      </rPr>
      <t>pro osazení zapuštěných umyvadel materiál umělý kámen tl. 30 mm s čelem 120 mm a vyřezání dvou kulatých otvorů</t>
    </r>
  </si>
  <si>
    <t>"pro dámské toalety+pánské toalety 
1 NP až 6NP (připojovací potrubí)"
 výměra ; 31bm*0,07</t>
  </si>
  <si>
    <t>"pro dámské toalety+pánské toalety 
1 NP až 6NP  výměra ; 8,5bm*0,10</t>
  </si>
  <si>
    <t>"pro dámské toalety+pánské toalety 
1 NP až 6NP  výměra ; 19,5bm*0,15</t>
  </si>
  <si>
    <t>rýhy do hl 70mm a š. do 70mm. (pro kanalizaci DN 50)</t>
  </si>
  <si>
    <t>rýhy do hl 100mm a š. do 100mm. (pro kanalizaci 70)</t>
  </si>
  <si>
    <t>rýhy do hl 150mm a š. do 150mm. (pro kanalizaci 100)</t>
  </si>
  <si>
    <t>"pro dámské toalety+pánské toalety 
1 NP až 6NP  / výměra ; (110)bm*0,05</t>
  </si>
  <si>
    <t>"pro dámské toalety+pánské toalety 
1 NP až 6NP /připojovací potrubí</t>
  </si>
  <si>
    <t>Částečné dozdění výklenků po vysekání  výklenků nebo kapes ve zdivu cihelném na MVC  hl. do 300mm.  (pro uzavírací ventily kohout rohový) /</t>
  </si>
  <si>
    <t xml:space="preserve">Částečné dozdění rýh  po osazení závěsných konstr. (WC+pisoáry)  ve zdivu cihelném na MVC  vel. 250/400mm.  (závěsné WC+pisoáry)/ 
</t>
  </si>
  <si>
    <t>Přivzdušňovací ventil DN100</t>
  </si>
  <si>
    <t>Trubka D 20 x 2,8 (připojovací potrubí)</t>
  </si>
  <si>
    <t>Stoupací vedení</t>
  </si>
  <si>
    <t>Izolace potrubí SV tl.10mm (připoj. potrubí + stoupací)</t>
  </si>
  <si>
    <t>Izolace potrubí TV + cirkulace tl. 30mm (přip. potr. + st.)</t>
  </si>
  <si>
    <r>
      <t>Umyvadlo keramické bílé vel. pr.480mm zápustné</t>
    </r>
    <r>
      <rPr>
        <sz val="9"/>
        <rFont val="Arial"/>
        <family val="2"/>
      </rPr>
      <t xml:space="preserve">, s </t>
    </r>
    <r>
      <rPr>
        <sz val="8"/>
        <rFont val="Arial"/>
        <family val="2"/>
      </rPr>
      <t xml:space="preserve">otvorem na baterii uprostřed, a přepadem, s oblým designem, hmotnost 8kg, bílá E504201, šířka 480mm, hloubka 480mm, výška 175mm, materiál jemná žárohlína.
</t>
    </r>
    <r>
      <rPr>
        <b/>
        <sz val="8"/>
        <rFont val="Arial"/>
        <family val="2"/>
      </rPr>
      <t>Sifon umyvadlový</t>
    </r>
    <r>
      <rPr>
        <sz val="8"/>
        <rFont val="Arial"/>
        <family val="2"/>
      </rPr>
      <t xml:space="preserve">,  vtok 5/4 CR, chrom, hmotnost 0,74kg, sifm + manžeta
</t>
    </r>
    <r>
      <rPr>
        <b/>
        <sz val="8"/>
        <rFont val="Arial"/>
        <family val="2"/>
      </rPr>
      <t>Vtok um. 5/4</t>
    </r>
    <r>
      <rPr>
        <sz val="8"/>
        <rFont val="Arial"/>
        <family val="2"/>
      </rPr>
      <t>, clic-clac celochrom, hmotnost 0,50kg, vf785cr, clic-clac má kulatý pochromovaný klobouk, který dokonale překryje vtok v umyvadle, klobouk lze odmontovat a vyčistit tak vtok od nečistot jako jsou například lidské vlasy</t>
    </r>
    <r>
      <rPr>
        <b/>
        <sz val="8"/>
        <rFont val="Arial"/>
        <family val="2"/>
      </rPr>
      <t xml:space="preserve">
Montážní sada na uchycení umyvadla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Set pro mokré vrtání</t>
    </r>
    <r>
      <rPr>
        <sz val="8"/>
        <rFont val="Arial"/>
        <family val="2"/>
      </rPr>
      <t xml:space="preserve"> složený z diamantového vrtáku a adaptéru, který zajišťuje optimální chlazení a přesné vedení vrtáku.
</t>
    </r>
    <r>
      <rPr>
        <b/>
        <sz val="8"/>
        <rFont val="Arial"/>
        <family val="2"/>
      </rPr>
      <t xml:space="preserve">Zvukoizolační vložka k umyvadlu - </t>
    </r>
    <r>
      <rPr>
        <sz val="8"/>
        <rFont val="Arial"/>
        <family val="2"/>
      </rPr>
      <t xml:space="preserve">vložka z měkké hmoty, která se dává mezi umyvadlo a zeď. Zabraňuje prasknutí obkladů při dotažení umyvadla ke zdi
</t>
    </r>
    <r>
      <rPr>
        <b/>
        <sz val="8"/>
        <rFont val="Arial"/>
        <family val="2"/>
      </rPr>
      <t xml:space="preserve">Kompletní provedení </t>
    </r>
    <r>
      <rPr>
        <sz val="8"/>
        <rFont val="Arial"/>
        <family val="2"/>
      </rPr>
      <t>včetně montážního a pomocného materiálu</t>
    </r>
  </si>
  <si>
    <r>
      <rPr>
        <b/>
        <sz val="9"/>
        <rFont val="Arial"/>
        <family val="2"/>
      </rPr>
      <t>Sprchový kout</t>
    </r>
    <r>
      <rPr>
        <sz val="9"/>
        <rFont val="Arial"/>
        <family val="2"/>
      </rPr>
      <t xml:space="preserve"> se sifónem a prosklenou zástěnou vel. 900/900mm</t>
    </r>
  </si>
  <si>
    <r>
      <rPr>
        <b/>
        <sz val="9"/>
        <rFont val="Arial"/>
        <family val="2"/>
      </rPr>
      <t>Sprchový kout</t>
    </r>
    <r>
      <rPr>
        <sz val="9"/>
        <rFont val="Arial"/>
        <family val="2"/>
      </rPr>
      <t xml:space="preserve"> se sifónem a prosklenou zástěnou vel. 800/800mm</t>
    </r>
  </si>
  <si>
    <r>
      <rPr>
        <b/>
        <sz val="9"/>
        <rFont val="Arial"/>
        <family val="2"/>
      </rPr>
      <t>Sprchový kout</t>
    </r>
    <r>
      <rPr>
        <sz val="9"/>
        <rFont val="Arial"/>
        <family val="2"/>
      </rPr>
      <t xml:space="preserve"> se sifónem a prosklenou zástěnou vel. 700/1200mm</t>
    </r>
  </si>
  <si>
    <t>Baterie jednopáková nástěnná sprchová (výběr dle investora a architekta stavby)</t>
  </si>
  <si>
    <t>Montáž</t>
  </si>
  <si>
    <t>Očištění a nátěr stávajících deskových těles v.č.13a +14a +17a</t>
  </si>
  <si>
    <t>Otopná tělesa, deskové radiátory ve standardu 
vel. 33/600/700 / PV 15, PS 15, včetně ; na přívodu- přímé radiátorové ventily DN 15+na zpátečce- uzavíratelné spojky DN 15 v.č.15a + 20a</t>
  </si>
  <si>
    <t>Dtto, otopná tělesa avšak  vel. 33/600/1000 v.č.15a</t>
  </si>
  <si>
    <t>Dtto, otopná tělesa avšak  vel. 22/600/600 v.č.17a + 18a</t>
  </si>
  <si>
    <t>Dtto, otopná tělesa avšak  vel. 21/900/400 v.č. 12a</t>
  </si>
  <si>
    <t>v.č. 17a / 4NP dámské toalety + sprcha</t>
  </si>
  <si>
    <t>Podkladní a spojovací vrstva vnitřních omítaných ploch, penetrace akrylát-silikon</t>
  </si>
  <si>
    <t>Jedná se o zdvojená okna s tepelněizolačním dvojsklem typ EUROOKNO IV 68 lakované dle barevného odstínu jako stávající na vnitřním zasklení opatřit průsvitnou folii, se součinitelem tepelného prostupu okna Uw=1,1.  Více viz č.v.25a</t>
  </si>
  <si>
    <t>kč</t>
  </si>
  <si>
    <t>parapet u okna O1 a O2 r.š.750mm, r.d.1000 mm</t>
  </si>
  <si>
    <t>parapet u okna O5 r.š.450mm, r.d.1800 mm</t>
  </si>
  <si>
    <t>parapet u okna O3, O4, O6, O7 r.š.450mm, r.d.1000 mm</t>
  </si>
  <si>
    <t>Přesum hmot</t>
  </si>
  <si>
    <r>
      <t xml:space="preserve">Klempířské práce oplechování parapetů: </t>
    </r>
    <r>
      <rPr>
        <sz val="9"/>
        <rFont val="Arial"/>
        <family val="2"/>
      </rPr>
      <t>materiál titanzinek tl. 0,7 mm, včetně úpravy poškozené fasády</t>
    </r>
  </si>
  <si>
    <t>Klempířské práce</t>
  </si>
  <si>
    <t xml:space="preserve">Demontáž vnějších parapetů u měněných oken materiál plech </t>
  </si>
  <si>
    <r>
      <t xml:space="preserve">Demontáž dřevěných rámů oken dvojitých včetně křídel, </t>
    </r>
    <r>
      <rPr>
        <sz val="9"/>
        <rFont val="Arial"/>
        <family val="2"/>
      </rPr>
      <t>vybourání deštění, přisekání ostění po vyboourání deštění celkem plocha oken 14</t>
    </r>
  </si>
  <si>
    <t>0,4*4*8</t>
  </si>
  <si>
    <r>
      <rPr>
        <b/>
        <sz val="9"/>
        <rFont val="Arial"/>
        <family val="2"/>
      </rPr>
      <t>Vnitřní omítky</t>
    </r>
    <r>
      <rPr>
        <sz val="9"/>
        <rFont val="Arial"/>
        <family val="2"/>
      </rPr>
      <t xml:space="preserve"> po demontáži dřevéného deštění v šířce 300mm</t>
    </r>
  </si>
  <si>
    <t>2*0,3*(2,69+2,39+2,5+2,05+2,5+2,15+1,66)</t>
  </si>
  <si>
    <r>
      <rPr>
        <b/>
        <sz val="9"/>
        <rFont val="Arial"/>
        <family val="2"/>
      </rPr>
      <t xml:space="preserve">Ventilátor </t>
    </r>
    <r>
      <rPr>
        <sz val="9"/>
        <rFont val="Arial"/>
        <family val="2"/>
      </rPr>
      <t>Základní provedení s jednorychlostním motorem, který je možno regulovat transformátorovými nebo elektronickými regulátory otáček pro snižování napětí. Např. EBB 175 se spětnou klapkou.</t>
    </r>
  </si>
  <si>
    <t>v.č. 13a, 16a</t>
  </si>
  <si>
    <t>informační štítky</t>
  </si>
  <si>
    <r>
      <t xml:space="preserve">Štítky  </t>
    </r>
    <r>
      <rPr>
        <sz val="9"/>
        <rFont val="Arial"/>
        <family val="2"/>
      </rPr>
      <t>s označením ženy muži. Dveřní štítek s vlastním textem z dvouvrstvého plastu v bronzovém provedení o rozměru 150x80 mm o síle 1,6 mm</t>
    </r>
  </si>
  <si>
    <t>(1,4+0,975)*2-(0,6)</t>
  </si>
  <si>
    <t>v.č. 2a / 1NP sklad</t>
  </si>
  <si>
    <t>v.č. 7a / 4NP dámské toalety</t>
  </si>
  <si>
    <r>
      <rPr>
        <b/>
        <sz val="9"/>
        <rFont val="Arial CE"/>
        <family val="0"/>
      </rPr>
      <t>Předstěny</t>
    </r>
    <r>
      <rPr>
        <sz val="9"/>
        <rFont val="Arial CE"/>
        <family val="0"/>
      </rPr>
      <t xml:space="preserve"> jednoduché z plynosilikátových příčkovek 500/250/50mm, včetně provázání s okolnímí konstrukcemi a natažení omítky pod obklady</t>
    </r>
  </si>
  <si>
    <r>
      <rPr>
        <b/>
        <sz val="9"/>
        <rFont val="Arial"/>
        <family val="2"/>
      </rPr>
      <t>Zrcadla 600x900mm a kulaté o prům. 480 mm</t>
    </r>
    <r>
      <rPr>
        <sz val="9"/>
        <rFont val="Arial"/>
        <family val="2"/>
      </rPr>
      <t xml:space="preserve"> bez fazet, vsazené do obkladu
</t>
    </r>
    <r>
      <rPr>
        <b/>
        <sz val="9"/>
        <rFont val="Arial"/>
        <family val="2"/>
      </rPr>
      <t>Kompletní provedení</t>
    </r>
    <r>
      <rPr>
        <sz val="9"/>
        <rFont val="Arial"/>
        <family val="2"/>
      </rPr>
      <t xml:space="preserve"> včetně montážního a pomocného materiálu</t>
    </r>
  </si>
  <si>
    <r>
      <t xml:space="preserve">Kuchyňská linka: </t>
    </r>
    <r>
      <rPr>
        <sz val="10"/>
        <rFont val="Arial"/>
        <family val="2"/>
      </rPr>
      <t>deska se spodními a horními skříňkami o rozměrech hl.300mm výška 600 mm délka 1200 mm se dvěmi vnitřními policemi jak v horní tak ve spodní skříňce, materiál: korpusy lamino LTD 18 mm, deska LTD 38 mm s hranou ABS tl.0,5mm. Kování nerez.</t>
    </r>
  </si>
  <si>
    <t>Bourací a demontážní práce pro ZTI a UT a ELEKTRO</t>
  </si>
  <si>
    <t>Opatrné vyřezání rýh ve zdivu cihelném na MVC do hl 30mm a š. do 30mm. (pro ELEKTRO)</t>
  </si>
  <si>
    <t xml:space="preserve">v.č.6a demontáž stávajícího rozvodu vedeného v liště s následným zasekáním do zdiva cihelného </t>
  </si>
  <si>
    <t>rýhy do hl. 30 mm a š. do 30 mm (pro elektro)</t>
  </si>
  <si>
    <t>č.v 6a 4,3*0,03</t>
  </si>
  <si>
    <t>č.v. 15a</t>
  </si>
  <si>
    <t>č.v. 17a</t>
  </si>
  <si>
    <r>
      <rPr>
        <b/>
        <sz val="9"/>
        <rFont val="Arial"/>
        <family val="2"/>
      </rPr>
      <t>Háčky</t>
    </r>
    <r>
      <rPr>
        <sz val="9"/>
        <rFont val="Arial"/>
        <family val="2"/>
      </rPr>
      <t xml:space="preserve"> na stěnu materiál nerez kotvené na hmoždinku</t>
    </r>
  </si>
  <si>
    <t>SOUPIS PRACÍ A DODÁVEK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</si>
</sst>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"/>
    <numFmt numFmtId="166" formatCode="0.0000"/>
    <numFmt numFmtId="167" formatCode="0.000"/>
    <numFmt numFmtId="168" formatCode="0.00000"/>
    <numFmt numFmtId="169" formatCode="#,##0.000"/>
    <numFmt numFmtId="170" formatCode="0.0"/>
    <numFmt numFmtId="171" formatCode="0.000000"/>
    <numFmt numFmtId="172" formatCode="#,##0.00\ &quot;Kč&quot;"/>
    <numFmt numFmtId="173" formatCode="#,##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_K_č"/>
    <numFmt numFmtId="178" formatCode="#,##0.\-"/>
    <numFmt numFmtId="179" formatCode="#,##0.000;\-#,##0.000"/>
    <numFmt numFmtId="180" formatCode="#,##0;\-#,##0"/>
    <numFmt numFmtId="181" formatCode="#,##0.00;\-#,##0.00"/>
    <numFmt numFmtId="182" formatCode="#,##0.0;\-#,##0.0"/>
    <numFmt numFmtId="183" formatCode="###0;\-###0"/>
    <numFmt numFmtId="184" formatCode="0.0000000"/>
    <numFmt numFmtId="185" formatCode="#,##0.\-;[Red]\-#,##0.\-"/>
    <numFmt numFmtId="186" formatCode="_-* #,##0\ &quot;Kč&quot;_-;\-* #,##0\ &quot;Kč&quot;_-;_-* &quot;-&quot;??\ &quot;Kč&quot;_-;_-@_-"/>
    <numFmt numFmtId="187" formatCode="_-* #,##0.000\ _K_č_-;\-* #,##0.000\ _K_č_-;_-* &quot;-&quot;??\ _K_č_-;_-@_-"/>
    <numFmt numFmtId="188" formatCode="_-* #,##0.0000\ _K_č_-;\-* #,##0.0000\ _K_č_-;_-* &quot;-&quot;??\ _K_č_-;_-@_-"/>
    <numFmt numFmtId="189" formatCode="#,##0\ &quot;Kč&quot;"/>
    <numFmt numFmtId="190" formatCode="000\ 00"/>
    <numFmt numFmtId="191" formatCode="[$-405]d\.\ mmmm\ yyyy"/>
    <numFmt numFmtId="192" formatCode="#,##0.00;[Red]#,##0.00"/>
    <numFmt numFmtId="193" formatCode="0.00;[Red]0.00"/>
    <numFmt numFmtId="194" formatCode="0.00000;[Red]0.00000"/>
    <numFmt numFmtId="195" formatCode="0.000;[Red]0.000"/>
    <numFmt numFmtId="196" formatCode="0.0;[Red]0.0"/>
    <numFmt numFmtId="197" formatCode="0;[Red]0"/>
    <numFmt numFmtId="198" formatCode="0.0000;[Red]0.0000"/>
    <numFmt numFmtId="199" formatCode="[$¥€-2]\ #\ ##,000_);[Red]\([$€-2]\ #\ ##,000\)"/>
    <numFmt numFmtId="200" formatCode="0.00_ ;\-0.00\ "/>
    <numFmt numFmtId="201" formatCode="[$€-2]\ #\ ##,000_);[Red]\([$€-2]\ #\ ##,000\)"/>
  </numFmts>
  <fonts count="66"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Helv"/>
      <family val="0"/>
    </font>
    <font>
      <sz val="9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20"/>
      <name val="Arial CE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 applyAlignment="0"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9" fillId="0" borderId="8">
      <alignment horizontal="left" vertical="center" wrapText="1" indent="1"/>
      <protection/>
    </xf>
    <xf numFmtId="0" fontId="19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" fillId="0" borderId="0">
      <alignment/>
      <protection/>
    </xf>
    <xf numFmtId="0" fontId="58" fillId="0" borderId="0" applyNumberFormat="0" applyFill="0" applyBorder="0" applyAlignment="0" applyProtection="0"/>
    <xf numFmtId="0" fontId="59" fillId="25" borderId="9" applyNumberFormat="0" applyAlignment="0" applyProtection="0"/>
    <xf numFmtId="0" fontId="60" fillId="26" borderId="9" applyNumberFormat="0" applyAlignment="0" applyProtection="0"/>
    <xf numFmtId="0" fontId="61" fillId="26" borderId="10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justify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8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167" fontId="21" fillId="0" borderId="0" xfId="0" applyNumberFormat="1" applyFont="1" applyFill="1" applyAlignment="1">
      <alignment horizontal="right" vertical="top" wrapText="1"/>
    </xf>
    <xf numFmtId="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left" vertical="top" wrapText="1"/>
    </xf>
    <xf numFmtId="0" fontId="6" fillId="0" borderId="0" xfId="49" applyFont="1" applyFill="1" applyBorder="1" applyAlignment="1">
      <alignment horizontal="left" vertical="top" wrapText="1"/>
      <protection/>
    </xf>
    <xf numFmtId="0" fontId="20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wrapText="1"/>
    </xf>
    <xf numFmtId="3" fontId="20" fillId="0" borderId="0" xfId="0" applyNumberFormat="1" applyFont="1" applyFill="1" applyAlignment="1">
      <alignment horizontal="center" wrapText="1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2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4" fontId="20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165" fontId="6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horizontal="right" vertical="top" wrapText="1"/>
    </xf>
    <xf numFmtId="167" fontId="9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3" fontId="24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3" fontId="20" fillId="0" borderId="0" xfId="0" applyNumberFormat="1" applyFont="1" applyFill="1" applyAlignment="1">
      <alignment horizontal="right" vertical="top" wrapText="1"/>
    </xf>
    <xf numFmtId="0" fontId="20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165" fontId="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5" fontId="24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right" wrapText="1"/>
    </xf>
    <xf numFmtId="165" fontId="0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Alignment="1">
      <alignment wrapText="1"/>
    </xf>
    <xf numFmtId="165" fontId="6" fillId="0" borderId="0" xfId="0" applyNumberFormat="1" applyFont="1" applyFill="1" applyAlignment="1">
      <alignment wrapText="1"/>
    </xf>
    <xf numFmtId="167" fontId="9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23" fillId="0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right" wrapText="1"/>
    </xf>
    <xf numFmtId="167" fontId="23" fillId="0" borderId="0" xfId="0" applyNumberFormat="1" applyFont="1" applyFill="1" applyAlignment="1">
      <alignment horizontal="right" vertical="top" wrapText="1"/>
    </xf>
    <xf numFmtId="4" fontId="2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right" wrapText="1"/>
    </xf>
    <xf numFmtId="167" fontId="6" fillId="0" borderId="0" xfId="0" applyNumberFormat="1" applyFont="1" applyFill="1" applyAlignment="1">
      <alignment wrapText="1"/>
    </xf>
    <xf numFmtId="193" fontId="6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167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left" wrapText="1"/>
    </xf>
    <xf numFmtId="49" fontId="9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top" wrapText="1"/>
    </xf>
    <xf numFmtId="164" fontId="6" fillId="0" borderId="0" xfId="0" applyNumberFormat="1" applyFont="1" applyFill="1" applyAlignment="1">
      <alignment horizontal="right" vertical="top" wrapText="1"/>
    </xf>
    <xf numFmtId="170" fontId="6" fillId="0" borderId="0" xfId="0" applyNumberFormat="1" applyFont="1" applyFill="1" applyAlignment="1">
      <alignment horizontal="right" vertical="top" wrapText="1"/>
    </xf>
    <xf numFmtId="170" fontId="0" fillId="0" borderId="0" xfId="0" applyNumberFormat="1" applyFont="1" applyFill="1" applyAlignment="1">
      <alignment horizontal="right" vertical="top" wrapText="1"/>
    </xf>
    <xf numFmtId="170" fontId="24" fillId="0" borderId="11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Alignment="1">
      <alignment vertical="top" wrapText="1"/>
    </xf>
    <xf numFmtId="170" fontId="6" fillId="0" borderId="0" xfId="0" applyNumberFormat="1" applyFont="1" applyFill="1" applyAlignment="1">
      <alignment wrapText="1"/>
    </xf>
    <xf numFmtId="170" fontId="6" fillId="0" borderId="0" xfId="0" applyNumberFormat="1" applyFont="1" applyFill="1" applyAlignment="1">
      <alignment vertical="top" wrapText="1"/>
    </xf>
    <xf numFmtId="170" fontId="20" fillId="0" borderId="0" xfId="0" applyNumberFormat="1" applyFont="1" applyFill="1" applyAlignment="1">
      <alignment wrapText="1"/>
    </xf>
    <xf numFmtId="170" fontId="6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 horizontal="right" wrapText="1"/>
    </xf>
    <xf numFmtId="170" fontId="6" fillId="0" borderId="0" xfId="0" applyNumberFormat="1" applyFont="1" applyFill="1" applyAlignment="1">
      <alignment vertical="top"/>
    </xf>
    <xf numFmtId="170" fontId="2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70" fontId="6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 wrapText="1"/>
    </xf>
    <xf numFmtId="170" fontId="23" fillId="0" borderId="0" xfId="0" applyNumberFormat="1" applyFont="1" applyFill="1" applyAlignment="1">
      <alignment wrapText="1"/>
    </xf>
    <xf numFmtId="0" fontId="24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wrapText="1"/>
    </xf>
    <xf numFmtId="49" fontId="6" fillId="0" borderId="0" xfId="56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 horizontal="justify"/>
    </xf>
    <xf numFmtId="0" fontId="6" fillId="0" borderId="0" xfId="56" applyFont="1" applyFill="1" applyAlignment="1">
      <alignment horizontal="justify"/>
      <protection/>
    </xf>
    <xf numFmtId="49" fontId="20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 horizontal="left"/>
    </xf>
    <xf numFmtId="49" fontId="24" fillId="0" borderId="1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wrapText="1"/>
    </xf>
    <xf numFmtId="166" fontId="9" fillId="0" borderId="0" xfId="0" applyNumberFormat="1" applyFont="1" applyFill="1" applyAlignment="1">
      <alignment horizontal="right" vertical="top" wrapText="1"/>
    </xf>
    <xf numFmtId="170" fontId="20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168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9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 vertical="top" wrapText="1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1" fontId="25" fillId="0" borderId="0" xfId="0" applyNumberFormat="1" applyFont="1" applyFill="1" applyBorder="1" applyAlignment="1">
      <alignment/>
    </xf>
    <xf numFmtId="165" fontId="25" fillId="0" borderId="0" xfId="0" applyNumberFormat="1" applyFont="1" applyFill="1" applyAlignment="1">
      <alignment/>
    </xf>
    <xf numFmtId="197" fontId="6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center" vertical="top" wrapText="1"/>
    </xf>
    <xf numFmtId="49" fontId="0" fillId="0" borderId="0" xfId="79" applyNumberFormat="1" applyFont="1" applyFill="1" applyBorder="1" applyAlignment="1">
      <alignment horizontal="left" wrapText="1"/>
      <protection/>
    </xf>
    <xf numFmtId="197" fontId="6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horizontal="right" wrapText="1"/>
    </xf>
    <xf numFmtId="170" fontId="63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left" wrapText="1"/>
    </xf>
    <xf numFmtId="170" fontId="20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 wrapText="1"/>
    </xf>
    <xf numFmtId="2" fontId="20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vertical="top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57" applyFont="1" applyFill="1" applyAlignment="1">
      <alignment horizontal="center" wrapText="1"/>
      <protection/>
    </xf>
    <xf numFmtId="0" fontId="2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1" fillId="0" borderId="0" xfId="58" applyFont="1" applyFill="1" applyAlignment="1">
      <alignment horizontal="left" vertical="top" wrapText="1"/>
      <protection/>
    </xf>
    <xf numFmtId="196" fontId="6" fillId="0" borderId="0" xfId="0" applyNumberFormat="1" applyFont="1" applyFill="1" applyAlignment="1">
      <alignment wrapText="1"/>
    </xf>
    <xf numFmtId="193" fontId="6" fillId="0" borderId="0" xfId="0" applyNumberFormat="1" applyFont="1" applyFill="1" applyAlignment="1">
      <alignment wrapText="1"/>
    </xf>
    <xf numFmtId="166" fontId="9" fillId="0" borderId="0" xfId="0" applyNumberFormat="1" applyFont="1" applyFill="1" applyAlignment="1">
      <alignment horizontal="right" wrapText="1"/>
    </xf>
    <xf numFmtId="0" fontId="65" fillId="0" borderId="0" xfId="0" applyFont="1" applyFill="1" applyBorder="1" applyAlignment="1">
      <alignment horizontal="left" vertical="top" wrapText="1"/>
    </xf>
    <xf numFmtId="1" fontId="6" fillId="0" borderId="0" xfId="0" applyNumberFormat="1" applyFont="1" applyFill="1" applyAlignment="1">
      <alignment vertical="top"/>
    </xf>
    <xf numFmtId="0" fontId="6" fillId="0" borderId="0" xfId="0" applyNumberFormat="1" applyFont="1" applyFill="1" applyAlignment="1">
      <alignment vertical="top"/>
    </xf>
    <xf numFmtId="0" fontId="20" fillId="0" borderId="0" xfId="59" applyFont="1" applyFill="1" applyAlignment="1">
      <alignment horizontal="left" wrapText="1"/>
      <protection/>
    </xf>
    <xf numFmtId="0" fontId="6" fillId="0" borderId="0" xfId="59" applyFont="1" applyFill="1" applyAlignment="1">
      <alignment horizontal="left" wrapText="1"/>
      <protection/>
    </xf>
    <xf numFmtId="0" fontId="6" fillId="0" borderId="0" xfId="59" applyFont="1" applyFill="1" applyAlignment="1">
      <alignment horizontal="left"/>
      <protection/>
    </xf>
    <xf numFmtId="0" fontId="9" fillId="0" borderId="0" xfId="59" applyFont="1" applyFill="1" applyAlignment="1">
      <alignment horizontal="left" wrapText="1"/>
      <protection/>
    </xf>
    <xf numFmtId="0" fontId="9" fillId="0" borderId="0" xfId="59" applyFont="1" applyFill="1" applyAlignment="1">
      <alignment horizontal="center" wrapText="1"/>
      <protection/>
    </xf>
    <xf numFmtId="3" fontId="6" fillId="0" borderId="0" xfId="59" applyNumberFormat="1" applyFont="1" applyFill="1" applyAlignment="1">
      <alignment horizontal="right" wrapText="1"/>
      <protection/>
    </xf>
    <xf numFmtId="165" fontId="6" fillId="0" borderId="0" xfId="59" applyNumberFormat="1" applyFont="1" applyFill="1" applyAlignment="1">
      <alignment wrapText="1"/>
      <protection/>
    </xf>
    <xf numFmtId="3" fontId="20" fillId="0" borderId="0" xfId="59" applyNumberFormat="1" applyFont="1" applyFill="1" applyAlignment="1">
      <alignment horizontal="right" wrapText="1"/>
      <protection/>
    </xf>
    <xf numFmtId="3" fontId="6" fillId="0" borderId="0" xfId="59" applyNumberFormat="1" applyFont="1" applyFill="1" applyAlignment="1">
      <alignment wrapText="1"/>
      <protection/>
    </xf>
    <xf numFmtId="170" fontId="6" fillId="0" borderId="0" xfId="59" applyNumberFormat="1" applyFont="1" applyFill="1" applyAlignment="1">
      <alignment horizontal="right" wrapText="1"/>
      <protection/>
    </xf>
    <xf numFmtId="0" fontId="9" fillId="0" borderId="0" xfId="59" applyFont="1" applyFill="1" applyAlignment="1">
      <alignment horizontal="left"/>
      <protection/>
    </xf>
    <xf numFmtId="0" fontId="9" fillId="0" borderId="0" xfId="59" applyFont="1" applyFill="1" applyAlignment="1">
      <alignment horizontal="center"/>
      <protection/>
    </xf>
    <xf numFmtId="170" fontId="6" fillId="0" borderId="0" xfId="59" applyNumberFormat="1" applyFont="1" applyFill="1" applyAlignment="1">
      <alignment horizontal="right"/>
      <protection/>
    </xf>
    <xf numFmtId="165" fontId="6" fillId="0" borderId="0" xfId="59" applyNumberFormat="1" applyFont="1" applyFill="1" applyAlignment="1">
      <alignment/>
      <protection/>
    </xf>
    <xf numFmtId="2" fontId="6" fillId="0" borderId="0" xfId="59" applyNumberFormat="1" applyFont="1" applyFill="1" applyAlignment="1">
      <alignment horizontal="right" wrapText="1"/>
      <protection/>
    </xf>
    <xf numFmtId="0" fontId="24" fillId="0" borderId="0" xfId="59" applyFont="1" applyFill="1" applyAlignment="1">
      <alignment horizontal="left"/>
      <protection/>
    </xf>
    <xf numFmtId="0" fontId="24" fillId="0" borderId="0" xfId="59" applyFont="1" applyFill="1" applyAlignment="1">
      <alignment horizontal="left" wrapText="1"/>
      <protection/>
    </xf>
    <xf numFmtId="0" fontId="0" fillId="0" borderId="0" xfId="60">
      <alignment/>
      <protection/>
    </xf>
    <xf numFmtId="0" fontId="21" fillId="0" borderId="0" xfId="60" applyFont="1" applyFill="1" applyAlignment="1">
      <alignment horizontal="left" wrapText="1"/>
      <protection/>
    </xf>
    <xf numFmtId="0" fontId="1" fillId="0" borderId="0" xfId="60" applyFont="1" applyFill="1" applyAlignment="1">
      <alignment wrapText="1"/>
      <protection/>
    </xf>
    <xf numFmtId="0" fontId="21" fillId="0" borderId="0" xfId="60" applyFont="1" applyFill="1" applyAlignment="1">
      <alignment horizontal="center" wrapText="1"/>
      <protection/>
    </xf>
    <xf numFmtId="197" fontId="1" fillId="0" borderId="0" xfId="60" applyNumberFormat="1" applyFont="1" applyFill="1" applyAlignment="1">
      <alignment wrapText="1"/>
      <protection/>
    </xf>
    <xf numFmtId="3" fontId="1" fillId="0" borderId="0" xfId="60" applyNumberFormat="1" applyFont="1" applyFill="1" applyAlignment="1">
      <alignment horizontal="right" wrapText="1"/>
      <protection/>
    </xf>
    <xf numFmtId="0" fontId="1" fillId="0" borderId="0" xfId="60" applyFont="1" applyFill="1" applyAlignment="1">
      <alignment horizontal="right" wrapText="1"/>
      <protection/>
    </xf>
    <xf numFmtId="0" fontId="6" fillId="0" borderId="0" xfId="60" applyFont="1" applyFill="1" applyAlignment="1">
      <alignment horizontal="left" vertical="top" wrapText="1"/>
      <protection/>
    </xf>
    <xf numFmtId="0" fontId="20" fillId="0" borderId="0" xfId="60" applyFont="1" applyFill="1" applyAlignment="1">
      <alignment horizontal="left" wrapText="1"/>
      <protection/>
    </xf>
    <xf numFmtId="4" fontId="6" fillId="0" borderId="0" xfId="60" applyNumberFormat="1" applyFont="1" applyFill="1">
      <alignment/>
      <protection/>
    </xf>
    <xf numFmtId="0" fontId="8" fillId="0" borderId="0" xfId="60" applyFont="1" applyFill="1" applyAlignment="1">
      <alignment horizontal="center" wrapText="1"/>
      <protection/>
    </xf>
    <xf numFmtId="0" fontId="6" fillId="0" borderId="0" xfId="60" applyFont="1" applyFill="1" applyAlignment="1">
      <alignment wrapText="1"/>
      <protection/>
    </xf>
    <xf numFmtId="0" fontId="6" fillId="0" borderId="0" xfId="60" applyFont="1" applyFill="1" applyAlignment="1">
      <alignment horizontal="left" wrapText="1"/>
      <protection/>
    </xf>
    <xf numFmtId="0" fontId="6" fillId="0" borderId="0" xfId="60" applyFont="1" applyFill="1" applyAlignment="1">
      <alignment vertical="top" wrapText="1"/>
      <protection/>
    </xf>
    <xf numFmtId="0" fontId="20" fillId="0" borderId="0" xfId="60" applyFont="1" applyFill="1" applyAlignment="1">
      <alignment vertical="top" wrapText="1"/>
      <protection/>
    </xf>
    <xf numFmtId="0" fontId="20" fillId="0" borderId="0" xfId="60" applyFont="1" applyFill="1" applyAlignment="1">
      <alignment wrapText="1"/>
      <protection/>
    </xf>
    <xf numFmtId="0" fontId="6" fillId="0" borderId="0" xfId="60" applyFont="1" applyFill="1" applyAlignment="1">
      <alignment horizontal="left"/>
      <protection/>
    </xf>
    <xf numFmtId="0" fontId="9" fillId="0" borderId="0" xfId="60" applyFont="1" applyFill="1" applyAlignment="1">
      <alignment horizontal="right" wrapText="1"/>
      <protection/>
    </xf>
    <xf numFmtId="0" fontId="9" fillId="0" borderId="0" xfId="60" applyFont="1" applyFill="1" applyAlignment="1">
      <alignment horizontal="right" vertical="top" wrapText="1"/>
      <protection/>
    </xf>
    <xf numFmtId="165" fontId="6" fillId="0" borderId="0" xfId="60" applyNumberFormat="1" applyFont="1" applyFill="1" applyAlignment="1">
      <alignment vertical="top" wrapText="1"/>
      <protection/>
    </xf>
    <xf numFmtId="3" fontId="6" fillId="0" borderId="0" xfId="60" applyNumberFormat="1" applyFont="1" applyFill="1" applyAlignment="1">
      <alignment horizontal="right" vertical="top" wrapText="1"/>
      <protection/>
    </xf>
    <xf numFmtId="3" fontId="20" fillId="0" borderId="0" xfId="60" applyNumberFormat="1" applyFont="1" applyFill="1" applyAlignment="1">
      <alignment horizontal="right" vertical="top" wrapText="1"/>
      <protection/>
    </xf>
    <xf numFmtId="0" fontId="9" fillId="0" borderId="0" xfId="60" applyFont="1" applyFill="1" applyAlignment="1">
      <alignment horizontal="left" wrapText="1"/>
      <protection/>
    </xf>
    <xf numFmtId="0" fontId="9" fillId="0" borderId="0" xfId="60" applyFont="1" applyFill="1" applyAlignment="1">
      <alignment horizontal="center" wrapText="1"/>
      <protection/>
    </xf>
    <xf numFmtId="3" fontId="6" fillId="0" borderId="0" xfId="60" applyNumberFormat="1" applyFont="1" applyFill="1" applyAlignment="1">
      <alignment horizontal="right" wrapText="1"/>
      <protection/>
    </xf>
    <xf numFmtId="165" fontId="6" fillId="0" borderId="0" xfId="60" applyNumberFormat="1" applyFont="1" applyFill="1" applyAlignment="1">
      <alignment wrapText="1"/>
      <protection/>
    </xf>
    <xf numFmtId="3" fontId="6" fillId="0" borderId="0" xfId="60" applyNumberFormat="1" applyFont="1" applyFill="1" applyAlignment="1">
      <alignment vertical="top" wrapText="1"/>
      <protection/>
    </xf>
    <xf numFmtId="0" fontId="9" fillId="0" borderId="0" xfId="60" applyFont="1" applyFill="1" applyAlignment="1">
      <alignment horizontal="center" vertical="top" wrapText="1"/>
      <protection/>
    </xf>
    <xf numFmtId="0" fontId="9" fillId="0" borderId="0" xfId="60" applyFont="1" applyFill="1" applyAlignment="1">
      <alignment vertical="top" wrapText="1"/>
      <protection/>
    </xf>
    <xf numFmtId="4" fontId="6" fillId="0" borderId="0" xfId="60" applyNumberFormat="1" applyFont="1" applyFill="1" applyAlignment="1">
      <alignment vertical="top"/>
      <protection/>
    </xf>
    <xf numFmtId="0" fontId="6" fillId="0" borderId="0" xfId="60" applyFont="1" applyFill="1" applyAlignment="1">
      <alignment vertical="top"/>
      <protection/>
    </xf>
    <xf numFmtId="4" fontId="9" fillId="0" borderId="0" xfId="60" applyNumberFormat="1" applyFont="1" applyFill="1" applyAlignment="1">
      <alignment vertical="top" wrapText="1"/>
      <protection/>
    </xf>
    <xf numFmtId="170" fontId="6" fillId="0" borderId="0" xfId="60" applyNumberFormat="1" applyFont="1" applyFill="1" applyAlignment="1">
      <alignment horizontal="right" vertical="top" wrapText="1"/>
      <protection/>
    </xf>
    <xf numFmtId="170" fontId="6" fillId="0" borderId="0" xfId="60" applyNumberFormat="1" applyFont="1" applyFill="1" applyAlignment="1">
      <alignment vertical="top" wrapText="1"/>
      <protection/>
    </xf>
    <xf numFmtId="170" fontId="6" fillId="0" borderId="0" xfId="60" applyNumberFormat="1" applyFont="1" applyFill="1" applyAlignment="1">
      <alignment horizontal="right" wrapText="1"/>
      <protection/>
    </xf>
    <xf numFmtId="170" fontId="6" fillId="0" borderId="0" xfId="60" applyNumberFormat="1" applyFont="1" applyFill="1" applyAlignment="1">
      <alignment vertical="top"/>
      <protection/>
    </xf>
    <xf numFmtId="2" fontId="6" fillId="0" borderId="0" xfId="60" applyNumberFormat="1" applyFont="1" applyFill="1" applyAlignment="1">
      <alignment horizontal="right" vertical="top" wrapText="1"/>
      <protection/>
    </xf>
    <xf numFmtId="0" fontId="24" fillId="0" borderId="0" xfId="60" applyFont="1" applyFill="1" applyAlignment="1">
      <alignment horizontal="left" vertical="top"/>
      <protection/>
    </xf>
    <xf numFmtId="0" fontId="1" fillId="0" borderId="0" xfId="60" applyFont="1" applyFill="1" applyAlignment="1">
      <alignment/>
      <protection/>
    </xf>
    <xf numFmtId="0" fontId="24" fillId="0" borderId="0" xfId="60" applyFont="1" applyFill="1" applyAlignment="1">
      <alignment horizontal="left"/>
      <protection/>
    </xf>
    <xf numFmtId="0" fontId="20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left" vertical="top"/>
      <protection/>
    </xf>
    <xf numFmtId="0" fontId="9" fillId="0" borderId="0" xfId="60" applyFont="1" applyFill="1" applyAlignment="1">
      <alignment horizontal="left" vertical="top" wrapText="1"/>
      <protection/>
    </xf>
    <xf numFmtId="0" fontId="20" fillId="0" borderId="0" xfId="60" applyFont="1" applyFill="1" applyAlignment="1">
      <alignment horizontal="left" vertical="top" wrapText="1"/>
      <protection/>
    </xf>
    <xf numFmtId="0" fontId="6" fillId="0" borderId="0" xfId="65" applyFont="1" applyFill="1" applyAlignment="1">
      <alignment horizontal="left" wrapText="1"/>
      <protection/>
    </xf>
    <xf numFmtId="167" fontId="9" fillId="0" borderId="0" xfId="65" applyNumberFormat="1" applyFont="1" applyFill="1" applyAlignment="1">
      <alignment horizontal="right" vertical="top" wrapText="1"/>
      <protection/>
    </xf>
    <xf numFmtId="0" fontId="9" fillId="0" borderId="0" xfId="65" applyFont="1" applyFill="1" applyAlignment="1">
      <alignment horizontal="left" wrapText="1"/>
      <protection/>
    </xf>
    <xf numFmtId="4" fontId="6" fillId="0" borderId="0" xfId="65" applyNumberFormat="1" applyFont="1" applyFill="1" applyAlignment="1">
      <alignment horizontal="right" wrapText="1"/>
      <protection/>
    </xf>
    <xf numFmtId="0" fontId="9" fillId="0" borderId="0" xfId="65" applyFont="1" applyFill="1" applyAlignment="1">
      <alignment horizontal="center" wrapText="1"/>
      <protection/>
    </xf>
    <xf numFmtId="3" fontId="6" fillId="0" borderId="0" xfId="65" applyNumberFormat="1" applyFont="1" applyFill="1" applyAlignment="1">
      <alignment horizontal="right" wrapText="1"/>
      <protection/>
    </xf>
    <xf numFmtId="170" fontId="6" fillId="0" borderId="0" xfId="65" applyNumberFormat="1" applyFont="1" applyFill="1" applyAlignment="1">
      <alignment wrapText="1"/>
      <protection/>
    </xf>
    <xf numFmtId="4" fontId="6" fillId="0" borderId="0" xfId="0" applyNumberFormat="1" applyFont="1" applyFill="1" applyBorder="1" applyAlignment="1" applyProtection="1">
      <alignment horizontal="right" wrapText="1"/>
      <protection/>
    </xf>
    <xf numFmtId="170" fontId="6" fillId="0" borderId="0" xfId="66" applyNumberFormat="1" applyFont="1" applyFill="1" applyAlignment="1">
      <alignment wrapText="1"/>
      <protection/>
    </xf>
    <xf numFmtId="0" fontId="6" fillId="0" borderId="0" xfId="0" applyNumberFormat="1" applyFont="1" applyFill="1" applyAlignment="1">
      <alignment horizontal="right" wrapText="1"/>
    </xf>
    <xf numFmtId="3" fontId="6" fillId="0" borderId="0" xfId="69" applyNumberFormat="1" applyFont="1" applyFill="1" applyAlignment="1">
      <alignment horizontal="right" vertical="top" wrapText="1"/>
      <protection/>
    </xf>
    <xf numFmtId="170" fontId="65" fillId="0" borderId="0" xfId="0" applyNumberFormat="1" applyFont="1" applyFill="1" applyAlignment="1">
      <alignment wrapText="1"/>
    </xf>
    <xf numFmtId="0" fontId="9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0" xfId="65" applyNumberFormat="1" applyFont="1" applyFill="1" applyAlignment="1">
      <alignment horizontal="center" vertical="top" wrapText="1"/>
      <protection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49" fontId="9" fillId="0" borderId="0" xfId="59" applyNumberFormat="1" applyFont="1" applyFill="1" applyAlignment="1">
      <alignment horizontal="center" wrapText="1"/>
      <protection/>
    </xf>
    <xf numFmtId="49" fontId="9" fillId="0" borderId="0" xfId="59" applyNumberFormat="1" applyFont="1" applyFill="1" applyAlignment="1">
      <alignment horizontal="center"/>
      <protection/>
    </xf>
    <xf numFmtId="49" fontId="9" fillId="0" borderId="0" xfId="60" applyNumberFormat="1" applyFont="1" applyFill="1" applyAlignment="1">
      <alignment horizontal="center" wrapText="1"/>
      <protection/>
    </xf>
    <xf numFmtId="49" fontId="9" fillId="0" borderId="0" xfId="60" applyNumberFormat="1" applyFont="1" applyFill="1" applyAlignment="1">
      <alignment horizontal="center" vertical="top" wrapText="1"/>
      <protection/>
    </xf>
    <xf numFmtId="49" fontId="21" fillId="0" borderId="0" xfId="60" applyNumberFormat="1" applyFont="1" applyFill="1" applyAlignment="1">
      <alignment horizontal="center" wrapText="1"/>
      <protection/>
    </xf>
    <xf numFmtId="0" fontId="12" fillId="0" borderId="0" xfId="0" applyFont="1" applyAlignment="1">
      <alignment horizontal="right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Měna 2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0" xfId="49"/>
    <cellStyle name="Normální 10 2" xfId="50"/>
    <cellStyle name="Normální 10 3" xfId="51"/>
    <cellStyle name="Normální 11" xfId="52"/>
    <cellStyle name="Normální 12" xfId="53"/>
    <cellStyle name="Normální 13" xfId="54"/>
    <cellStyle name="Normální 14" xfId="55"/>
    <cellStyle name="Normální 15" xfId="56"/>
    <cellStyle name="normální 16" xfId="57"/>
    <cellStyle name="normální 17" xfId="58"/>
    <cellStyle name="normální 18" xfId="59"/>
    <cellStyle name="normální 19" xfId="60"/>
    <cellStyle name="normální 2" xfId="61"/>
    <cellStyle name="normální 2 2" xfId="62"/>
    <cellStyle name="normální 2 2 2" xfId="63"/>
    <cellStyle name="normální 2 3" xfId="64"/>
    <cellStyle name="normální 20" xfId="65"/>
    <cellStyle name="normální 21" xfId="66"/>
    <cellStyle name="normální 22" xfId="67"/>
    <cellStyle name="normální 23" xfId="68"/>
    <cellStyle name="normální 24" xfId="69"/>
    <cellStyle name="Normální 28" xfId="70"/>
    <cellStyle name="normální 3" xfId="71"/>
    <cellStyle name="Normální 3 2" xfId="72"/>
    <cellStyle name="Normální 4" xfId="73"/>
    <cellStyle name="Normální 5" xfId="74"/>
    <cellStyle name="Normální 5 2" xfId="75"/>
    <cellStyle name="Normální 6" xfId="76"/>
    <cellStyle name="Normální 6 2" xfId="77"/>
    <cellStyle name="Normální 6 3" xfId="78"/>
    <cellStyle name="Normální 7" xfId="79"/>
    <cellStyle name="Normální 7 2" xfId="80"/>
    <cellStyle name="Normální 8" xfId="81"/>
    <cellStyle name="Normální 8 2" xfId="82"/>
    <cellStyle name="Normální 8 3" xfId="83"/>
    <cellStyle name="Normální 9" xfId="84"/>
    <cellStyle name="Normální 9 2" xfId="85"/>
    <cellStyle name="Normální 9 3" xfId="86"/>
    <cellStyle name="Poznámka" xfId="87"/>
    <cellStyle name="Percent" xfId="88"/>
    <cellStyle name="Propojená buňka" xfId="89"/>
    <cellStyle name="R_text" xfId="90"/>
    <cellStyle name="Followed Hyperlink" xfId="91"/>
    <cellStyle name="Správně" xfId="92"/>
    <cellStyle name="Styl 1" xfId="93"/>
    <cellStyle name="Text upozornění" xfId="94"/>
    <cellStyle name="Vstup" xfId="95"/>
    <cellStyle name="Výpočet" xfId="96"/>
    <cellStyle name="Výstup" xfId="97"/>
    <cellStyle name="Vysvětlující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2.7109375" style="32" customWidth="1"/>
    <col min="2" max="2" width="9.140625" style="32" customWidth="1"/>
    <col min="3" max="3" width="56.28125" style="32" customWidth="1"/>
    <col min="4" max="16384" width="9.140625" style="32" customWidth="1"/>
  </cols>
  <sheetData>
    <row r="1" ht="12.75">
      <c r="A1" s="31" t="s">
        <v>38</v>
      </c>
    </row>
    <row r="2" spans="1:5" ht="12.75">
      <c r="A2" s="33" t="s">
        <v>39</v>
      </c>
      <c r="B2" s="34"/>
      <c r="C2" s="34"/>
      <c r="D2" s="34"/>
      <c r="E2" s="34"/>
    </row>
    <row r="3" spans="1:5" ht="12.75">
      <c r="A3" s="34"/>
      <c r="B3" s="34"/>
      <c r="C3" s="34"/>
      <c r="D3" s="34"/>
      <c r="E3" s="34"/>
    </row>
    <row r="4" spans="1:5" ht="12.75">
      <c r="A4" s="35" t="s">
        <v>40</v>
      </c>
      <c r="B4" s="35"/>
      <c r="C4" s="35"/>
      <c r="D4" s="34"/>
      <c r="E4" s="34"/>
    </row>
    <row r="5" spans="1:5" ht="12.75">
      <c r="A5" s="35"/>
      <c r="B5" s="35"/>
      <c r="C5" s="35"/>
      <c r="D5" s="34"/>
      <c r="E5" s="34"/>
    </row>
    <row r="6" spans="1:5" ht="12.75">
      <c r="A6" s="35" t="s">
        <v>41</v>
      </c>
      <c r="B6" s="35"/>
      <c r="C6" s="35"/>
      <c r="D6" s="34"/>
      <c r="E6" s="34"/>
    </row>
    <row r="7" spans="1:5" ht="12.75">
      <c r="A7" s="35"/>
      <c r="B7" s="35"/>
      <c r="C7" s="35"/>
      <c r="D7" s="34"/>
      <c r="E7" s="34"/>
    </row>
    <row r="8" spans="1:5" ht="25.5">
      <c r="A8" s="35" t="s">
        <v>42</v>
      </c>
      <c r="B8" s="35"/>
      <c r="C8" s="35"/>
      <c r="D8" s="34"/>
      <c r="E8" s="34"/>
    </row>
    <row r="9" spans="1:5" ht="12.75">
      <c r="A9" s="35"/>
      <c r="B9" s="35"/>
      <c r="C9" s="35"/>
      <c r="D9" s="34"/>
      <c r="E9" s="34"/>
    </row>
    <row r="10" spans="1:5" ht="25.5">
      <c r="A10" s="35" t="s">
        <v>43</v>
      </c>
      <c r="B10" s="35"/>
      <c r="C10" s="35"/>
      <c r="D10" s="34"/>
      <c r="E10" s="34"/>
    </row>
    <row r="11" spans="1:5" ht="12.75">
      <c r="A11" s="36"/>
      <c r="B11" s="35"/>
      <c r="C11" s="35"/>
      <c r="D11" s="34"/>
      <c r="E11" s="34"/>
    </row>
    <row r="12" spans="1:5" ht="63.75">
      <c r="A12" s="35" t="s">
        <v>95</v>
      </c>
      <c r="B12" s="35"/>
      <c r="C12" s="35"/>
      <c r="D12" s="34"/>
      <c r="E12" s="34"/>
    </row>
    <row r="13" spans="1:5" ht="12.75">
      <c r="A13" s="35"/>
      <c r="B13" s="35"/>
      <c r="C13" s="35"/>
      <c r="D13" s="34"/>
      <c r="E13" s="34"/>
    </row>
    <row r="14" spans="1:5" ht="38.25">
      <c r="A14" s="35" t="s">
        <v>44</v>
      </c>
      <c r="B14" s="35"/>
      <c r="C14" s="35"/>
      <c r="D14" s="34"/>
      <c r="E14" s="34"/>
    </row>
    <row r="15" spans="1:5" ht="12.75">
      <c r="A15" s="35"/>
      <c r="B15" s="35"/>
      <c r="C15" s="35"/>
      <c r="D15" s="34"/>
      <c r="E15" s="34"/>
    </row>
    <row r="16" spans="1:5" ht="38.25">
      <c r="A16" s="35" t="s">
        <v>45</v>
      </c>
      <c r="B16" s="35"/>
      <c r="C16" s="35"/>
      <c r="D16" s="34"/>
      <c r="E16" s="34"/>
    </row>
    <row r="17" spans="1:5" ht="12.75">
      <c r="A17" s="35"/>
      <c r="B17" s="35"/>
      <c r="C17" s="35"/>
      <c r="D17" s="34"/>
      <c r="E17" s="34"/>
    </row>
    <row r="18" spans="1:5" ht="12.75">
      <c r="A18" s="35" t="s">
        <v>46</v>
      </c>
      <c r="B18" s="35"/>
      <c r="C18" s="35"/>
      <c r="D18" s="34"/>
      <c r="E18" s="34"/>
    </row>
    <row r="19" spans="1:5" ht="12.75">
      <c r="A19" s="35"/>
      <c r="B19" s="35"/>
      <c r="C19" s="35"/>
      <c r="D19" s="34"/>
      <c r="E19" s="34"/>
    </row>
    <row r="20" spans="1:5" ht="25.5">
      <c r="A20" s="35" t="s">
        <v>96</v>
      </c>
      <c r="B20" s="35"/>
      <c r="C20" s="35"/>
      <c r="D20" s="34"/>
      <c r="E20" s="34"/>
    </row>
    <row r="21" spans="1:5" ht="12.75">
      <c r="A21" s="35"/>
      <c r="B21" s="35"/>
      <c r="C21" s="35"/>
      <c r="D21" s="34"/>
      <c r="E21" s="34"/>
    </row>
    <row r="22" spans="1:5" ht="38.25">
      <c r="A22" s="35" t="s">
        <v>47</v>
      </c>
      <c r="B22" s="35"/>
      <c r="C22" s="35"/>
      <c r="D22" s="34"/>
      <c r="E22" s="34"/>
    </row>
    <row r="23" spans="1:5" ht="12.75">
      <c r="A23" s="35"/>
      <c r="B23" s="35"/>
      <c r="C23" s="35"/>
      <c r="D23" s="34"/>
      <c r="E23" s="34"/>
    </row>
    <row r="24" spans="1:5" ht="25.5">
      <c r="A24" s="35" t="s">
        <v>0</v>
      </c>
      <c r="B24" s="35"/>
      <c r="C24" s="35"/>
      <c r="D24" s="34"/>
      <c r="E24" s="34"/>
    </row>
    <row r="25" spans="1:5" ht="12.75">
      <c r="A25" s="35"/>
      <c r="B25" s="35"/>
      <c r="C25" s="35"/>
      <c r="D25" s="34"/>
      <c r="E25" s="34"/>
    </row>
    <row r="26" spans="1:5" ht="25.5">
      <c r="A26" s="35" t="s">
        <v>1</v>
      </c>
      <c r="B26" s="35"/>
      <c r="C26" s="35"/>
      <c r="D26" s="34"/>
      <c r="E26" s="34"/>
    </row>
    <row r="27" spans="1:5" ht="12.75">
      <c r="A27" s="35"/>
      <c r="B27" s="35"/>
      <c r="C27" s="35"/>
      <c r="D27" s="34"/>
      <c r="E27" s="34"/>
    </row>
    <row r="28" spans="1:5" ht="12.75">
      <c r="A28" s="35" t="s">
        <v>2</v>
      </c>
      <c r="B28" s="35"/>
      <c r="C28" s="35"/>
      <c r="D28" s="34"/>
      <c r="E28" s="34"/>
    </row>
    <row r="29" spans="1:5" ht="12.75">
      <c r="A29" s="35"/>
      <c r="B29" s="35"/>
      <c r="C29" s="35"/>
      <c r="D29" s="34"/>
      <c r="E29" s="34"/>
    </row>
    <row r="30" spans="1:5" ht="12.75">
      <c r="A30" s="35" t="s">
        <v>3</v>
      </c>
      <c r="B30" s="35"/>
      <c r="C30" s="35"/>
      <c r="D30" s="34"/>
      <c r="E30" s="34"/>
    </row>
    <row r="31" spans="1:5" ht="12.75">
      <c r="A31" s="35"/>
      <c r="B31" s="35"/>
      <c r="C31" s="35"/>
      <c r="D31" s="34"/>
      <c r="E31" s="34"/>
    </row>
    <row r="32" spans="1:5" ht="25.5">
      <c r="A32" s="35" t="s">
        <v>4</v>
      </c>
      <c r="B32" s="35"/>
      <c r="C32" s="35"/>
      <c r="D32" s="34"/>
      <c r="E32" s="34"/>
    </row>
    <row r="33" spans="1:5" ht="12.75">
      <c r="A33" s="35"/>
      <c r="B33" s="35"/>
      <c r="C33" s="35"/>
      <c r="D33" s="34"/>
      <c r="E33" s="34"/>
    </row>
    <row r="34" spans="1:5" ht="25.5">
      <c r="A34" s="35" t="s">
        <v>5</v>
      </c>
      <c r="B34" s="35"/>
      <c r="C34" s="35"/>
      <c r="D34" s="34"/>
      <c r="E34" s="34"/>
    </row>
    <row r="35" spans="1:5" ht="12.75">
      <c r="A35" s="35"/>
      <c r="B35" s="35"/>
      <c r="C35" s="35"/>
      <c r="D35" s="34"/>
      <c r="E35" s="34"/>
    </row>
    <row r="36" spans="1:5" ht="38.25">
      <c r="A36" s="35" t="s">
        <v>6</v>
      </c>
      <c r="B36" s="35"/>
      <c r="C36" s="35"/>
      <c r="D36" s="34"/>
      <c r="E36" s="34"/>
    </row>
    <row r="37" spans="1:5" ht="12.75">
      <c r="A37" s="35"/>
      <c r="B37" s="35"/>
      <c r="C37" s="35"/>
      <c r="D37" s="34"/>
      <c r="E37" s="34"/>
    </row>
    <row r="38" spans="1:5" ht="89.25">
      <c r="A38" s="37" t="s">
        <v>7</v>
      </c>
      <c r="B38" s="35"/>
      <c r="C38" s="35"/>
      <c r="D38" s="34"/>
      <c r="E38" s="34"/>
    </row>
    <row r="39" spans="1:5" ht="12.75">
      <c r="A39" s="37"/>
      <c r="B39" s="35"/>
      <c r="C39" s="35"/>
      <c r="D39" s="34"/>
      <c r="E39" s="34"/>
    </row>
    <row r="40" spans="1:5" ht="89.25">
      <c r="A40" s="38" t="s">
        <v>8</v>
      </c>
      <c r="B40" s="35"/>
      <c r="C40" s="35"/>
      <c r="D40" s="34"/>
      <c r="E40" s="34"/>
    </row>
    <row r="41" spans="1:5" s="30" customFormat="1" ht="12.75">
      <c r="A41" s="35"/>
      <c r="B41" s="35"/>
      <c r="C41" s="35"/>
      <c r="D41" s="35"/>
      <c r="E41" s="35"/>
    </row>
    <row r="42" spans="1:5" ht="51">
      <c r="A42" s="37" t="s">
        <v>9</v>
      </c>
      <c r="B42" s="35"/>
      <c r="C42" s="35"/>
      <c r="D42" s="34"/>
      <c r="E42" s="34"/>
    </row>
    <row r="43" spans="1:5" ht="12.75">
      <c r="A43" s="37"/>
      <c r="B43" s="35"/>
      <c r="C43" s="35"/>
      <c r="D43" s="34"/>
      <c r="E43" s="34"/>
    </row>
    <row r="44" spans="1:5" ht="76.5">
      <c r="A44" s="37" t="s">
        <v>10</v>
      </c>
      <c r="B44" s="35"/>
      <c r="C44" s="35"/>
      <c r="D44" s="34"/>
      <c r="E44" s="34"/>
    </row>
    <row r="45" spans="1:5" ht="12.75">
      <c r="A45" s="28"/>
      <c r="B45" s="30"/>
      <c r="C45" s="30"/>
      <c r="D45" s="31"/>
      <c r="E45" s="31"/>
    </row>
    <row r="46" ht="25.5">
      <c r="A46" s="29" t="s">
        <v>11</v>
      </c>
    </row>
    <row r="47" ht="12.75">
      <c r="A47" s="29"/>
    </row>
    <row r="48" ht="76.5">
      <c r="A48" s="29" t="s">
        <v>12</v>
      </c>
    </row>
    <row r="49" ht="12.75">
      <c r="A49" s="29"/>
    </row>
    <row r="50" ht="63.75">
      <c r="A50" s="29" t="s">
        <v>13</v>
      </c>
    </row>
    <row r="51" ht="12.75">
      <c r="A51" s="29"/>
    </row>
    <row r="52" ht="25.5">
      <c r="A52" s="29" t="s">
        <v>14</v>
      </c>
    </row>
    <row r="54" ht="38.25">
      <c r="A54" s="29" t="s">
        <v>15</v>
      </c>
    </row>
    <row r="56" ht="25.5">
      <c r="A56" s="39" t="s">
        <v>16</v>
      </c>
    </row>
    <row r="58" ht="12.75">
      <c r="A58" s="42"/>
    </row>
    <row r="70" spans="1:12" ht="12.7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2.7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2.7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2.7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2.7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15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0.00390625" style="1" customWidth="1"/>
    <col min="2" max="2" width="61.8515625" style="16" customWidth="1"/>
    <col min="3" max="3" width="12.57421875" style="1" customWidth="1"/>
    <col min="4" max="16384" width="9.140625" style="1" customWidth="1"/>
  </cols>
  <sheetData>
    <row r="3" spans="1:4" ht="15.75">
      <c r="A3" s="2"/>
      <c r="B3" s="15" t="s">
        <v>587</v>
      </c>
      <c r="C3" s="4"/>
      <c r="D3" s="4"/>
    </row>
    <row r="5" ht="15">
      <c r="B5" s="17"/>
    </row>
    <row r="6" ht="15">
      <c r="B6" s="17"/>
    </row>
    <row r="7" ht="12.75">
      <c r="B7" s="319" t="s">
        <v>52</v>
      </c>
    </row>
    <row r="8" spans="1:3" ht="12.75">
      <c r="A8" s="2"/>
      <c r="B8" s="320" t="s">
        <v>506</v>
      </c>
      <c r="C8" s="2"/>
    </row>
    <row r="9" spans="1:3" ht="12.75">
      <c r="A9" s="2"/>
      <c r="B9" s="8"/>
      <c r="C9" s="2"/>
    </row>
    <row r="10" spans="1:3" ht="12.75">
      <c r="A10" s="2"/>
      <c r="B10" s="20"/>
      <c r="C10" s="2"/>
    </row>
    <row r="11" spans="1:3" ht="12.75">
      <c r="A11" s="5"/>
      <c r="B11" s="5"/>
      <c r="C11" s="5"/>
    </row>
    <row r="12" ht="12.75">
      <c r="B12" s="5"/>
    </row>
    <row r="13" spans="2:10" ht="15.75">
      <c r="B13" s="319" t="s">
        <v>64</v>
      </c>
      <c r="C13" s="6"/>
      <c r="D13" s="7"/>
      <c r="E13" s="7"/>
      <c r="F13" s="7"/>
      <c r="G13" s="7"/>
      <c r="H13" s="7"/>
      <c r="I13" s="7"/>
      <c r="J13" s="7"/>
    </row>
    <row r="14" ht="24">
      <c r="B14" s="321" t="s">
        <v>97</v>
      </c>
    </row>
    <row r="15" ht="12.75">
      <c r="B15" s="21"/>
    </row>
    <row r="16" ht="12.75">
      <c r="B16" s="5"/>
    </row>
    <row r="17" ht="12.75">
      <c r="B17" s="5"/>
    </row>
    <row r="18" spans="1:10" ht="15.75">
      <c r="A18" s="4"/>
      <c r="B18" s="8"/>
      <c r="C18" s="9"/>
      <c r="D18" s="9"/>
      <c r="E18" s="9"/>
      <c r="F18" s="9"/>
      <c r="G18" s="9"/>
      <c r="H18" s="9"/>
      <c r="I18" s="9"/>
      <c r="J18" s="9"/>
    </row>
    <row r="20" ht="12.75">
      <c r="B20" s="322" t="s">
        <v>98</v>
      </c>
    </row>
    <row r="21" ht="24">
      <c r="B21" s="321" t="s">
        <v>97</v>
      </c>
    </row>
    <row r="22" ht="12.75">
      <c r="B22" s="8"/>
    </row>
    <row r="25" ht="12.75">
      <c r="B25" s="8"/>
    </row>
    <row r="26" ht="12.75">
      <c r="B26" s="5" t="s">
        <v>56</v>
      </c>
    </row>
    <row r="27" ht="12.75">
      <c r="B27" s="8" t="s">
        <v>67</v>
      </c>
    </row>
    <row r="28" ht="12.75">
      <c r="B28" s="43" t="s">
        <v>69</v>
      </c>
    </row>
    <row r="29" s="10" customFormat="1" ht="12.75">
      <c r="B29" s="44" t="s">
        <v>88</v>
      </c>
    </row>
    <row r="35" ht="12.75">
      <c r="B35" s="5" t="s">
        <v>53</v>
      </c>
    </row>
    <row r="36" ht="12.75">
      <c r="B36" s="8" t="s">
        <v>89</v>
      </c>
    </row>
    <row r="37" ht="12.75">
      <c r="B37" s="8" t="s">
        <v>54</v>
      </c>
    </row>
    <row r="38" ht="12.75">
      <c r="B38" s="23" t="s">
        <v>55</v>
      </c>
    </row>
    <row r="43" ht="12.75">
      <c r="B43" s="12"/>
    </row>
    <row r="44" ht="12.75">
      <c r="B44" s="12"/>
    </row>
    <row r="45" ht="12.75">
      <c r="B45" s="12"/>
    </row>
    <row r="46" ht="12.75">
      <c r="B46" s="12" t="s">
        <v>507</v>
      </c>
    </row>
    <row r="47" ht="12.75">
      <c r="B47" s="12"/>
    </row>
    <row r="48" spans="1:3" ht="12.75">
      <c r="A48" s="328"/>
      <c r="B48" s="328"/>
      <c r="C48" s="328"/>
    </row>
    <row r="49" spans="1:5" ht="12.75">
      <c r="A49" s="328"/>
      <c r="B49" s="328"/>
      <c r="C49" s="328"/>
      <c r="D49" s="14"/>
      <c r="E49" s="14"/>
    </row>
    <row r="52" spans="1:4" ht="15.75">
      <c r="A52" s="2"/>
      <c r="B52" s="3"/>
      <c r="C52" s="4"/>
      <c r="D52" s="4"/>
    </row>
    <row r="54" ht="15">
      <c r="B54" s="17"/>
    </row>
    <row r="55" ht="15">
      <c r="B55" s="17"/>
    </row>
    <row r="56" ht="14.25">
      <c r="B56" s="18"/>
    </row>
    <row r="57" spans="1:3" ht="15.75">
      <c r="A57" s="4"/>
      <c r="B57" s="19"/>
      <c r="C57" s="4"/>
    </row>
    <row r="58" spans="1:3" ht="15">
      <c r="A58" s="2"/>
      <c r="B58" s="24"/>
      <c r="C58" s="2"/>
    </row>
    <row r="59" spans="1:3" ht="12.75">
      <c r="A59" s="2"/>
      <c r="B59" s="20"/>
      <c r="C59" s="2"/>
    </row>
    <row r="60" spans="1:3" ht="12.75">
      <c r="A60" s="2"/>
      <c r="B60" s="20"/>
      <c r="C60" s="2"/>
    </row>
    <row r="61" spans="1:3" ht="12.75">
      <c r="A61" s="5"/>
      <c r="B61" s="5"/>
      <c r="C61" s="5"/>
    </row>
    <row r="62" ht="12.75">
      <c r="B62" s="5"/>
    </row>
    <row r="63" spans="2:10" ht="15.75">
      <c r="B63" s="24"/>
      <c r="C63" s="6"/>
      <c r="D63" s="7"/>
      <c r="E63" s="7"/>
      <c r="F63" s="7"/>
      <c r="G63" s="7"/>
      <c r="H63" s="7"/>
      <c r="I63" s="7"/>
      <c r="J63" s="7"/>
    </row>
    <row r="64" ht="15.75">
      <c r="B64" s="4"/>
    </row>
    <row r="65" ht="12.75">
      <c r="B65" s="8"/>
    </row>
    <row r="66" ht="12.75">
      <c r="B66" s="5"/>
    </row>
    <row r="67" ht="12.75">
      <c r="B67" s="5"/>
    </row>
    <row r="68" spans="2:10" ht="12.75">
      <c r="B68" s="22"/>
      <c r="C68" s="9"/>
      <c r="D68" s="9"/>
      <c r="E68" s="9"/>
      <c r="F68" s="9"/>
      <c r="G68" s="9"/>
      <c r="H68" s="9"/>
      <c r="I68" s="9"/>
      <c r="J68" s="9"/>
    </row>
    <row r="69" spans="2:10" ht="12.75">
      <c r="B69" s="22"/>
      <c r="C69" s="9"/>
      <c r="D69" s="9"/>
      <c r="E69" s="9"/>
      <c r="F69" s="9"/>
      <c r="G69" s="9"/>
      <c r="H69" s="9"/>
      <c r="I69" s="9"/>
      <c r="J69" s="9"/>
    </row>
    <row r="70" spans="1:10" ht="15.75">
      <c r="A70" s="4"/>
      <c r="B70" s="8"/>
      <c r="C70" s="9"/>
      <c r="D70" s="9"/>
      <c r="E70" s="9"/>
      <c r="F70" s="9"/>
      <c r="G70" s="9"/>
      <c r="H70" s="9"/>
      <c r="I70" s="9"/>
      <c r="J70" s="9"/>
    </row>
    <row r="72" ht="12.75">
      <c r="B72" s="5"/>
    </row>
    <row r="73" ht="12.75">
      <c r="B73" s="22"/>
    </row>
    <row r="74" ht="12.75">
      <c r="B74" s="8"/>
    </row>
    <row r="77" ht="12.75">
      <c r="B77" s="8"/>
    </row>
    <row r="78" ht="12.75">
      <c r="B78" s="5"/>
    </row>
    <row r="79" ht="12.75">
      <c r="B79" s="8"/>
    </row>
    <row r="80" ht="12.75">
      <c r="B80" s="11"/>
    </row>
    <row r="81" ht="12.75">
      <c r="B81" s="5"/>
    </row>
    <row r="88" ht="12.75">
      <c r="B88" s="5"/>
    </row>
    <row r="89" ht="12.75">
      <c r="B89" s="8"/>
    </row>
    <row r="90" ht="12.75">
      <c r="B90" s="8"/>
    </row>
    <row r="91" ht="12.75">
      <c r="B91" s="23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spans="1:3" ht="12.75">
      <c r="A101" s="328"/>
      <c r="B101" s="328"/>
      <c r="C101" s="328"/>
    </row>
    <row r="102" spans="1:5" ht="12.75">
      <c r="A102" s="328"/>
      <c r="B102" s="328"/>
      <c r="C102" s="328"/>
      <c r="D102" s="14"/>
      <c r="E102" s="14"/>
    </row>
    <row r="105" spans="1:4" ht="15.75">
      <c r="A105" s="2"/>
      <c r="B105" s="3"/>
      <c r="C105" s="4"/>
      <c r="D105" s="4"/>
    </row>
    <row r="107" ht="15">
      <c r="B107" s="17"/>
    </row>
    <row r="108" ht="15">
      <c r="B108" s="17"/>
    </row>
    <row r="109" ht="14.25">
      <c r="B109" s="18"/>
    </row>
    <row r="110" spans="1:3" ht="15.75">
      <c r="A110" s="4"/>
      <c r="B110" s="19"/>
      <c r="C110" s="4"/>
    </row>
    <row r="111" spans="1:3" ht="15">
      <c r="A111" s="2"/>
      <c r="B111" s="24"/>
      <c r="C111" s="2"/>
    </row>
    <row r="112" spans="1:3" ht="12.75">
      <c r="A112" s="2"/>
      <c r="B112" s="20"/>
      <c r="C112" s="2"/>
    </row>
    <row r="113" spans="1:3" ht="12.75">
      <c r="A113" s="2"/>
      <c r="B113" s="20"/>
      <c r="C113" s="2"/>
    </row>
    <row r="114" spans="1:3" ht="12.75">
      <c r="A114" s="5"/>
      <c r="B114" s="5"/>
      <c r="C114" s="5"/>
    </row>
    <row r="115" ht="12.75">
      <c r="B115" s="5"/>
    </row>
    <row r="116" spans="2:10" ht="15.75">
      <c r="B116" s="24"/>
      <c r="C116" s="6"/>
      <c r="D116" s="7"/>
      <c r="E116" s="7"/>
      <c r="F116" s="7"/>
      <c r="G116" s="7"/>
      <c r="H116" s="7"/>
      <c r="I116" s="7"/>
      <c r="J116" s="7"/>
    </row>
    <row r="117" ht="15.75">
      <c r="B117" s="4"/>
    </row>
    <row r="118" ht="12.75">
      <c r="B118" s="8"/>
    </row>
    <row r="119" ht="12.75">
      <c r="B119" s="5"/>
    </row>
    <row r="120" ht="12.75">
      <c r="B120" s="5"/>
    </row>
    <row r="121" spans="2:10" ht="12.75">
      <c r="B121" s="22"/>
      <c r="C121" s="9"/>
      <c r="D121" s="9"/>
      <c r="E121" s="9"/>
      <c r="F121" s="9"/>
      <c r="G121" s="9"/>
      <c r="H121" s="9"/>
      <c r="I121" s="9"/>
      <c r="J121" s="9"/>
    </row>
    <row r="122" spans="2:10" ht="12.75">
      <c r="B122" s="22"/>
      <c r="C122" s="9"/>
      <c r="D122" s="9"/>
      <c r="E122" s="9"/>
      <c r="F122" s="9"/>
      <c r="G122" s="9"/>
      <c r="H122" s="9"/>
      <c r="I122" s="9"/>
      <c r="J122" s="9"/>
    </row>
    <row r="123" spans="1:10" ht="15.75">
      <c r="A123" s="4"/>
      <c r="B123" s="8"/>
      <c r="C123" s="9"/>
      <c r="D123" s="9"/>
      <c r="E123" s="9"/>
      <c r="F123" s="9"/>
      <c r="G123" s="9"/>
      <c r="H123" s="9"/>
      <c r="I123" s="9"/>
      <c r="J123" s="9"/>
    </row>
    <row r="125" ht="12.75">
      <c r="B125" s="5"/>
    </row>
    <row r="126" ht="12.75">
      <c r="B126" s="22"/>
    </row>
    <row r="127" ht="12.75">
      <c r="B127" s="8"/>
    </row>
    <row r="130" ht="12.75">
      <c r="B130" s="8"/>
    </row>
    <row r="131" ht="12.75">
      <c r="B131" s="5"/>
    </row>
    <row r="132" ht="12.75">
      <c r="B132" s="8"/>
    </row>
    <row r="133" ht="12.75">
      <c r="B133" s="11"/>
    </row>
    <row r="134" ht="12.75">
      <c r="B134" s="5"/>
    </row>
    <row r="141" ht="12.75">
      <c r="B141" s="5"/>
    </row>
    <row r="142" ht="12.75">
      <c r="B142" s="8"/>
    </row>
    <row r="143" ht="12.75">
      <c r="B143" s="8"/>
    </row>
    <row r="144" ht="12.75">
      <c r="B144" s="23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spans="1:3" ht="12.75">
      <c r="A154" s="328"/>
      <c r="B154" s="328"/>
      <c r="C154" s="328"/>
    </row>
    <row r="155" spans="1:5" ht="12.75">
      <c r="A155" s="328"/>
      <c r="B155" s="328"/>
      <c r="C155" s="328"/>
      <c r="D155" s="14"/>
      <c r="E155" s="14"/>
    </row>
    <row r="158" spans="1:4" ht="15.75">
      <c r="A158" s="2"/>
      <c r="B158" s="3"/>
      <c r="C158" s="4"/>
      <c r="D158" s="4"/>
    </row>
    <row r="160" ht="15">
      <c r="B160" s="17"/>
    </row>
    <row r="161" ht="15">
      <c r="B161" s="17"/>
    </row>
    <row r="162" ht="14.25">
      <c r="B162" s="18"/>
    </row>
    <row r="163" spans="1:3" ht="15.75">
      <c r="A163" s="4"/>
      <c r="B163" s="19"/>
      <c r="C163" s="4"/>
    </row>
    <row r="164" spans="1:3" ht="15">
      <c r="A164" s="2"/>
      <c r="B164" s="24"/>
      <c r="C164" s="2"/>
    </row>
    <row r="165" spans="1:3" ht="12.75">
      <c r="A165" s="2"/>
      <c r="B165" s="20"/>
      <c r="C165" s="2"/>
    </row>
    <row r="166" spans="1:3" ht="12.75">
      <c r="A166" s="2"/>
      <c r="B166" s="20"/>
      <c r="C166" s="2"/>
    </row>
    <row r="167" spans="1:3" ht="12.75">
      <c r="A167" s="5"/>
      <c r="B167" s="5"/>
      <c r="C167" s="5"/>
    </row>
    <row r="168" ht="12.75">
      <c r="B168" s="5"/>
    </row>
    <row r="169" spans="2:10" ht="15.75">
      <c r="B169" s="24"/>
      <c r="C169" s="6"/>
      <c r="D169" s="7"/>
      <c r="E169" s="7"/>
      <c r="F169" s="7"/>
      <c r="G169" s="7"/>
      <c r="H169" s="7"/>
      <c r="I169" s="7"/>
      <c r="J169" s="7"/>
    </row>
    <row r="170" ht="15.75">
      <c r="B170" s="4"/>
    </row>
    <row r="171" ht="12.75">
      <c r="B171" s="8"/>
    </row>
    <row r="172" ht="12.75">
      <c r="B172" s="5"/>
    </row>
    <row r="173" ht="12.75">
      <c r="B173" s="5"/>
    </row>
    <row r="174" spans="2:10" ht="12.75">
      <c r="B174" s="22"/>
      <c r="C174" s="9"/>
      <c r="D174" s="9"/>
      <c r="E174" s="9"/>
      <c r="F174" s="9"/>
      <c r="G174" s="9"/>
      <c r="H174" s="9"/>
      <c r="I174" s="9"/>
      <c r="J174" s="9"/>
    </row>
    <row r="175" spans="2:10" ht="12.75">
      <c r="B175" s="22"/>
      <c r="C175" s="9"/>
      <c r="D175" s="9"/>
      <c r="E175" s="9"/>
      <c r="F175" s="9"/>
      <c r="G175" s="9"/>
      <c r="H175" s="9"/>
      <c r="I175" s="9"/>
      <c r="J175" s="9"/>
    </row>
    <row r="176" spans="1:10" ht="15.75">
      <c r="A176" s="4"/>
      <c r="B176" s="8"/>
      <c r="C176" s="9"/>
      <c r="D176" s="9"/>
      <c r="E176" s="9"/>
      <c r="F176" s="9"/>
      <c r="G176" s="9"/>
      <c r="H176" s="9"/>
      <c r="I176" s="9"/>
      <c r="J176" s="9"/>
    </row>
    <row r="178" ht="12.75">
      <c r="B178" s="5"/>
    </row>
    <row r="179" ht="12.75">
      <c r="B179" s="22"/>
    </row>
    <row r="180" ht="12.75">
      <c r="B180" s="8"/>
    </row>
    <row r="183" ht="12.75">
      <c r="B183" s="8"/>
    </row>
    <row r="184" ht="12.75">
      <c r="B184" s="5"/>
    </row>
    <row r="185" ht="12.75">
      <c r="B185" s="8"/>
    </row>
    <row r="186" ht="12.75">
      <c r="B186" s="11"/>
    </row>
    <row r="187" ht="12.75">
      <c r="B187" s="5"/>
    </row>
    <row r="194" ht="12.75">
      <c r="B194" s="5"/>
    </row>
    <row r="195" ht="12.75">
      <c r="B195" s="8"/>
    </row>
    <row r="196" ht="12.75">
      <c r="B196" s="8"/>
    </row>
    <row r="197" ht="12.75">
      <c r="B197" s="23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spans="1:3" ht="12.75">
      <c r="A207" s="328"/>
      <c r="B207" s="328"/>
      <c r="C207" s="328"/>
    </row>
    <row r="208" spans="1:5" ht="12.75">
      <c r="A208" s="328"/>
      <c r="B208" s="328"/>
      <c r="C208" s="328"/>
      <c r="D208" s="14"/>
      <c r="E208" s="14"/>
    </row>
    <row r="211" spans="1:4" ht="15.75">
      <c r="A211" s="2"/>
      <c r="B211" s="3"/>
      <c r="C211" s="4"/>
      <c r="D211" s="4"/>
    </row>
    <row r="213" ht="15">
      <c r="B213" s="17"/>
    </row>
    <row r="214" ht="15">
      <c r="B214" s="17"/>
    </row>
    <row r="215" ht="14.25">
      <c r="B215" s="18"/>
    </row>
    <row r="216" spans="1:3" ht="15.75">
      <c r="A216" s="4"/>
      <c r="B216" s="19"/>
      <c r="C216" s="4"/>
    </row>
    <row r="217" spans="1:3" ht="15">
      <c r="A217" s="2"/>
      <c r="B217" s="24"/>
      <c r="C217" s="2"/>
    </row>
    <row r="218" spans="1:3" ht="12.75">
      <c r="A218" s="2"/>
      <c r="B218" s="20"/>
      <c r="C218" s="2"/>
    </row>
    <row r="219" spans="1:3" ht="12.75">
      <c r="A219" s="2"/>
      <c r="B219" s="20"/>
      <c r="C219" s="2"/>
    </row>
    <row r="220" spans="1:3" ht="12.75">
      <c r="A220" s="5"/>
      <c r="B220" s="5"/>
      <c r="C220" s="5"/>
    </row>
    <row r="221" ht="12.75">
      <c r="B221" s="5"/>
    </row>
    <row r="222" spans="2:10" ht="15.75">
      <c r="B222" s="24"/>
      <c r="C222" s="6"/>
      <c r="D222" s="7"/>
      <c r="E222" s="7"/>
      <c r="F222" s="7"/>
      <c r="G222" s="7"/>
      <c r="H222" s="7"/>
      <c r="I222" s="7"/>
      <c r="J222" s="7"/>
    </row>
    <row r="223" ht="15.75">
      <c r="B223" s="4"/>
    </row>
    <row r="224" ht="12.75">
      <c r="B224" s="8"/>
    </row>
    <row r="225" ht="12.75">
      <c r="B225" s="5"/>
    </row>
    <row r="226" ht="12.75">
      <c r="B226" s="5"/>
    </row>
    <row r="227" spans="2:10" ht="12.75">
      <c r="B227" s="22"/>
      <c r="C227" s="9"/>
      <c r="D227" s="9"/>
      <c r="E227" s="9"/>
      <c r="F227" s="9"/>
      <c r="G227" s="9"/>
      <c r="H227" s="9"/>
      <c r="I227" s="9"/>
      <c r="J227" s="9"/>
    </row>
    <row r="228" spans="2:10" ht="12.75">
      <c r="B228" s="22"/>
      <c r="C228" s="9"/>
      <c r="D228" s="9"/>
      <c r="E228" s="9"/>
      <c r="F228" s="9"/>
      <c r="G228" s="9"/>
      <c r="H228" s="9"/>
      <c r="I228" s="9"/>
      <c r="J228" s="9"/>
    </row>
    <row r="229" spans="1:10" ht="15.75">
      <c r="A229" s="4"/>
      <c r="B229" s="8"/>
      <c r="C229" s="9"/>
      <c r="D229" s="9"/>
      <c r="E229" s="9"/>
      <c r="F229" s="9"/>
      <c r="G229" s="9"/>
      <c r="H229" s="9"/>
      <c r="I229" s="9"/>
      <c r="J229" s="9"/>
    </row>
    <row r="231" ht="12.75">
      <c r="B231" s="5"/>
    </row>
    <row r="232" ht="12.75">
      <c r="B232" s="22"/>
    </row>
    <row r="233" ht="12.75">
      <c r="B233" s="8"/>
    </row>
    <row r="236" ht="12.75">
      <c r="B236" s="8"/>
    </row>
    <row r="237" ht="12.75">
      <c r="B237" s="5"/>
    </row>
    <row r="238" ht="12.75">
      <c r="B238" s="8"/>
    </row>
    <row r="239" ht="12.75">
      <c r="B239" s="11"/>
    </row>
    <row r="240" ht="12.75">
      <c r="B240" s="5"/>
    </row>
    <row r="247" ht="12.75">
      <c r="B247" s="5"/>
    </row>
    <row r="248" ht="12.75">
      <c r="B248" s="8"/>
    </row>
    <row r="249" ht="12.75">
      <c r="B249" s="8"/>
    </row>
    <row r="250" ht="12.75">
      <c r="B250" s="23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spans="1:3" ht="12.75">
      <c r="A260" s="328"/>
      <c r="B260" s="328"/>
      <c r="C260" s="328"/>
    </row>
    <row r="261" spans="1:5" ht="12.75">
      <c r="A261" s="328"/>
      <c r="B261" s="328"/>
      <c r="C261" s="328"/>
      <c r="D261" s="14"/>
      <c r="E261" s="14"/>
    </row>
    <row r="263" s="2" customFormat="1" ht="12.75">
      <c r="B263" s="20"/>
    </row>
    <row r="264" s="2" customFormat="1" ht="12.75">
      <c r="B264" s="20"/>
    </row>
    <row r="265" s="2" customFormat="1" ht="12.75">
      <c r="B265" s="20"/>
    </row>
    <row r="266" s="2" customFormat="1" ht="12.75">
      <c r="B266" s="20"/>
    </row>
    <row r="267" s="2" customFormat="1" ht="12.75">
      <c r="B267" s="20"/>
    </row>
    <row r="268" s="2" customFormat="1" ht="12.75">
      <c r="B268" s="20"/>
    </row>
    <row r="269" s="2" customFormat="1" ht="12.75">
      <c r="B269" s="20"/>
    </row>
    <row r="270" s="2" customFormat="1" ht="12.75">
      <c r="B270" s="20"/>
    </row>
    <row r="271" s="2" customFormat="1" ht="12.75">
      <c r="B271" s="20"/>
    </row>
    <row r="272" spans="1:3" s="2" customFormat="1" ht="15.75">
      <c r="A272" s="4"/>
      <c r="B272" s="4"/>
      <c r="C272" s="4"/>
    </row>
    <row r="273" s="2" customFormat="1" ht="12.75">
      <c r="B273" s="20"/>
    </row>
    <row r="274" s="2" customFormat="1" ht="12.75">
      <c r="B274" s="20"/>
    </row>
    <row r="275" s="2" customFormat="1" ht="12.75">
      <c r="B275" s="20"/>
    </row>
    <row r="276" spans="1:3" s="2" customFormat="1" ht="12.75">
      <c r="A276" s="5"/>
      <c r="B276" s="5"/>
      <c r="C276" s="5"/>
    </row>
    <row r="277" s="2" customFormat="1" ht="12.75">
      <c r="B277" s="5"/>
    </row>
    <row r="278" spans="1:3" s="2" customFormat="1" ht="15.75">
      <c r="A278" s="6"/>
      <c r="B278" s="25"/>
      <c r="C278" s="6"/>
    </row>
    <row r="279" s="2" customFormat="1" ht="15.75">
      <c r="B279" s="4"/>
    </row>
    <row r="280" s="2" customFormat="1" ht="12.75">
      <c r="B280" s="8"/>
    </row>
    <row r="281" s="2" customFormat="1" ht="12.75">
      <c r="B281" s="5"/>
    </row>
    <row r="282" s="2" customFormat="1" ht="12.75">
      <c r="B282" s="5"/>
    </row>
    <row r="283" spans="2:3" s="2" customFormat="1" ht="12.75">
      <c r="B283" s="22"/>
      <c r="C283" s="9"/>
    </row>
    <row r="284" spans="1:3" s="2" customFormat="1" ht="15.75">
      <c r="A284" s="4"/>
      <c r="B284" s="8"/>
      <c r="C284" s="9"/>
    </row>
    <row r="285" spans="1:3" s="2" customFormat="1" ht="15.75">
      <c r="A285" s="4"/>
      <c r="B285" s="8"/>
      <c r="C285" s="9"/>
    </row>
    <row r="286" spans="1:3" s="2" customFormat="1" ht="15.75">
      <c r="A286" s="4"/>
      <c r="B286" s="8"/>
      <c r="C286" s="9"/>
    </row>
    <row r="287" spans="1:3" s="2" customFormat="1" ht="12.75">
      <c r="A287" s="10"/>
      <c r="B287" s="22"/>
      <c r="C287" s="10"/>
    </row>
    <row r="288" s="2" customFormat="1" ht="12.75">
      <c r="B288" s="8"/>
    </row>
    <row r="289" s="2" customFormat="1" ht="12.75">
      <c r="B289" s="5"/>
    </row>
    <row r="290" s="2" customFormat="1" ht="12.75">
      <c r="B290" s="8"/>
    </row>
    <row r="291" s="2" customFormat="1" ht="12.75">
      <c r="B291" s="8"/>
    </row>
    <row r="292" s="2" customFormat="1" ht="12.75">
      <c r="B292" s="5"/>
    </row>
    <row r="293" s="2" customFormat="1" ht="12.75">
      <c r="B293" s="20"/>
    </row>
    <row r="294" s="2" customFormat="1" ht="12.75">
      <c r="B294" s="20"/>
    </row>
    <row r="295" s="2" customFormat="1" ht="12.75">
      <c r="B295" s="20"/>
    </row>
    <row r="296" s="2" customFormat="1" ht="12.75">
      <c r="B296" s="20"/>
    </row>
    <row r="297" s="2" customFormat="1" ht="12.75">
      <c r="B297" s="20"/>
    </row>
    <row r="298" s="2" customFormat="1" ht="12.75">
      <c r="B298" s="20"/>
    </row>
    <row r="299" s="2" customFormat="1" ht="12.75">
      <c r="B299" s="20"/>
    </row>
    <row r="300" s="2" customFormat="1" ht="12.75">
      <c r="B300" s="20"/>
    </row>
    <row r="301" s="2" customFormat="1" ht="12.75">
      <c r="B301" s="20"/>
    </row>
    <row r="302" s="2" customFormat="1" ht="12.75">
      <c r="B302" s="20"/>
    </row>
    <row r="303" s="2" customFormat="1" ht="12.75">
      <c r="B303" s="20"/>
    </row>
    <row r="304" s="2" customFormat="1" ht="12.75">
      <c r="B304" s="20"/>
    </row>
    <row r="305" s="2" customFormat="1" ht="12.75" customHeight="1">
      <c r="B305" s="12"/>
    </row>
    <row r="306" spans="2:5" s="2" customFormat="1" ht="12.75" customHeight="1">
      <c r="B306" s="12"/>
      <c r="D306" s="14"/>
      <c r="E306" s="14"/>
    </row>
    <row r="307" s="2" customFormat="1" ht="12.75">
      <c r="B307" s="12"/>
    </row>
    <row r="308" s="2" customFormat="1" ht="12.75">
      <c r="B308" s="26"/>
    </row>
    <row r="309" s="2" customFormat="1" ht="12.75">
      <c r="B309" s="12"/>
    </row>
    <row r="310" spans="1:3" s="2" customFormat="1" ht="26.25">
      <c r="A310" s="13"/>
      <c r="B310" s="27"/>
      <c r="C310" s="13"/>
    </row>
    <row r="311" spans="1:3" s="2" customFormat="1" ht="26.25">
      <c r="A311" s="13"/>
      <c r="B311" s="27"/>
      <c r="C311" s="13"/>
    </row>
    <row r="312" s="2" customFormat="1" ht="12.75">
      <c r="B312" s="20"/>
    </row>
    <row r="313" s="2" customFormat="1" ht="12.75">
      <c r="B313" s="20"/>
    </row>
    <row r="314" s="2" customFormat="1" ht="12.75">
      <c r="B314" s="20"/>
    </row>
    <row r="315" s="2" customFormat="1" ht="12.75">
      <c r="B315" s="20"/>
    </row>
    <row r="316" s="2" customFormat="1" ht="12.75">
      <c r="B316" s="20"/>
    </row>
    <row r="317" s="2" customFormat="1" ht="12.75">
      <c r="B317" s="20"/>
    </row>
    <row r="318" s="2" customFormat="1" ht="12.75">
      <c r="B318" s="20"/>
    </row>
    <row r="319" s="2" customFormat="1" ht="12.75">
      <c r="B319" s="20"/>
    </row>
    <row r="320" s="2" customFormat="1" ht="12.75">
      <c r="B320" s="20"/>
    </row>
    <row r="321" s="2" customFormat="1" ht="12.75">
      <c r="B321" s="20"/>
    </row>
    <row r="322" s="2" customFormat="1" ht="12.75">
      <c r="B322" s="20"/>
    </row>
    <row r="323" s="2" customFormat="1" ht="12.75">
      <c r="B323" s="20"/>
    </row>
    <row r="324" s="2" customFormat="1" ht="12.75">
      <c r="B324" s="20"/>
    </row>
    <row r="325" s="2" customFormat="1" ht="12.75">
      <c r="B325" s="20"/>
    </row>
    <row r="326" s="2" customFormat="1" ht="12.75">
      <c r="B326" s="20"/>
    </row>
    <row r="327" s="2" customFormat="1" ht="12.75">
      <c r="B327" s="20"/>
    </row>
    <row r="328" s="2" customFormat="1" ht="12.75">
      <c r="B328" s="20"/>
    </row>
    <row r="329" s="2" customFormat="1" ht="12.75">
      <c r="B329" s="20"/>
    </row>
    <row r="330" s="2" customFormat="1" ht="12.75">
      <c r="B330" s="20"/>
    </row>
    <row r="331" s="2" customFormat="1" ht="12.75">
      <c r="B331" s="20"/>
    </row>
    <row r="332" s="2" customFormat="1" ht="12.75">
      <c r="B332" s="20"/>
    </row>
    <row r="333" s="2" customFormat="1" ht="12.75">
      <c r="B333" s="20"/>
    </row>
    <row r="334" s="2" customFormat="1" ht="12.75">
      <c r="B334" s="20"/>
    </row>
    <row r="335" s="2" customFormat="1" ht="12.75">
      <c r="B335" s="20"/>
    </row>
    <row r="336" s="2" customFormat="1" ht="12.75">
      <c r="B336" s="20"/>
    </row>
    <row r="337" s="2" customFormat="1" ht="12.75">
      <c r="B337" s="20"/>
    </row>
    <row r="338" s="2" customFormat="1" ht="12.75">
      <c r="B338" s="20"/>
    </row>
    <row r="339" s="2" customFormat="1" ht="12.75">
      <c r="B339" s="20"/>
    </row>
    <row r="340" s="2" customFormat="1" ht="12.75">
      <c r="B340" s="20"/>
    </row>
    <row r="341" s="2" customFormat="1" ht="12.75">
      <c r="B341" s="20"/>
    </row>
    <row r="342" s="2" customFormat="1" ht="12.75">
      <c r="B342" s="20"/>
    </row>
    <row r="343" s="2" customFormat="1" ht="12.75">
      <c r="B343" s="20"/>
    </row>
    <row r="344" s="2" customFormat="1" ht="12.75">
      <c r="B344" s="20"/>
    </row>
    <row r="345" s="2" customFormat="1" ht="12.75">
      <c r="B345" s="20"/>
    </row>
    <row r="346" s="2" customFormat="1" ht="12.75">
      <c r="B346" s="20"/>
    </row>
    <row r="347" s="2" customFormat="1" ht="12.75">
      <c r="B347" s="20"/>
    </row>
    <row r="348" s="2" customFormat="1" ht="12.75">
      <c r="B348" s="20"/>
    </row>
    <row r="349" s="2" customFormat="1" ht="12.75">
      <c r="B349" s="20"/>
    </row>
    <row r="350" s="2" customFormat="1" ht="12.75">
      <c r="B350" s="20"/>
    </row>
    <row r="351" s="2" customFormat="1" ht="12.75">
      <c r="B351" s="20"/>
    </row>
    <row r="352" s="2" customFormat="1" ht="12.75">
      <c r="B352" s="20"/>
    </row>
    <row r="353" s="2" customFormat="1" ht="12.75">
      <c r="B353" s="20"/>
    </row>
    <row r="354" s="2" customFormat="1" ht="12.75">
      <c r="B354" s="20"/>
    </row>
    <row r="355" s="2" customFormat="1" ht="12.75">
      <c r="B355" s="20"/>
    </row>
    <row r="356" s="2" customFormat="1" ht="12.75">
      <c r="B356" s="20"/>
    </row>
    <row r="357" s="2" customFormat="1" ht="12.75">
      <c r="B357" s="20"/>
    </row>
    <row r="358" s="2" customFormat="1" ht="12.75">
      <c r="B358" s="20"/>
    </row>
    <row r="359" s="2" customFormat="1" ht="12.75">
      <c r="B359" s="20"/>
    </row>
    <row r="360" s="2" customFormat="1" ht="12.75">
      <c r="B360" s="20"/>
    </row>
    <row r="361" s="2" customFormat="1" ht="12.75">
      <c r="B361" s="20"/>
    </row>
    <row r="362" s="2" customFormat="1" ht="12.75">
      <c r="B362" s="20"/>
    </row>
    <row r="363" s="2" customFormat="1" ht="12.75">
      <c r="B363" s="20"/>
    </row>
    <row r="364" s="2" customFormat="1" ht="12.75">
      <c r="B364" s="20"/>
    </row>
    <row r="365" s="2" customFormat="1" ht="12.75">
      <c r="B365" s="20"/>
    </row>
    <row r="366" s="2" customFormat="1" ht="12.75">
      <c r="B366" s="20"/>
    </row>
    <row r="367" s="2" customFormat="1" ht="12.75">
      <c r="B367" s="20"/>
    </row>
    <row r="368" s="2" customFormat="1" ht="12.75">
      <c r="B368" s="20"/>
    </row>
    <row r="369" s="2" customFormat="1" ht="12.75">
      <c r="B369" s="20"/>
    </row>
    <row r="370" s="2" customFormat="1" ht="12.75">
      <c r="B370" s="20"/>
    </row>
    <row r="371" s="2" customFormat="1" ht="12.75">
      <c r="B371" s="20"/>
    </row>
    <row r="372" s="2" customFormat="1" ht="12.75">
      <c r="B372" s="20"/>
    </row>
    <row r="373" s="2" customFormat="1" ht="12.75">
      <c r="B373" s="20"/>
    </row>
    <row r="374" s="2" customFormat="1" ht="12.75">
      <c r="B374" s="20"/>
    </row>
    <row r="375" s="2" customFormat="1" ht="12.75">
      <c r="B375" s="20"/>
    </row>
    <row r="376" s="2" customFormat="1" ht="12.75">
      <c r="B376" s="20"/>
    </row>
    <row r="377" s="2" customFormat="1" ht="12.75">
      <c r="B377" s="20"/>
    </row>
    <row r="378" s="2" customFormat="1" ht="12.75">
      <c r="B378" s="20"/>
    </row>
    <row r="379" s="2" customFormat="1" ht="12.75">
      <c r="B379" s="20"/>
    </row>
    <row r="380" s="2" customFormat="1" ht="12.75">
      <c r="B380" s="20"/>
    </row>
    <row r="381" s="2" customFormat="1" ht="12.75">
      <c r="B381" s="20"/>
    </row>
    <row r="382" s="2" customFormat="1" ht="12.75">
      <c r="B382" s="20"/>
    </row>
    <row r="383" s="2" customFormat="1" ht="12.75">
      <c r="B383" s="20"/>
    </row>
    <row r="384" s="2" customFormat="1" ht="12.75">
      <c r="B384" s="20"/>
    </row>
    <row r="385" s="2" customFormat="1" ht="12.75">
      <c r="B385" s="20"/>
    </row>
    <row r="386" s="2" customFormat="1" ht="12.75">
      <c r="B386" s="20"/>
    </row>
    <row r="387" s="2" customFormat="1" ht="12.75">
      <c r="B387" s="20"/>
    </row>
    <row r="388" s="2" customFormat="1" ht="12.75">
      <c r="B388" s="20"/>
    </row>
    <row r="389" s="2" customFormat="1" ht="12.75">
      <c r="B389" s="20"/>
    </row>
    <row r="390" s="2" customFormat="1" ht="12.75">
      <c r="B390" s="20"/>
    </row>
    <row r="391" s="2" customFormat="1" ht="12.75">
      <c r="B391" s="20"/>
    </row>
    <row r="392" s="2" customFormat="1" ht="12.75">
      <c r="B392" s="20"/>
    </row>
    <row r="393" s="2" customFormat="1" ht="12.75">
      <c r="B393" s="20"/>
    </row>
    <row r="394" s="2" customFormat="1" ht="12.75">
      <c r="B394" s="20"/>
    </row>
    <row r="395" s="2" customFormat="1" ht="12.75">
      <c r="B395" s="20"/>
    </row>
    <row r="396" s="2" customFormat="1" ht="12.75">
      <c r="B396" s="20"/>
    </row>
    <row r="397" s="2" customFormat="1" ht="12.75">
      <c r="B397" s="20"/>
    </row>
    <row r="398" s="2" customFormat="1" ht="12.75">
      <c r="B398" s="20"/>
    </row>
    <row r="399" s="2" customFormat="1" ht="12.75">
      <c r="B399" s="20"/>
    </row>
    <row r="400" s="2" customFormat="1" ht="12.75">
      <c r="B400" s="20"/>
    </row>
    <row r="401" s="2" customFormat="1" ht="12.75">
      <c r="B401" s="20"/>
    </row>
    <row r="402" s="2" customFormat="1" ht="12.75">
      <c r="B402" s="20"/>
    </row>
    <row r="403" s="2" customFormat="1" ht="12.75">
      <c r="B403" s="20"/>
    </row>
    <row r="404" s="2" customFormat="1" ht="12.75">
      <c r="B404" s="20"/>
    </row>
    <row r="405" s="2" customFormat="1" ht="12.75">
      <c r="B405" s="20"/>
    </row>
    <row r="406" s="2" customFormat="1" ht="12.75">
      <c r="B406" s="20"/>
    </row>
    <row r="407" s="2" customFormat="1" ht="12.75">
      <c r="B407" s="20"/>
    </row>
    <row r="408" s="2" customFormat="1" ht="12.75">
      <c r="B408" s="20"/>
    </row>
    <row r="409" s="2" customFormat="1" ht="12.75">
      <c r="B409" s="20"/>
    </row>
    <row r="410" s="2" customFormat="1" ht="12.75">
      <c r="B410" s="20"/>
    </row>
    <row r="411" s="2" customFormat="1" ht="12.75">
      <c r="B411" s="20"/>
    </row>
    <row r="412" s="2" customFormat="1" ht="12.75">
      <c r="B412" s="20"/>
    </row>
    <row r="413" s="2" customFormat="1" ht="12.75">
      <c r="B413" s="20"/>
    </row>
    <row r="414" s="2" customFormat="1" ht="12.75">
      <c r="B414" s="20"/>
    </row>
    <row r="415" s="2" customFormat="1" ht="12.75">
      <c r="B415" s="20"/>
    </row>
  </sheetData>
  <sheetProtection/>
  <mergeCells count="5">
    <mergeCell ref="A260:C261"/>
    <mergeCell ref="A48:C49"/>
    <mergeCell ref="A101:C102"/>
    <mergeCell ref="A154:C155"/>
    <mergeCell ref="A207:C20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815"/>
  <sheetViews>
    <sheetView tabSelected="1" zoomScalePageLayoutView="0" workbookViewId="0" topLeftCell="A1">
      <selection activeCell="F48" sqref="F48"/>
    </sheetView>
  </sheetViews>
  <sheetFormatPr defaultColWidth="9.140625" defaultRowHeight="12.75"/>
  <cols>
    <col min="1" max="1" width="3.7109375" style="89" customWidth="1"/>
    <col min="2" max="2" width="9.421875" style="90" customWidth="1"/>
    <col min="3" max="3" width="43.421875" style="77" customWidth="1"/>
    <col min="4" max="4" width="3.7109375" style="91" customWidth="1"/>
    <col min="5" max="5" width="6.8515625" style="158" customWidth="1"/>
    <col min="6" max="6" width="8.28125" style="92" customWidth="1"/>
    <col min="7" max="7" width="9.421875" style="93" customWidth="1"/>
    <col min="8" max="8" width="6.140625" style="94" customWidth="1"/>
    <col min="9" max="9" width="7.421875" style="95" customWidth="1"/>
    <col min="10" max="10" width="11.421875" style="96" bestFit="1" customWidth="1"/>
    <col min="11" max="11" width="13.28125" style="77" customWidth="1"/>
    <col min="12" max="12" width="11.421875" style="77" bestFit="1" customWidth="1"/>
    <col min="13" max="13" width="9.140625" style="77" customWidth="1"/>
    <col min="14" max="14" width="30.00390625" style="77" customWidth="1"/>
    <col min="15" max="15" width="9.421875" style="77" bestFit="1" customWidth="1"/>
    <col min="16" max="16384" width="9.140625" style="77" customWidth="1"/>
  </cols>
  <sheetData>
    <row r="2" ht="12.75">
      <c r="C2" s="71" t="s">
        <v>587</v>
      </c>
    </row>
    <row r="3" ht="12">
      <c r="C3" s="134"/>
    </row>
    <row r="4" ht="12">
      <c r="C4" s="134" t="s">
        <v>52</v>
      </c>
    </row>
    <row r="5" ht="12.75">
      <c r="C5" s="71" t="s">
        <v>506</v>
      </c>
    </row>
    <row r="7" ht="12">
      <c r="C7" s="134" t="s">
        <v>64</v>
      </c>
    </row>
    <row r="8" ht="24">
      <c r="C8" s="97" t="s">
        <v>97</v>
      </c>
    </row>
    <row r="9" ht="12">
      <c r="C9" s="97"/>
    </row>
    <row r="10" ht="12">
      <c r="C10" s="150" t="s">
        <v>98</v>
      </c>
    </row>
    <row r="11" ht="24">
      <c r="C11" s="97" t="s">
        <v>97</v>
      </c>
    </row>
    <row r="12" ht="12">
      <c r="C12" s="97"/>
    </row>
    <row r="13" ht="12.75">
      <c r="C13" s="98" t="s">
        <v>65</v>
      </c>
    </row>
    <row r="14" spans="1:9" ht="12">
      <c r="A14" s="89" t="s">
        <v>48</v>
      </c>
      <c r="C14" s="77" t="s">
        <v>200</v>
      </c>
      <c r="D14" s="91" t="s">
        <v>51</v>
      </c>
      <c r="G14" s="93">
        <f>G45</f>
        <v>0</v>
      </c>
      <c r="I14" s="99"/>
    </row>
    <row r="15" spans="3:9" ht="12">
      <c r="C15" s="77" t="s">
        <v>482</v>
      </c>
      <c r="D15" s="91" t="s">
        <v>51</v>
      </c>
      <c r="G15" s="93">
        <f>G231</f>
        <v>0</v>
      </c>
      <c r="I15" s="99"/>
    </row>
    <row r="16" spans="1:7" ht="12">
      <c r="A16" s="89" t="s">
        <v>49</v>
      </c>
      <c r="C16" s="59" t="s">
        <v>201</v>
      </c>
      <c r="D16" s="91" t="s">
        <v>51</v>
      </c>
      <c r="G16" s="93">
        <f>G268</f>
        <v>0</v>
      </c>
    </row>
    <row r="17" spans="1:7" ht="12">
      <c r="A17" s="89" t="s">
        <v>50</v>
      </c>
      <c r="C17" s="59" t="s">
        <v>91</v>
      </c>
      <c r="D17" s="91" t="s">
        <v>51</v>
      </c>
      <c r="G17" s="93">
        <f>G352</f>
        <v>0</v>
      </c>
    </row>
    <row r="18" spans="3:7" ht="12">
      <c r="C18" s="45" t="s">
        <v>72</v>
      </c>
      <c r="D18" s="91" t="s">
        <v>51</v>
      </c>
      <c r="G18" s="93">
        <f>G391</f>
        <v>0</v>
      </c>
    </row>
    <row r="19" spans="3:7" ht="12">
      <c r="C19" s="79" t="s">
        <v>154</v>
      </c>
      <c r="D19" s="91" t="s">
        <v>51</v>
      </c>
      <c r="G19" s="93">
        <f>G404</f>
        <v>0</v>
      </c>
    </row>
    <row r="20" spans="3:7" ht="12">
      <c r="C20" s="79" t="s">
        <v>158</v>
      </c>
      <c r="D20" s="91" t="s">
        <v>51</v>
      </c>
      <c r="G20" s="93">
        <f>G413</f>
        <v>0</v>
      </c>
    </row>
    <row r="21" spans="1:7" ht="12">
      <c r="A21" s="89" t="s">
        <v>18</v>
      </c>
      <c r="C21" s="79" t="s">
        <v>160</v>
      </c>
      <c r="D21" s="91" t="s">
        <v>51</v>
      </c>
      <c r="G21" s="93">
        <f>G442</f>
        <v>0</v>
      </c>
    </row>
    <row r="22" spans="1:7" ht="12">
      <c r="A22" s="89" t="s">
        <v>19</v>
      </c>
      <c r="C22" s="79" t="s">
        <v>202</v>
      </c>
      <c r="D22" s="91" t="s">
        <v>51</v>
      </c>
      <c r="G22" s="93">
        <f>G453</f>
        <v>0</v>
      </c>
    </row>
    <row r="23" spans="3:7" ht="12">
      <c r="C23" s="79" t="s">
        <v>563</v>
      </c>
      <c r="D23" s="91" t="s">
        <v>51</v>
      </c>
      <c r="G23" s="93">
        <f>G492</f>
        <v>0</v>
      </c>
    </row>
    <row r="24" spans="1:7" ht="12">
      <c r="A24" s="89" t="s">
        <v>20</v>
      </c>
      <c r="C24" s="193" t="s">
        <v>183</v>
      </c>
      <c r="D24" s="91" t="s">
        <v>51</v>
      </c>
      <c r="G24" s="93">
        <f>G498</f>
        <v>0</v>
      </c>
    </row>
    <row r="25" spans="1:7" ht="12.75">
      <c r="A25" s="89" t="s">
        <v>21</v>
      </c>
      <c r="C25" s="47" t="s">
        <v>73</v>
      </c>
      <c r="D25" s="91" t="s">
        <v>51</v>
      </c>
      <c r="G25" s="93">
        <f>G512</f>
        <v>0</v>
      </c>
    </row>
    <row r="26" spans="3:11" ht="12.75">
      <c r="C26" s="47" t="s">
        <v>203</v>
      </c>
      <c r="D26" s="91" t="s">
        <v>51</v>
      </c>
      <c r="G26" s="93">
        <f>G562</f>
        <v>0</v>
      </c>
      <c r="K26" s="313"/>
    </row>
    <row r="27" spans="1:7" ht="12.75">
      <c r="A27" s="89" t="s">
        <v>22</v>
      </c>
      <c r="C27" s="145" t="s">
        <v>209</v>
      </c>
      <c r="D27" s="91" t="s">
        <v>51</v>
      </c>
      <c r="G27" s="93">
        <f>G573</f>
        <v>0</v>
      </c>
    </row>
    <row r="28" spans="1:7" ht="12.75">
      <c r="A28" s="89" t="s">
        <v>23</v>
      </c>
      <c r="C28" s="145" t="s">
        <v>210</v>
      </c>
      <c r="D28" s="91" t="s">
        <v>51</v>
      </c>
      <c r="G28" s="93">
        <f>G619</f>
        <v>0</v>
      </c>
    </row>
    <row r="29" spans="1:3" ht="12.75">
      <c r="A29" s="89" t="s">
        <v>24</v>
      </c>
      <c r="C29" s="47"/>
    </row>
    <row r="30" spans="1:9" ht="25.5">
      <c r="A30" s="89" t="s">
        <v>25</v>
      </c>
      <c r="C30" s="212" t="s">
        <v>508</v>
      </c>
      <c r="D30" s="91" t="s">
        <v>51</v>
      </c>
      <c r="G30" s="93">
        <v>0</v>
      </c>
      <c r="I30" s="312"/>
    </row>
    <row r="31" ht="12">
      <c r="A31" s="89" t="s">
        <v>26</v>
      </c>
    </row>
    <row r="32" spans="1:9" ht="12">
      <c r="A32" s="89" t="s">
        <v>27</v>
      </c>
      <c r="C32" s="97" t="s">
        <v>30</v>
      </c>
      <c r="D32" s="100" t="s">
        <v>51</v>
      </c>
      <c r="G32" s="101">
        <f>SUM(G14:G30)</f>
        <v>0</v>
      </c>
      <c r="I32" s="93"/>
    </row>
    <row r="33" spans="1:7" ht="13.5" customHeight="1">
      <c r="A33" s="89" t="s">
        <v>28</v>
      </c>
      <c r="C33" s="102"/>
      <c r="D33" s="103"/>
      <c r="G33" s="101"/>
    </row>
    <row r="34" spans="1:7" ht="13.5" customHeight="1">
      <c r="A34" s="89" t="s">
        <v>29</v>
      </c>
      <c r="C34" s="104" t="s">
        <v>63</v>
      </c>
      <c r="D34" s="91" t="s">
        <v>51</v>
      </c>
      <c r="G34" s="93">
        <f>G32*0.21</f>
        <v>0</v>
      </c>
    </row>
    <row r="35" spans="1:7" ht="12.75">
      <c r="A35" s="89" t="s">
        <v>60</v>
      </c>
      <c r="C35" s="105" t="s">
        <v>165</v>
      </c>
      <c r="D35" s="105" t="s">
        <v>51</v>
      </c>
      <c r="E35" s="159"/>
      <c r="F35" s="106"/>
      <c r="G35" s="211">
        <f>SUM(G32:G34)</f>
        <v>0</v>
      </c>
    </row>
    <row r="36" spans="1:3" ht="12">
      <c r="A36" s="89" t="s">
        <v>61</v>
      </c>
      <c r="C36" s="97"/>
    </row>
    <row r="37" spans="1:7" ht="12">
      <c r="A37" s="89" t="s">
        <v>62</v>
      </c>
      <c r="B37" s="107"/>
      <c r="C37" s="108"/>
      <c r="G37" s="101"/>
    </row>
    <row r="38" spans="1:7" ht="22.5">
      <c r="A38" s="89" t="s">
        <v>74</v>
      </c>
      <c r="B38" s="107"/>
      <c r="C38" s="109" t="s">
        <v>57</v>
      </c>
      <c r="G38" s="101"/>
    </row>
    <row r="39" spans="1:7" ht="12">
      <c r="A39" s="89" t="s">
        <v>75</v>
      </c>
      <c r="B39" s="107"/>
      <c r="C39" s="108" t="s">
        <v>207</v>
      </c>
      <c r="G39" s="101"/>
    </row>
    <row r="40" spans="1:7" ht="22.5">
      <c r="A40" s="89" t="s">
        <v>77</v>
      </c>
      <c r="B40" s="107"/>
      <c r="C40" s="110" t="s">
        <v>90</v>
      </c>
      <c r="G40" s="101"/>
    </row>
    <row r="41" spans="2:7" ht="12">
      <c r="B41" s="107"/>
      <c r="C41" s="110" t="s">
        <v>208</v>
      </c>
      <c r="G41" s="101"/>
    </row>
    <row r="43" spans="1:10" s="118" customFormat="1" ht="29.25">
      <c r="A43" s="189" t="s">
        <v>32</v>
      </c>
      <c r="B43" s="111" t="s">
        <v>66</v>
      </c>
      <c r="C43" s="112" t="s">
        <v>33</v>
      </c>
      <c r="D43" s="111" t="s">
        <v>34</v>
      </c>
      <c r="E43" s="160" t="s">
        <v>35</v>
      </c>
      <c r="F43" s="113" t="s">
        <v>36</v>
      </c>
      <c r="G43" s="114" t="s">
        <v>37</v>
      </c>
      <c r="H43" s="115"/>
      <c r="I43" s="116"/>
      <c r="J43" s="117"/>
    </row>
    <row r="44" spans="1:10" s="118" customFormat="1" ht="11.25">
      <c r="A44" s="119"/>
      <c r="B44" s="108"/>
      <c r="C44" s="120"/>
      <c r="D44" s="120"/>
      <c r="E44" s="161"/>
      <c r="F44" s="121"/>
      <c r="G44" s="122"/>
      <c r="H44" s="123"/>
      <c r="I44" s="116"/>
      <c r="J44" s="117"/>
    </row>
    <row r="45" spans="1:9" ht="13.5" customHeight="1">
      <c r="A45" s="89" t="s">
        <v>48</v>
      </c>
      <c r="B45" s="124"/>
      <c r="C45" s="71" t="s">
        <v>127</v>
      </c>
      <c r="D45" s="125" t="s">
        <v>51</v>
      </c>
      <c r="E45" s="165" t="s">
        <v>31</v>
      </c>
      <c r="F45" s="126"/>
      <c r="G45" s="190">
        <f>SUM(G47:G226)</f>
        <v>0</v>
      </c>
      <c r="I45" s="127"/>
    </row>
    <row r="46" spans="1:9" ht="12.75">
      <c r="A46" s="89" t="s">
        <v>49</v>
      </c>
      <c r="B46" s="124"/>
      <c r="C46" s="182" t="s">
        <v>219</v>
      </c>
      <c r="D46" s="103"/>
      <c r="E46" s="162"/>
      <c r="F46" s="106"/>
      <c r="G46" s="128"/>
      <c r="I46" s="127"/>
    </row>
    <row r="47" spans="1:9" ht="48">
      <c r="A47" s="89" t="s">
        <v>50</v>
      </c>
      <c r="B47" s="89" t="s">
        <v>48</v>
      </c>
      <c r="C47" s="77" t="s">
        <v>220</v>
      </c>
      <c r="D47" s="129"/>
      <c r="E47" s="163"/>
      <c r="F47" s="130"/>
      <c r="G47" s="130"/>
      <c r="I47" s="127"/>
    </row>
    <row r="48" spans="1:9" ht="12">
      <c r="A48" s="89" t="s">
        <v>18</v>
      </c>
      <c r="B48" s="89" t="s">
        <v>103</v>
      </c>
      <c r="C48" s="77" t="s">
        <v>99</v>
      </c>
      <c r="D48" s="129" t="s">
        <v>70</v>
      </c>
      <c r="E48" s="163">
        <v>1</v>
      </c>
      <c r="F48" s="130"/>
      <c r="G48" s="130">
        <f>E48*F48</f>
        <v>0</v>
      </c>
      <c r="I48" s="127"/>
    </row>
    <row r="49" spans="1:9" ht="12">
      <c r="A49" s="89" t="s">
        <v>19</v>
      </c>
      <c r="B49" s="89" t="s">
        <v>102</v>
      </c>
      <c r="C49" s="77" t="s">
        <v>100</v>
      </c>
      <c r="D49" s="129" t="s">
        <v>70</v>
      </c>
      <c r="E49" s="163">
        <v>1</v>
      </c>
      <c r="F49" s="130"/>
      <c r="G49" s="130">
        <f>E49*F49</f>
        <v>0</v>
      </c>
      <c r="I49" s="127"/>
    </row>
    <row r="50" spans="1:9" ht="12">
      <c r="A50" s="89" t="s">
        <v>20</v>
      </c>
      <c r="B50" s="89" t="s">
        <v>104</v>
      </c>
      <c r="C50" s="77" t="s">
        <v>101</v>
      </c>
      <c r="D50" s="129" t="s">
        <v>68</v>
      </c>
      <c r="E50" s="163">
        <v>1</v>
      </c>
      <c r="F50" s="130"/>
      <c r="G50" s="130">
        <f>E50*F50</f>
        <v>0</v>
      </c>
      <c r="I50" s="127"/>
    </row>
    <row r="51" spans="1:9" ht="54" customHeight="1">
      <c r="A51" s="89" t="s">
        <v>21</v>
      </c>
      <c r="B51" s="124"/>
      <c r="C51" s="77" t="s">
        <v>211</v>
      </c>
      <c r="D51" s="129"/>
      <c r="E51" s="163"/>
      <c r="F51" s="130"/>
      <c r="G51" s="130"/>
      <c r="I51" s="127"/>
    </row>
    <row r="52" spans="1:9" ht="51.75" customHeight="1">
      <c r="A52" s="89" t="s">
        <v>22</v>
      </c>
      <c r="B52" s="79"/>
      <c r="C52" s="77" t="s">
        <v>505</v>
      </c>
      <c r="D52" s="96" t="s">
        <v>68</v>
      </c>
      <c r="E52" s="167">
        <v>1</v>
      </c>
      <c r="F52" s="130"/>
      <c r="G52" s="130">
        <f>E52*F52</f>
        <v>0</v>
      </c>
      <c r="I52" s="127"/>
    </row>
    <row r="53" spans="1:9" ht="24">
      <c r="A53" s="89" t="s">
        <v>24</v>
      </c>
      <c r="B53" s="79"/>
      <c r="C53" s="77" t="s">
        <v>212</v>
      </c>
      <c r="D53" s="96" t="s">
        <v>68</v>
      </c>
      <c r="E53" s="163">
        <v>1</v>
      </c>
      <c r="F53" s="130"/>
      <c r="G53" s="130">
        <f>E53*F53</f>
        <v>0</v>
      </c>
      <c r="H53" s="94">
        <v>0.03</v>
      </c>
      <c r="I53" s="156">
        <f>E53*H53</f>
        <v>0.03</v>
      </c>
    </row>
    <row r="54" spans="1:9" ht="24">
      <c r="A54" s="89" t="s">
        <v>25</v>
      </c>
      <c r="B54" s="124">
        <v>766691914</v>
      </c>
      <c r="C54" s="77" t="s">
        <v>166</v>
      </c>
      <c r="D54" s="129" t="s">
        <v>71</v>
      </c>
      <c r="E54" s="163">
        <v>33</v>
      </c>
      <c r="F54" s="130"/>
      <c r="G54" s="130">
        <f>E54*F54</f>
        <v>0</v>
      </c>
      <c r="H54" s="94">
        <v>0.024</v>
      </c>
      <c r="I54" s="156">
        <f>E54*H54</f>
        <v>0.792</v>
      </c>
    </row>
    <row r="55" spans="1:9" ht="24">
      <c r="A55" s="89" t="s">
        <v>61</v>
      </c>
      <c r="B55" s="124">
        <v>978059541</v>
      </c>
      <c r="C55" s="77" t="s">
        <v>105</v>
      </c>
      <c r="D55" s="129"/>
      <c r="E55" s="163">
        <f>SUM(E58:E110)</f>
        <v>333.04359999999986</v>
      </c>
      <c r="F55" s="130"/>
      <c r="G55" s="130">
        <f>E55*F55</f>
        <v>0</v>
      </c>
      <c r="H55" s="94">
        <v>0.068</v>
      </c>
      <c r="I55" s="156">
        <f>E55*H55</f>
        <v>22.646964799999992</v>
      </c>
    </row>
    <row r="56" spans="2:9" ht="12">
      <c r="B56" s="124"/>
      <c r="D56" s="129"/>
      <c r="E56" s="163"/>
      <c r="F56" s="130"/>
      <c r="G56" s="130"/>
      <c r="I56" s="156"/>
    </row>
    <row r="57" spans="2:9" ht="12">
      <c r="B57" s="124"/>
      <c r="C57" s="82" t="s">
        <v>225</v>
      </c>
      <c r="D57" s="129"/>
      <c r="E57" s="163"/>
      <c r="F57" s="130"/>
      <c r="G57" s="130"/>
      <c r="I57" s="156"/>
    </row>
    <row r="58" spans="1:9" ht="13.5" customHeight="1">
      <c r="A58" s="89" t="s">
        <v>62</v>
      </c>
      <c r="B58" s="124" t="s">
        <v>233</v>
      </c>
      <c r="C58" s="77" t="s">
        <v>221</v>
      </c>
      <c r="D58" s="129" t="s">
        <v>58</v>
      </c>
      <c r="E58" s="77">
        <f>2.95*2+4.71*2</f>
        <v>15.32</v>
      </c>
      <c r="F58" s="130"/>
      <c r="G58" s="130"/>
      <c r="I58" s="127"/>
    </row>
    <row r="59" spans="1:9" ht="12">
      <c r="A59" s="89" t="s">
        <v>74</v>
      </c>
      <c r="B59" s="124" t="s">
        <v>234</v>
      </c>
      <c r="C59" s="77" t="s">
        <v>222</v>
      </c>
      <c r="D59" s="129" t="s">
        <v>58</v>
      </c>
      <c r="E59" s="167">
        <f>4.82*2+0.45*2+3.62*2</f>
        <v>17.78</v>
      </c>
      <c r="F59" s="130"/>
      <c r="G59" s="130"/>
      <c r="I59" s="127"/>
    </row>
    <row r="60" spans="1:9" ht="12">
      <c r="A60" s="89" t="s">
        <v>75</v>
      </c>
      <c r="B60" s="124" t="s">
        <v>235</v>
      </c>
      <c r="C60" s="77" t="s">
        <v>223</v>
      </c>
      <c r="D60" s="129" t="s">
        <v>58</v>
      </c>
      <c r="E60" s="77">
        <f>4.3*2</f>
        <v>8.6</v>
      </c>
      <c r="F60" s="130"/>
      <c r="G60" s="130"/>
      <c r="I60" s="127"/>
    </row>
    <row r="61" spans="1:9" ht="12">
      <c r="A61" s="89" t="s">
        <v>76</v>
      </c>
      <c r="B61" s="124" t="s">
        <v>236</v>
      </c>
      <c r="C61" s="77" t="s">
        <v>224</v>
      </c>
      <c r="D61" s="129" t="s">
        <v>58</v>
      </c>
      <c r="E61" s="77">
        <f>4.25*2</f>
        <v>8.5</v>
      </c>
      <c r="F61" s="130"/>
      <c r="G61" s="130"/>
      <c r="I61" s="127"/>
    </row>
    <row r="62" spans="2:9" ht="12">
      <c r="B62" s="124"/>
      <c r="D62" s="129"/>
      <c r="E62" s="165"/>
      <c r="F62" s="130"/>
      <c r="G62" s="130"/>
      <c r="I62" s="127"/>
    </row>
    <row r="63" spans="2:9" ht="12">
      <c r="B63" s="124"/>
      <c r="C63" s="82" t="s">
        <v>226</v>
      </c>
      <c r="D63" s="129"/>
      <c r="E63" s="163"/>
      <c r="F63" s="130"/>
      <c r="G63" s="130"/>
      <c r="I63" s="127"/>
    </row>
    <row r="64" spans="2:9" ht="16.5" customHeight="1">
      <c r="B64" s="124" t="s">
        <v>237</v>
      </c>
      <c r="C64" s="77" t="s">
        <v>227</v>
      </c>
      <c r="D64" s="129" t="s">
        <v>58</v>
      </c>
      <c r="E64" s="77">
        <f>1.6*1.1+3.29*1.1</f>
        <v>5.3790000000000004</v>
      </c>
      <c r="F64" s="130"/>
      <c r="G64" s="130"/>
      <c r="I64" s="127"/>
    </row>
    <row r="65" spans="2:9" ht="15.75" customHeight="1">
      <c r="B65" s="124" t="s">
        <v>238</v>
      </c>
      <c r="C65" s="77" t="s">
        <v>228</v>
      </c>
      <c r="D65" s="129" t="s">
        <v>58</v>
      </c>
      <c r="E65" s="77">
        <f>4.12*1.1</f>
        <v>4.532000000000001</v>
      </c>
      <c r="F65" s="130"/>
      <c r="G65" s="130"/>
      <c r="I65" s="127"/>
    </row>
    <row r="66" spans="2:9" ht="15" customHeight="1">
      <c r="B66" s="124" t="s">
        <v>239</v>
      </c>
      <c r="C66" s="77" t="s">
        <v>229</v>
      </c>
      <c r="D66" s="129" t="s">
        <v>58</v>
      </c>
      <c r="E66" s="77">
        <f>1.63*1.1+1.17*1.1+1.71*1.1+1.29*1.1</f>
        <v>6.380000000000001</v>
      </c>
      <c r="F66" s="130"/>
      <c r="G66" s="130"/>
      <c r="I66" s="127"/>
    </row>
    <row r="67" spans="2:9" ht="12">
      <c r="B67" s="124" t="s">
        <v>240</v>
      </c>
      <c r="C67" s="77" t="s">
        <v>230</v>
      </c>
      <c r="D67" s="129" t="s">
        <v>58</v>
      </c>
      <c r="E67" s="77">
        <f>4.3*1.4</f>
        <v>6.02</v>
      </c>
      <c r="F67" s="130"/>
      <c r="G67" s="130"/>
      <c r="I67" s="127"/>
    </row>
    <row r="68" spans="2:9" ht="14.25" customHeight="1">
      <c r="B68" s="124" t="s">
        <v>241</v>
      </c>
      <c r="C68" s="77" t="s">
        <v>231</v>
      </c>
      <c r="D68" s="129" t="s">
        <v>58</v>
      </c>
      <c r="E68" s="77">
        <f>4.32*1.1</f>
        <v>4.752000000000001</v>
      </c>
      <c r="F68" s="130"/>
      <c r="G68" s="130"/>
      <c r="I68" s="127"/>
    </row>
    <row r="69" spans="2:9" ht="12">
      <c r="B69" s="124"/>
      <c r="C69" s="79"/>
      <c r="D69" s="129"/>
      <c r="E69" s="220"/>
      <c r="F69" s="130"/>
      <c r="G69" s="130"/>
      <c r="I69" s="127"/>
    </row>
    <row r="70" spans="2:9" ht="12">
      <c r="B70" s="124"/>
      <c r="C70" s="82" t="s">
        <v>232</v>
      </c>
      <c r="D70" s="129"/>
      <c r="E70" s="163"/>
      <c r="F70" s="130"/>
      <c r="G70" s="130"/>
      <c r="I70" s="127"/>
    </row>
    <row r="71" spans="2:9" ht="14.25" customHeight="1">
      <c r="B71" s="124" t="s">
        <v>242</v>
      </c>
      <c r="C71" s="77" t="s">
        <v>246</v>
      </c>
      <c r="D71" s="129" t="s">
        <v>58</v>
      </c>
      <c r="E71" s="77">
        <f>5.19*1.1+1.15*1.1</f>
        <v>6.974</v>
      </c>
      <c r="F71" s="130"/>
      <c r="G71" s="130"/>
      <c r="I71" s="127"/>
    </row>
    <row r="72" spans="2:9" ht="29.25" customHeight="1">
      <c r="B72" s="124" t="s">
        <v>243</v>
      </c>
      <c r="C72" s="77" t="s">
        <v>247</v>
      </c>
      <c r="D72" s="129" t="s">
        <v>58</v>
      </c>
      <c r="E72" s="77">
        <f>1.43*1.4+0.2*1.4+1.17*1.4+0.31*0.3+0.91*1.07+0.31*0.3+4.05*1.4</f>
        <v>10.749699999999999</v>
      </c>
      <c r="F72" s="130"/>
      <c r="G72" s="130"/>
      <c r="I72" s="127"/>
    </row>
    <row r="73" spans="2:9" ht="12">
      <c r="B73" s="124" t="s">
        <v>244</v>
      </c>
      <c r="C73" s="77" t="s">
        <v>248</v>
      </c>
      <c r="D73" s="129" t="s">
        <v>58</v>
      </c>
      <c r="E73" s="77">
        <f>4.04*1.1</f>
        <v>4.444000000000001</v>
      </c>
      <c r="F73" s="130"/>
      <c r="G73" s="130"/>
      <c r="I73" s="127"/>
    </row>
    <row r="74" spans="2:9" ht="14.25" customHeight="1">
      <c r="B74" s="124" t="s">
        <v>245</v>
      </c>
      <c r="C74" s="77" t="s">
        <v>249</v>
      </c>
      <c r="D74" s="129" t="s">
        <v>58</v>
      </c>
      <c r="E74" s="77">
        <f>3.05*1.1+0.21*0.35+0.9*0.74+0.21*0.35+0.39*1.1</f>
        <v>4.597</v>
      </c>
      <c r="F74" s="130"/>
      <c r="G74" s="130"/>
      <c r="I74" s="127"/>
    </row>
    <row r="75" spans="2:9" ht="12">
      <c r="B75" s="124"/>
      <c r="D75" s="129"/>
      <c r="E75" s="221"/>
      <c r="F75" s="130"/>
      <c r="G75" s="130"/>
      <c r="I75" s="127"/>
    </row>
    <row r="76" spans="2:9" ht="12">
      <c r="B76" s="124"/>
      <c r="C76" s="82" t="s">
        <v>250</v>
      </c>
      <c r="D76" s="129"/>
      <c r="E76" s="163"/>
      <c r="F76" s="130"/>
      <c r="G76" s="130"/>
      <c r="I76" s="127"/>
    </row>
    <row r="77" spans="2:9" ht="26.25" customHeight="1">
      <c r="B77" s="124" t="s">
        <v>251</v>
      </c>
      <c r="C77" s="77" t="s">
        <v>295</v>
      </c>
      <c r="D77" s="129" t="s">
        <v>58</v>
      </c>
      <c r="E77" s="216">
        <f>0.93*2+0.25*1.25+0.9*0.8+0.25*1.2+0.84*2+2.835*2+0.2</f>
        <v>10.7425</v>
      </c>
      <c r="F77" s="130"/>
      <c r="G77" s="130"/>
      <c r="I77" s="127"/>
    </row>
    <row r="78" spans="2:9" ht="42.75" customHeight="1">
      <c r="B78" s="124" t="s">
        <v>252</v>
      </c>
      <c r="C78" s="77" t="s">
        <v>296</v>
      </c>
      <c r="D78" s="129" t="s">
        <v>58</v>
      </c>
      <c r="E78" s="216">
        <f>1.34*2+0.25*0.75+0.89*1.25+0.25*0.75+0.87*2+0.15*1.2+1.67*0.8+0.15*1.2+3.3*2+0.4*2+0.4*2+0.47*2+0.7*2+0.2</f>
        <v>18.3435</v>
      </c>
      <c r="F78" s="130"/>
      <c r="G78" s="130"/>
      <c r="I78" s="127"/>
    </row>
    <row r="79" spans="2:9" ht="12">
      <c r="B79" s="124" t="s">
        <v>253</v>
      </c>
      <c r="C79" s="77" t="s">
        <v>257</v>
      </c>
      <c r="D79" s="129" t="s">
        <v>58</v>
      </c>
      <c r="E79" s="216">
        <f>5.32*2</f>
        <v>10.64</v>
      </c>
      <c r="F79" s="130"/>
      <c r="G79" s="130"/>
      <c r="I79" s="127"/>
    </row>
    <row r="80" spans="2:9" ht="12">
      <c r="B80" s="124" t="s">
        <v>255</v>
      </c>
      <c r="C80" s="77" t="s">
        <v>258</v>
      </c>
      <c r="D80" s="129" t="s">
        <v>58</v>
      </c>
      <c r="E80" s="216">
        <f>3.85*2</f>
        <v>7.7</v>
      </c>
      <c r="F80" s="130"/>
      <c r="G80" s="130"/>
      <c r="I80" s="127"/>
    </row>
    <row r="81" spans="2:9" ht="12">
      <c r="B81" s="124" t="s">
        <v>254</v>
      </c>
      <c r="C81" s="77" t="s">
        <v>259</v>
      </c>
      <c r="D81" s="129" t="s">
        <v>58</v>
      </c>
      <c r="E81" s="216">
        <f>3.82*2</f>
        <v>7.64</v>
      </c>
      <c r="F81" s="130"/>
      <c r="G81" s="130"/>
      <c r="I81" s="127"/>
    </row>
    <row r="82" spans="2:9" ht="12">
      <c r="B82" s="124" t="s">
        <v>256</v>
      </c>
      <c r="C82" s="77" t="s">
        <v>224</v>
      </c>
      <c r="D82" s="129" t="s">
        <v>58</v>
      </c>
      <c r="E82" s="216">
        <f>4.25*2</f>
        <v>8.5</v>
      </c>
      <c r="F82" s="130"/>
      <c r="G82" s="130"/>
      <c r="I82" s="127"/>
    </row>
    <row r="83" spans="2:9" ht="12">
      <c r="B83" s="124"/>
      <c r="D83" s="129"/>
      <c r="E83" s="222"/>
      <c r="F83" s="130"/>
      <c r="G83" s="130"/>
      <c r="I83" s="127"/>
    </row>
    <row r="84" spans="2:9" ht="12">
      <c r="B84" s="124"/>
      <c r="C84" s="82" t="s">
        <v>260</v>
      </c>
      <c r="D84" s="129"/>
      <c r="E84" s="216"/>
      <c r="F84" s="130"/>
      <c r="G84" s="130"/>
      <c r="I84" s="127"/>
    </row>
    <row r="85" spans="2:9" ht="12">
      <c r="B85" s="124">
        <v>2090</v>
      </c>
      <c r="C85" s="77" t="s">
        <v>261</v>
      </c>
      <c r="D85" s="129" t="s">
        <v>58</v>
      </c>
      <c r="E85" s="216">
        <f>5.94*2</f>
        <v>11.88</v>
      </c>
      <c r="F85" s="130"/>
      <c r="G85" s="130"/>
      <c r="I85" s="127"/>
    </row>
    <row r="86" spans="2:9" ht="12">
      <c r="B86" s="124"/>
      <c r="D86" s="129"/>
      <c r="E86" s="217"/>
      <c r="F86" s="130"/>
      <c r="G86" s="130"/>
      <c r="I86" s="127"/>
    </row>
    <row r="87" spans="2:9" ht="12">
      <c r="B87" s="124"/>
      <c r="C87" s="82" t="s">
        <v>266</v>
      </c>
      <c r="D87" s="129"/>
      <c r="E87" s="217"/>
      <c r="F87" s="130"/>
      <c r="G87" s="130"/>
      <c r="I87" s="127"/>
    </row>
    <row r="88" spans="2:9" ht="24.75" customHeight="1">
      <c r="B88" s="124" t="s">
        <v>262</v>
      </c>
      <c r="C88" s="79" t="s">
        <v>265</v>
      </c>
      <c r="D88" s="129" t="s">
        <v>58</v>
      </c>
      <c r="E88" s="79">
        <f>1.015*2+0.2*1.25+0.9*1.25+0.2*1.25+0.63*2+3.3*2</f>
        <v>11.515</v>
      </c>
      <c r="F88" s="130"/>
      <c r="G88" s="130"/>
      <c r="I88" s="127"/>
    </row>
    <row r="89" spans="2:9" ht="26.25" customHeight="1">
      <c r="B89" s="124" t="s">
        <v>263</v>
      </c>
      <c r="C89" s="79" t="s">
        <v>293</v>
      </c>
      <c r="D89" s="129" t="s">
        <v>58</v>
      </c>
      <c r="E89" s="79">
        <f>2.65*2+0.15*2+2.44*2.5+1.74*2+0.2*0.8+0.88*1.23+0.2*0.8+2.36*2</f>
        <v>21.3024</v>
      </c>
      <c r="F89" s="130"/>
      <c r="G89" s="130"/>
      <c r="I89" s="127"/>
    </row>
    <row r="90" spans="2:9" ht="12">
      <c r="B90" s="124" t="s">
        <v>264</v>
      </c>
      <c r="C90" s="79" t="s">
        <v>294</v>
      </c>
      <c r="D90" s="129" t="s">
        <v>58</v>
      </c>
      <c r="E90" s="216">
        <f>4.68*2</f>
        <v>9.36</v>
      </c>
      <c r="F90" s="130"/>
      <c r="G90" s="130"/>
      <c r="I90" s="127"/>
    </row>
    <row r="91" spans="2:9" ht="12">
      <c r="B91" s="124"/>
      <c r="C91" s="79"/>
      <c r="D91" s="129"/>
      <c r="E91" s="223"/>
      <c r="F91" s="130"/>
      <c r="G91" s="130"/>
      <c r="I91" s="127"/>
    </row>
    <row r="92" spans="2:9" ht="12">
      <c r="B92" s="124"/>
      <c r="C92" s="82" t="s">
        <v>267</v>
      </c>
      <c r="D92" s="129"/>
      <c r="E92" s="217"/>
      <c r="F92" s="130"/>
      <c r="G92" s="130"/>
      <c r="I92" s="127"/>
    </row>
    <row r="93" spans="2:9" ht="17.25" customHeight="1">
      <c r="B93" s="124" t="s">
        <v>269</v>
      </c>
      <c r="C93" s="79" t="s">
        <v>268</v>
      </c>
      <c r="D93" s="129" t="s">
        <v>58</v>
      </c>
      <c r="E93" s="216">
        <f>0.95*2+0.34*0.75+0.86*1.25+0.34*0.75+2.534*2+0.29*2+0.29*2</f>
        <v>9.713</v>
      </c>
      <c r="F93" s="130"/>
      <c r="G93" s="130"/>
      <c r="I93" s="127"/>
    </row>
    <row r="94" spans="2:9" ht="12">
      <c r="B94" s="124" t="s">
        <v>270</v>
      </c>
      <c r="C94" s="79" t="s">
        <v>273</v>
      </c>
      <c r="D94" s="129" t="s">
        <v>58</v>
      </c>
      <c r="E94" s="217">
        <f>1.93*2+0.36*1.2+0.98*0.8+0.34*1.2+0.98*2+3.47*2</f>
        <v>14.384</v>
      </c>
      <c r="F94" s="130"/>
      <c r="G94" s="130"/>
      <c r="I94" s="127"/>
    </row>
    <row r="95" spans="2:9" ht="12">
      <c r="B95" s="124" t="s">
        <v>271</v>
      </c>
      <c r="C95" s="79" t="s">
        <v>275</v>
      </c>
      <c r="D95" s="129" t="s">
        <v>58</v>
      </c>
      <c r="E95" s="216">
        <f>3.96*2</f>
        <v>7.92</v>
      </c>
      <c r="F95" s="130"/>
      <c r="G95" s="130"/>
      <c r="I95" s="127"/>
    </row>
    <row r="96" spans="2:9" ht="12">
      <c r="B96" s="124" t="s">
        <v>272</v>
      </c>
      <c r="C96" s="79" t="s">
        <v>274</v>
      </c>
      <c r="D96" s="129" t="s">
        <v>58</v>
      </c>
      <c r="E96" s="216">
        <f>4.06*2</f>
        <v>8.12</v>
      </c>
      <c r="F96" s="130"/>
      <c r="G96" s="130"/>
      <c r="I96" s="127"/>
    </row>
    <row r="97" spans="2:9" ht="12">
      <c r="B97" s="124"/>
      <c r="C97" s="79"/>
      <c r="D97" s="129"/>
      <c r="E97" s="223"/>
      <c r="F97" s="130"/>
      <c r="G97" s="130"/>
      <c r="I97" s="127"/>
    </row>
    <row r="98" spans="2:9" ht="12">
      <c r="B98" s="124"/>
      <c r="C98" s="82" t="s">
        <v>276</v>
      </c>
      <c r="D98" s="129"/>
      <c r="E98" s="217"/>
      <c r="F98" s="130"/>
      <c r="G98" s="130"/>
      <c r="I98" s="127"/>
    </row>
    <row r="99" spans="2:9" ht="15" customHeight="1">
      <c r="B99" s="124" t="s">
        <v>277</v>
      </c>
      <c r="C99" s="79" t="s">
        <v>279</v>
      </c>
      <c r="D99" s="129" t="s">
        <v>58</v>
      </c>
      <c r="E99" s="216">
        <f>2.95*2+1.46*2</f>
        <v>8.82</v>
      </c>
      <c r="F99" s="130"/>
      <c r="G99" s="130"/>
      <c r="I99" s="127"/>
    </row>
    <row r="100" spans="2:9" ht="12">
      <c r="B100" s="124" t="s">
        <v>278</v>
      </c>
      <c r="C100" s="79" t="s">
        <v>280</v>
      </c>
      <c r="D100" s="129" t="s">
        <v>58</v>
      </c>
      <c r="E100" s="216">
        <f>4.64*2</f>
        <v>9.28</v>
      </c>
      <c r="F100" s="130"/>
      <c r="G100" s="130"/>
      <c r="I100" s="127"/>
    </row>
    <row r="101" spans="2:9" ht="12">
      <c r="B101" s="124"/>
      <c r="C101" s="79"/>
      <c r="D101" s="129"/>
      <c r="E101" s="223"/>
      <c r="F101" s="130"/>
      <c r="G101" s="130"/>
      <c r="I101" s="127"/>
    </row>
    <row r="102" spans="2:9" ht="12">
      <c r="B102" s="124"/>
      <c r="C102" s="82" t="s">
        <v>281</v>
      </c>
      <c r="D102" s="129"/>
      <c r="E102" s="217"/>
      <c r="F102" s="130"/>
      <c r="G102" s="130"/>
      <c r="I102" s="127"/>
    </row>
    <row r="103" spans="2:9" ht="17.25" customHeight="1">
      <c r="B103" s="124" t="s">
        <v>282</v>
      </c>
      <c r="C103" s="79" t="s">
        <v>286</v>
      </c>
      <c r="D103" s="129" t="s">
        <v>58</v>
      </c>
      <c r="E103" s="216">
        <f>1.09*2+0.2*1.2+0.76*0.8+0.2*1.2+0.98*2+3.47*2</f>
        <v>12.168</v>
      </c>
      <c r="F103" s="130"/>
      <c r="G103" s="130"/>
      <c r="I103" s="127"/>
    </row>
    <row r="104" spans="2:9" ht="17.25" customHeight="1">
      <c r="B104" s="124" t="s">
        <v>283</v>
      </c>
      <c r="C104" s="79" t="s">
        <v>287</v>
      </c>
      <c r="D104" s="129" t="s">
        <v>58</v>
      </c>
      <c r="E104" s="216">
        <f>1.61*2+0.63*0.75+1.25*1.25+0.63*0.75+0.3*2+0.2*2</f>
        <v>6.727500000000001</v>
      </c>
      <c r="F104" s="130"/>
      <c r="G104" s="130"/>
      <c r="I104" s="127"/>
    </row>
    <row r="105" spans="2:9" ht="12">
      <c r="B105" s="124" t="s">
        <v>284</v>
      </c>
      <c r="C105" s="79" t="s">
        <v>288</v>
      </c>
      <c r="D105" s="129" t="s">
        <v>58</v>
      </c>
      <c r="E105" s="216">
        <f>4.08*2</f>
        <v>8.16</v>
      </c>
      <c r="F105" s="130"/>
      <c r="G105" s="130"/>
      <c r="I105" s="127"/>
    </row>
    <row r="106" spans="2:9" ht="12">
      <c r="B106" s="124" t="s">
        <v>285</v>
      </c>
      <c r="C106" s="79" t="s">
        <v>289</v>
      </c>
      <c r="D106" s="129" t="s">
        <v>58</v>
      </c>
      <c r="E106" s="77">
        <f>4*2</f>
        <v>8</v>
      </c>
      <c r="F106" s="130"/>
      <c r="G106" s="130"/>
      <c r="I106" s="127"/>
    </row>
    <row r="107" spans="2:9" ht="12">
      <c r="B107" s="124"/>
      <c r="C107" s="79"/>
      <c r="D107" s="129"/>
      <c r="E107" s="222"/>
      <c r="F107" s="130"/>
      <c r="G107" s="130"/>
      <c r="I107" s="127"/>
    </row>
    <row r="108" spans="2:9" ht="12">
      <c r="B108" s="124"/>
      <c r="C108" s="60" t="s">
        <v>290</v>
      </c>
      <c r="D108" s="129"/>
      <c r="E108" s="77"/>
      <c r="F108" s="130"/>
      <c r="G108" s="130"/>
      <c r="I108" s="127"/>
    </row>
    <row r="109" spans="2:9" ht="15.75" customHeight="1">
      <c r="B109" s="124" t="s">
        <v>291</v>
      </c>
      <c r="C109" s="79" t="s">
        <v>279</v>
      </c>
      <c r="D109" s="129" t="s">
        <v>58</v>
      </c>
      <c r="E109" s="77">
        <f>2.95*2+1.46*2</f>
        <v>8.82</v>
      </c>
      <c r="F109" s="130"/>
      <c r="G109" s="130"/>
      <c r="I109" s="127"/>
    </row>
    <row r="110" spans="2:9" ht="12">
      <c r="B110" s="124" t="s">
        <v>292</v>
      </c>
      <c r="C110" s="79" t="s">
        <v>280</v>
      </c>
      <c r="D110" s="129" t="s">
        <v>58</v>
      </c>
      <c r="E110" s="77">
        <f>4.64*2</f>
        <v>9.28</v>
      </c>
      <c r="F110" s="130"/>
      <c r="G110" s="130"/>
      <c r="I110" s="127"/>
    </row>
    <row r="111" spans="2:9" ht="12">
      <c r="B111" s="124"/>
      <c r="C111" s="79"/>
      <c r="D111" s="129"/>
      <c r="E111" s="82"/>
      <c r="F111" s="130"/>
      <c r="G111" s="130"/>
      <c r="I111" s="127"/>
    </row>
    <row r="112" spans="2:9" ht="36">
      <c r="B112" s="124">
        <v>965081382</v>
      </c>
      <c r="C112" s="79" t="s">
        <v>213</v>
      </c>
      <c r="D112" s="129"/>
      <c r="E112" s="174">
        <f>SUM(E114:E142)</f>
        <v>92.54</v>
      </c>
      <c r="F112" s="130"/>
      <c r="G112" s="130">
        <f>E112*F112</f>
        <v>0</v>
      </c>
      <c r="H112" s="94">
        <v>0.076</v>
      </c>
      <c r="I112" s="127">
        <f>E112*H112</f>
        <v>7.033040000000001</v>
      </c>
    </row>
    <row r="113" spans="2:9" ht="12">
      <c r="B113" s="124"/>
      <c r="C113" s="79"/>
      <c r="D113" s="129"/>
      <c r="E113" s="174"/>
      <c r="F113" s="130"/>
      <c r="G113" s="130"/>
      <c r="I113" s="127"/>
    </row>
    <row r="114" spans="2:9" ht="12">
      <c r="B114" s="124"/>
      <c r="C114" s="82" t="s">
        <v>299</v>
      </c>
      <c r="D114" s="129" t="s">
        <v>58</v>
      </c>
      <c r="E114" s="218">
        <f>11.9</f>
        <v>11.9</v>
      </c>
      <c r="F114" s="130"/>
      <c r="G114" s="130"/>
      <c r="I114" s="127"/>
    </row>
    <row r="115" spans="2:9" ht="24">
      <c r="B115" s="124"/>
      <c r="C115" s="79" t="s">
        <v>297</v>
      </c>
      <c r="D115" s="129"/>
      <c r="E115" s="218"/>
      <c r="F115" s="130"/>
      <c r="G115" s="130"/>
      <c r="I115" s="127"/>
    </row>
    <row r="116" spans="2:9" ht="12">
      <c r="B116" s="124"/>
      <c r="C116" s="79"/>
      <c r="D116" s="129"/>
      <c r="E116" s="218"/>
      <c r="F116" s="130"/>
      <c r="G116" s="130"/>
      <c r="I116" s="127"/>
    </row>
    <row r="117" spans="2:9" ht="12">
      <c r="B117" s="124"/>
      <c r="C117" s="82" t="s">
        <v>298</v>
      </c>
      <c r="D117" s="129" t="s">
        <v>58</v>
      </c>
      <c r="E117" s="224">
        <f>11.36</f>
        <v>11.36</v>
      </c>
      <c r="F117" s="130"/>
      <c r="G117" s="130"/>
      <c r="I117" s="127"/>
    </row>
    <row r="118" spans="2:9" ht="24">
      <c r="B118" s="124"/>
      <c r="C118" s="79" t="s">
        <v>300</v>
      </c>
      <c r="D118" s="77"/>
      <c r="E118" s="216"/>
      <c r="F118" s="130"/>
      <c r="G118" s="130"/>
      <c r="I118" s="127"/>
    </row>
    <row r="119" spans="2:9" ht="12">
      <c r="B119" s="124"/>
      <c r="C119" s="79"/>
      <c r="D119" s="129"/>
      <c r="E119" s="218"/>
      <c r="F119" s="130"/>
      <c r="G119" s="130"/>
      <c r="I119" s="127"/>
    </row>
    <row r="120" spans="2:9" ht="12">
      <c r="B120" s="124"/>
      <c r="C120" s="82" t="s">
        <v>301</v>
      </c>
      <c r="D120" s="129"/>
      <c r="E120" s="218"/>
      <c r="F120" s="130"/>
      <c r="G120" s="130"/>
      <c r="I120" s="127"/>
    </row>
    <row r="121" spans="2:9" ht="24">
      <c r="B121" s="124"/>
      <c r="C121" s="79" t="s">
        <v>302</v>
      </c>
      <c r="D121" s="129" t="s">
        <v>58</v>
      </c>
      <c r="E121" s="224">
        <f>12.7</f>
        <v>12.7</v>
      </c>
      <c r="F121" s="130"/>
      <c r="G121" s="130"/>
      <c r="I121" s="127"/>
    </row>
    <row r="122" spans="2:9" ht="12">
      <c r="B122" s="124"/>
      <c r="C122" s="79"/>
      <c r="D122" s="129"/>
      <c r="E122" s="218"/>
      <c r="F122" s="130"/>
      <c r="G122" s="130"/>
      <c r="I122" s="127"/>
    </row>
    <row r="123" spans="2:9" ht="12">
      <c r="B123" s="124"/>
      <c r="C123" s="82" t="s">
        <v>303</v>
      </c>
      <c r="D123" s="129"/>
      <c r="E123" s="218"/>
      <c r="F123" s="130"/>
      <c r="G123" s="130"/>
      <c r="I123" s="127"/>
    </row>
    <row r="124" spans="2:9" ht="24">
      <c r="B124" s="124"/>
      <c r="C124" s="79" t="s">
        <v>310</v>
      </c>
      <c r="D124" s="129" t="s">
        <v>58</v>
      </c>
      <c r="E124" s="224">
        <v>18.72</v>
      </c>
      <c r="F124" s="130"/>
      <c r="G124" s="130"/>
      <c r="I124" s="127"/>
    </row>
    <row r="125" spans="2:9" ht="12">
      <c r="B125" s="124"/>
      <c r="C125" s="79"/>
      <c r="D125" s="129"/>
      <c r="E125" s="218"/>
      <c r="F125" s="130"/>
      <c r="G125" s="130"/>
      <c r="I125" s="127"/>
    </row>
    <row r="126" spans="2:9" ht="12">
      <c r="B126" s="124"/>
      <c r="C126" s="82" t="s">
        <v>304</v>
      </c>
      <c r="D126" s="129"/>
      <c r="E126" s="216"/>
      <c r="F126" s="130"/>
      <c r="G126" s="130"/>
      <c r="I126" s="127"/>
    </row>
    <row r="127" spans="2:9" ht="24">
      <c r="B127" s="124"/>
      <c r="C127" s="79" t="s">
        <v>305</v>
      </c>
      <c r="D127" s="129" t="s">
        <v>58</v>
      </c>
      <c r="E127" s="224">
        <v>3.2</v>
      </c>
      <c r="F127" s="130"/>
      <c r="G127" s="130"/>
      <c r="I127" s="127"/>
    </row>
    <row r="128" spans="2:9" ht="12">
      <c r="B128" s="124"/>
      <c r="C128" s="79"/>
      <c r="D128" s="129"/>
      <c r="E128" s="216"/>
      <c r="F128" s="130"/>
      <c r="G128" s="130"/>
      <c r="I128" s="127"/>
    </row>
    <row r="129" spans="2:9" ht="12">
      <c r="B129" s="124"/>
      <c r="C129" s="82" t="s">
        <v>306</v>
      </c>
      <c r="D129" s="129"/>
      <c r="E129" s="216"/>
      <c r="F129" s="130"/>
      <c r="G129" s="130"/>
      <c r="I129" s="127"/>
    </row>
    <row r="130" spans="2:9" ht="24">
      <c r="B130" s="124"/>
      <c r="C130" s="79" t="s">
        <v>307</v>
      </c>
      <c r="D130" s="129" t="s">
        <v>58</v>
      </c>
      <c r="E130" s="216">
        <v>7.83</v>
      </c>
      <c r="F130" s="130"/>
      <c r="G130" s="127"/>
      <c r="I130" s="127"/>
    </row>
    <row r="131" spans="2:9" ht="12">
      <c r="B131" s="124"/>
      <c r="C131" s="79"/>
      <c r="D131" s="129"/>
      <c r="E131" s="216"/>
      <c r="F131" s="130"/>
      <c r="G131" s="130"/>
      <c r="I131" s="127"/>
    </row>
    <row r="132" spans="2:9" ht="12">
      <c r="B132" s="124"/>
      <c r="C132" s="82" t="s">
        <v>308</v>
      </c>
      <c r="D132" s="129"/>
      <c r="E132" s="216"/>
      <c r="F132" s="130"/>
      <c r="G132" s="130"/>
      <c r="I132" s="127"/>
    </row>
    <row r="133" spans="2:9" ht="24">
      <c r="B133" s="124"/>
      <c r="C133" s="79" t="s">
        <v>309</v>
      </c>
      <c r="D133" s="129" t="s">
        <v>58</v>
      </c>
      <c r="E133" s="216">
        <v>9.81</v>
      </c>
      <c r="F133" s="130"/>
      <c r="G133" s="130"/>
      <c r="I133" s="127"/>
    </row>
    <row r="134" spans="2:9" ht="12">
      <c r="B134" s="124"/>
      <c r="C134" s="79"/>
      <c r="D134" s="129"/>
      <c r="E134" s="216"/>
      <c r="F134" s="130"/>
      <c r="G134" s="130"/>
      <c r="I134" s="127"/>
    </row>
    <row r="135" spans="2:9" ht="12">
      <c r="B135" s="124"/>
      <c r="C135" s="82" t="s">
        <v>311</v>
      </c>
      <c r="D135" s="129"/>
      <c r="E135" s="216"/>
      <c r="F135" s="130"/>
      <c r="G135" s="130"/>
      <c r="I135" s="127"/>
    </row>
    <row r="136" spans="2:9" ht="24">
      <c r="B136" s="124"/>
      <c r="C136" s="79" t="s">
        <v>312</v>
      </c>
      <c r="D136" s="129" t="s">
        <v>58</v>
      </c>
      <c r="E136" s="216">
        <v>3.62</v>
      </c>
      <c r="F136" s="130"/>
      <c r="G136" s="130"/>
      <c r="I136" s="127"/>
    </row>
    <row r="137" spans="2:9" ht="12">
      <c r="B137" s="124"/>
      <c r="C137" s="79"/>
      <c r="D137" s="129"/>
      <c r="E137" s="216"/>
      <c r="F137" s="130"/>
      <c r="G137" s="130"/>
      <c r="I137" s="127"/>
    </row>
    <row r="138" spans="2:9" ht="12">
      <c r="B138" s="124"/>
      <c r="C138" s="82" t="s">
        <v>314</v>
      </c>
      <c r="D138" s="129"/>
      <c r="E138" s="216"/>
      <c r="F138" s="130"/>
      <c r="G138" s="130"/>
      <c r="I138" s="127"/>
    </row>
    <row r="139" spans="2:9" ht="24">
      <c r="B139" s="124"/>
      <c r="C139" s="79" t="s">
        <v>313</v>
      </c>
      <c r="D139" s="129" t="s">
        <v>58</v>
      </c>
      <c r="E139" s="179">
        <f>9.78</f>
        <v>9.78</v>
      </c>
      <c r="F139" s="130"/>
      <c r="G139" s="130"/>
      <c r="I139" s="127"/>
    </row>
    <row r="140" spans="2:9" ht="12">
      <c r="B140" s="124"/>
      <c r="C140" s="79"/>
      <c r="D140" s="129"/>
      <c r="E140" s="179"/>
      <c r="F140" s="130"/>
      <c r="G140" s="130"/>
      <c r="I140" s="127"/>
    </row>
    <row r="141" spans="2:9" ht="12">
      <c r="B141" s="124"/>
      <c r="C141" s="60" t="s">
        <v>316</v>
      </c>
      <c r="D141" s="129"/>
      <c r="E141" s="179"/>
      <c r="F141" s="130"/>
      <c r="G141" s="130"/>
      <c r="I141" s="127"/>
    </row>
    <row r="142" spans="2:9" ht="24">
      <c r="B142" s="124"/>
      <c r="C142" s="79" t="s">
        <v>315</v>
      </c>
      <c r="D142" s="129" t="s">
        <v>58</v>
      </c>
      <c r="E142" s="179">
        <f>3.62</f>
        <v>3.62</v>
      </c>
      <c r="F142" s="130"/>
      <c r="G142" s="130"/>
      <c r="I142" s="127"/>
    </row>
    <row r="143" spans="2:9" ht="12">
      <c r="B143" s="124"/>
      <c r="C143" s="79"/>
      <c r="D143" s="129"/>
      <c r="E143" s="179"/>
      <c r="F143" s="130"/>
      <c r="G143" s="130"/>
      <c r="I143" s="127"/>
    </row>
    <row r="144" spans="2:9" ht="24">
      <c r="B144" s="124"/>
      <c r="C144" s="60" t="s">
        <v>184</v>
      </c>
      <c r="D144" s="129" t="s">
        <v>58</v>
      </c>
      <c r="E144" s="179">
        <v>1.27</v>
      </c>
      <c r="F144" s="130"/>
      <c r="G144" s="130">
        <f>E144*F144</f>
        <v>0</v>
      </c>
      <c r="H144" s="94">
        <v>0.076</v>
      </c>
      <c r="I144" s="127">
        <f>E144*H144</f>
        <v>0.09652</v>
      </c>
    </row>
    <row r="145" spans="2:9" ht="12">
      <c r="B145" s="124"/>
      <c r="C145" s="79" t="s">
        <v>317</v>
      </c>
      <c r="D145" s="129"/>
      <c r="E145" s="167"/>
      <c r="F145" s="130"/>
      <c r="G145" s="130"/>
      <c r="I145" s="127"/>
    </row>
    <row r="146" spans="2:9" ht="12">
      <c r="B146" s="124"/>
      <c r="C146" s="79" t="s">
        <v>318</v>
      </c>
      <c r="D146" s="129"/>
      <c r="E146" s="163"/>
      <c r="F146" s="130"/>
      <c r="G146" s="130"/>
      <c r="I146" s="127"/>
    </row>
    <row r="147" spans="2:9" ht="12">
      <c r="B147" s="124"/>
      <c r="C147" s="79" t="s">
        <v>319</v>
      </c>
      <c r="D147" s="129"/>
      <c r="E147" s="163"/>
      <c r="F147" s="130"/>
      <c r="G147" s="130"/>
      <c r="I147" s="127"/>
    </row>
    <row r="148" spans="2:9" ht="12">
      <c r="B148" s="124"/>
      <c r="C148" s="79"/>
      <c r="D148" s="129"/>
      <c r="E148" s="163"/>
      <c r="F148" s="130"/>
      <c r="G148" s="130"/>
      <c r="I148" s="127"/>
    </row>
    <row r="149" spans="2:9" ht="24">
      <c r="B149" s="124">
        <v>766441821</v>
      </c>
      <c r="C149" s="60" t="s">
        <v>321</v>
      </c>
      <c r="D149" s="129"/>
      <c r="E149" s="163">
        <f>SUM(E150:E152)</f>
        <v>5</v>
      </c>
      <c r="F149" s="130"/>
      <c r="G149" s="130">
        <f>E149*F149</f>
        <v>0</v>
      </c>
      <c r="H149" s="94">
        <v>0.005</v>
      </c>
      <c r="I149" s="127">
        <f>E149*H149</f>
        <v>0.025</v>
      </c>
    </row>
    <row r="150" spans="2:9" ht="12">
      <c r="B150" s="124"/>
      <c r="C150" s="77" t="s">
        <v>320</v>
      </c>
      <c r="D150" s="129" t="s">
        <v>71</v>
      </c>
      <c r="E150" s="163">
        <v>1</v>
      </c>
      <c r="F150" s="130"/>
      <c r="G150" s="130"/>
      <c r="I150" s="127"/>
    </row>
    <row r="151" spans="2:9" ht="12">
      <c r="B151" s="124"/>
      <c r="C151" s="77" t="s">
        <v>322</v>
      </c>
      <c r="D151" s="129" t="s">
        <v>71</v>
      </c>
      <c r="E151" s="163">
        <v>2</v>
      </c>
      <c r="F151" s="130"/>
      <c r="G151" s="130"/>
      <c r="I151" s="127"/>
    </row>
    <row r="152" spans="2:9" ht="12">
      <c r="B152" s="124"/>
      <c r="C152" s="77" t="s">
        <v>323</v>
      </c>
      <c r="D152" s="129" t="s">
        <v>71</v>
      </c>
      <c r="E152" s="163">
        <v>2</v>
      </c>
      <c r="F152" s="130"/>
      <c r="G152" s="130"/>
      <c r="I152" s="127"/>
    </row>
    <row r="153" spans="2:9" ht="12">
      <c r="B153" s="124"/>
      <c r="D153" s="129"/>
      <c r="E153" s="163"/>
      <c r="F153" s="130"/>
      <c r="G153" s="130"/>
      <c r="I153" s="127"/>
    </row>
    <row r="154" spans="2:9" ht="24">
      <c r="B154" s="124"/>
      <c r="C154" s="60" t="s">
        <v>564</v>
      </c>
      <c r="D154" s="129"/>
      <c r="E154" s="163"/>
      <c r="F154" s="130"/>
      <c r="G154" s="130"/>
      <c r="I154" s="127"/>
    </row>
    <row r="155" spans="2:9" ht="12">
      <c r="B155" s="124"/>
      <c r="C155" s="80" t="s">
        <v>558</v>
      </c>
      <c r="D155" s="70" t="s">
        <v>71</v>
      </c>
      <c r="E155" s="62">
        <v>2</v>
      </c>
      <c r="F155" s="85"/>
      <c r="G155" s="78">
        <f>E155*F155</f>
        <v>0</v>
      </c>
      <c r="I155" s="127"/>
    </row>
    <row r="156" spans="2:9" ht="24">
      <c r="B156" s="124"/>
      <c r="C156" s="80" t="s">
        <v>560</v>
      </c>
      <c r="D156" s="70" t="s">
        <v>71</v>
      </c>
      <c r="E156" s="62">
        <v>4</v>
      </c>
      <c r="F156" s="85"/>
      <c r="G156" s="78">
        <f>E156*F156</f>
        <v>0</v>
      </c>
      <c r="I156" s="127"/>
    </row>
    <row r="157" spans="2:9" ht="12">
      <c r="B157" s="124"/>
      <c r="C157" s="80" t="s">
        <v>559</v>
      </c>
      <c r="D157" s="70" t="s">
        <v>71</v>
      </c>
      <c r="E157" s="62">
        <v>1</v>
      </c>
      <c r="F157" s="85"/>
      <c r="G157" s="78">
        <f>E157*F157</f>
        <v>0</v>
      </c>
      <c r="I157" s="127"/>
    </row>
    <row r="158" spans="2:9" ht="12">
      <c r="B158" s="124"/>
      <c r="C158" s="80" t="s">
        <v>561</v>
      </c>
      <c r="D158" s="70" t="s">
        <v>68</v>
      </c>
      <c r="E158" s="62">
        <v>1</v>
      </c>
      <c r="F158" s="85"/>
      <c r="G158" s="78">
        <f>E158*F158</f>
        <v>0</v>
      </c>
      <c r="I158" s="127"/>
    </row>
    <row r="159" spans="2:9" ht="12">
      <c r="B159" s="124"/>
      <c r="D159" s="129"/>
      <c r="E159" s="163"/>
      <c r="F159" s="130"/>
      <c r="G159" s="130"/>
      <c r="I159" s="127"/>
    </row>
    <row r="160" spans="2:9" ht="12">
      <c r="B160" s="124"/>
      <c r="D160" s="129"/>
      <c r="E160" s="163"/>
      <c r="F160" s="130"/>
      <c r="G160" s="130"/>
      <c r="I160" s="127"/>
    </row>
    <row r="161" spans="2:9" ht="12">
      <c r="B161" s="124"/>
      <c r="C161" s="82" t="s">
        <v>435</v>
      </c>
      <c r="D161" s="129"/>
      <c r="E161" s="165">
        <f>SUM(E162:E168)</f>
        <v>64.6</v>
      </c>
      <c r="F161" s="130"/>
      <c r="G161" s="137">
        <f>E161*F161+G169</f>
        <v>0</v>
      </c>
      <c r="H161" s="94">
        <v>0.01</v>
      </c>
      <c r="I161" s="127">
        <f>E161*H161</f>
        <v>0.6459999999999999</v>
      </c>
    </row>
    <row r="162" spans="2:9" ht="12">
      <c r="B162" s="124"/>
      <c r="C162" s="77" t="s">
        <v>574</v>
      </c>
      <c r="D162" s="129" t="s">
        <v>58</v>
      </c>
      <c r="E162" s="167">
        <v>12.37</v>
      </c>
      <c r="F162" s="144"/>
      <c r="G162" s="130"/>
      <c r="H162" s="133"/>
      <c r="I162" s="127"/>
    </row>
    <row r="163" spans="2:9" ht="12">
      <c r="B163" s="124"/>
      <c r="C163" s="77" t="s">
        <v>301</v>
      </c>
      <c r="D163" s="129" t="s">
        <v>58</v>
      </c>
      <c r="E163" s="179">
        <v>12.31</v>
      </c>
      <c r="F163" s="132"/>
      <c r="G163" s="130"/>
      <c r="H163" s="133"/>
      <c r="I163" s="127"/>
    </row>
    <row r="164" spans="2:9" ht="12">
      <c r="B164" s="124"/>
      <c r="C164" s="77" t="s">
        <v>303</v>
      </c>
      <c r="D164" s="129" t="s">
        <v>58</v>
      </c>
      <c r="E164" s="179">
        <v>18.18</v>
      </c>
      <c r="F164" s="132"/>
      <c r="G164" s="137"/>
      <c r="H164" s="133"/>
      <c r="I164" s="127"/>
    </row>
    <row r="165" spans="2:9" ht="12">
      <c r="B165" s="124"/>
      <c r="C165" s="77" t="s">
        <v>304</v>
      </c>
      <c r="D165" s="129" t="s">
        <v>58</v>
      </c>
      <c r="E165" s="179">
        <v>3.2</v>
      </c>
      <c r="F165" s="132"/>
      <c r="G165" s="130"/>
      <c r="H165" s="133"/>
      <c r="I165" s="127"/>
    </row>
    <row r="166" spans="2:9" ht="12">
      <c r="B166" s="124"/>
      <c r="C166" s="77" t="s">
        <v>575</v>
      </c>
      <c r="D166" s="129" t="s">
        <v>58</v>
      </c>
      <c r="E166" s="179">
        <v>7.54</v>
      </c>
      <c r="F166" s="132"/>
      <c r="G166" s="130"/>
      <c r="H166" s="133"/>
      <c r="I166" s="127"/>
    </row>
    <row r="167" spans="2:9" ht="12">
      <c r="B167" s="124"/>
      <c r="C167" s="77" t="s">
        <v>308</v>
      </c>
      <c r="D167" s="129" t="s">
        <v>58</v>
      </c>
      <c r="E167" s="179">
        <v>7.54</v>
      </c>
      <c r="F167" s="132"/>
      <c r="G167" s="130"/>
      <c r="H167" s="133"/>
      <c r="I167" s="127"/>
    </row>
    <row r="168" spans="2:9" ht="12">
      <c r="B168" s="124"/>
      <c r="C168" s="77" t="s">
        <v>311</v>
      </c>
      <c r="D168" s="129" t="s">
        <v>58</v>
      </c>
      <c r="E168" s="179">
        <v>3.46</v>
      </c>
      <c r="F168" s="132"/>
      <c r="G168" s="130"/>
      <c r="H168" s="133"/>
      <c r="I168" s="127"/>
    </row>
    <row r="169" spans="2:9" ht="12">
      <c r="B169" s="124"/>
      <c r="C169" s="79"/>
      <c r="D169" s="129"/>
      <c r="E169" s="214"/>
      <c r="F169" s="132"/>
      <c r="G169" s="130"/>
      <c r="H169" s="133"/>
      <c r="I169" s="127"/>
    </row>
    <row r="170" spans="2:9" ht="12">
      <c r="B170" s="124"/>
      <c r="C170" s="79"/>
      <c r="D170" s="129"/>
      <c r="E170" s="151"/>
      <c r="F170" s="132"/>
      <c r="G170" s="130"/>
      <c r="H170" s="133"/>
      <c r="I170" s="127"/>
    </row>
    <row r="171" spans="2:9" ht="36">
      <c r="B171" s="124"/>
      <c r="C171" s="60" t="s">
        <v>565</v>
      </c>
      <c r="D171" s="129"/>
      <c r="E171" s="151"/>
      <c r="F171" s="132"/>
      <c r="G171" s="137">
        <f>F171+G182</f>
        <v>0</v>
      </c>
      <c r="H171" s="133">
        <v>0.062</v>
      </c>
      <c r="I171" s="127">
        <v>0.868</v>
      </c>
    </row>
    <row r="172" spans="2:9" ht="12">
      <c r="B172" s="124"/>
      <c r="C172" s="77" t="s">
        <v>390</v>
      </c>
      <c r="D172" s="129"/>
      <c r="E172" s="151"/>
      <c r="F172" s="132"/>
      <c r="G172" s="130"/>
      <c r="H172" s="133"/>
      <c r="I172" s="127"/>
    </row>
    <row r="173" spans="2:9" ht="12">
      <c r="B173" s="124"/>
      <c r="C173" s="77" t="s">
        <v>436</v>
      </c>
      <c r="D173" s="129" t="s">
        <v>68</v>
      </c>
      <c r="E173" s="214">
        <v>1</v>
      </c>
      <c r="F173" s="132"/>
      <c r="G173" s="130"/>
      <c r="H173" s="133"/>
      <c r="I173" s="127"/>
    </row>
    <row r="174" spans="2:9" ht="12">
      <c r="B174" s="124"/>
      <c r="C174" s="77" t="s">
        <v>437</v>
      </c>
      <c r="D174" s="129" t="s">
        <v>68</v>
      </c>
      <c r="E174" s="214">
        <v>1</v>
      </c>
      <c r="F174" s="132"/>
      <c r="G174" s="130"/>
      <c r="H174" s="133"/>
      <c r="I174" s="127"/>
    </row>
    <row r="175" spans="2:9" ht="12">
      <c r="B175" s="124"/>
      <c r="C175" s="77" t="s">
        <v>391</v>
      </c>
      <c r="D175" s="129"/>
      <c r="E175" s="151"/>
      <c r="F175" s="132"/>
      <c r="G175" s="130"/>
      <c r="H175" s="133"/>
      <c r="I175" s="127"/>
    </row>
    <row r="176" spans="2:9" ht="12">
      <c r="B176" s="124"/>
      <c r="C176" s="77" t="s">
        <v>438</v>
      </c>
      <c r="D176" s="129" t="s">
        <v>68</v>
      </c>
      <c r="E176" s="214">
        <v>1</v>
      </c>
      <c r="F176" s="132"/>
      <c r="G176" s="130"/>
      <c r="H176" s="133"/>
      <c r="I176" s="127"/>
    </row>
    <row r="177" spans="2:9" ht="12">
      <c r="B177" s="124"/>
      <c r="C177" s="77" t="s">
        <v>439</v>
      </c>
      <c r="D177" s="129" t="s">
        <v>68</v>
      </c>
      <c r="E177" s="214">
        <v>1</v>
      </c>
      <c r="F177" s="132"/>
      <c r="G177" s="130"/>
      <c r="H177" s="133"/>
      <c r="I177" s="127"/>
    </row>
    <row r="178" spans="2:9" ht="12">
      <c r="B178" s="124"/>
      <c r="C178" s="77" t="s">
        <v>440</v>
      </c>
      <c r="D178" s="129" t="s">
        <v>68</v>
      </c>
      <c r="E178" s="214">
        <v>1</v>
      </c>
      <c r="F178" s="132"/>
      <c r="G178" s="130"/>
      <c r="H178" s="133"/>
      <c r="I178" s="127"/>
    </row>
    <row r="179" spans="2:9" ht="12">
      <c r="B179" s="124"/>
      <c r="C179" s="77" t="s">
        <v>393</v>
      </c>
      <c r="D179" s="129"/>
      <c r="E179" s="214"/>
      <c r="F179" s="132"/>
      <c r="G179" s="130"/>
      <c r="H179" s="133"/>
      <c r="I179" s="127"/>
    </row>
    <row r="180" spans="2:9" ht="12">
      <c r="B180" s="124"/>
      <c r="C180" s="77" t="s">
        <v>441</v>
      </c>
      <c r="D180" s="129" t="s">
        <v>68</v>
      </c>
      <c r="E180" s="214">
        <v>1</v>
      </c>
      <c r="F180" s="132"/>
      <c r="G180" s="130"/>
      <c r="H180" s="133"/>
      <c r="I180" s="127"/>
    </row>
    <row r="181" spans="2:9" ht="12">
      <c r="B181" s="124"/>
      <c r="C181" s="77" t="s">
        <v>442</v>
      </c>
      <c r="D181" s="129" t="s">
        <v>68</v>
      </c>
      <c r="E181" s="214">
        <v>1</v>
      </c>
      <c r="F181" s="132"/>
      <c r="G181" s="130"/>
      <c r="H181" s="133"/>
      <c r="I181" s="127"/>
    </row>
    <row r="182" spans="2:9" ht="12">
      <c r="B182" s="124"/>
      <c r="C182" s="79"/>
      <c r="D182" s="129"/>
      <c r="E182" s="214"/>
      <c r="F182" s="132"/>
      <c r="G182" s="130"/>
      <c r="H182" s="133"/>
      <c r="I182" s="127"/>
    </row>
    <row r="183" spans="2:9" ht="24">
      <c r="B183" s="124"/>
      <c r="C183" s="82" t="s">
        <v>579</v>
      </c>
      <c r="D183" s="129"/>
      <c r="E183" s="163"/>
      <c r="F183" s="130"/>
      <c r="G183" s="130"/>
      <c r="H183"/>
      <c r="I183" s="127"/>
    </row>
    <row r="184" spans="1:9" ht="48">
      <c r="A184" s="318" t="s">
        <v>48</v>
      </c>
      <c r="B184" s="305"/>
      <c r="C184" s="303" t="s">
        <v>509</v>
      </c>
      <c r="D184" s="307" t="s">
        <v>59</v>
      </c>
      <c r="E184" s="309">
        <v>42.5</v>
      </c>
      <c r="F184" s="308"/>
      <c r="G184" s="130">
        <f>E184*F184</f>
        <v>0</v>
      </c>
      <c r="H184" s="304">
        <v>0.243</v>
      </c>
      <c r="I184" s="306"/>
    </row>
    <row r="185" spans="2:9" ht="12.75">
      <c r="B185" s="124"/>
      <c r="C185"/>
      <c r="D185" s="129"/>
      <c r="E185" s="163"/>
      <c r="F185" s="130"/>
      <c r="G185" s="130"/>
      <c r="H185"/>
      <c r="I185" s="127"/>
    </row>
    <row r="186" spans="1:9" ht="24">
      <c r="A186" s="89" t="s">
        <v>49</v>
      </c>
      <c r="B186" s="124">
        <v>974031142</v>
      </c>
      <c r="C186" s="79" t="s">
        <v>510</v>
      </c>
      <c r="D186" s="129" t="s">
        <v>59</v>
      </c>
      <c r="E186" s="163">
        <v>31</v>
      </c>
      <c r="F186" s="130"/>
      <c r="G186" s="130">
        <f>E186*F186</f>
        <v>0</v>
      </c>
      <c r="H186" s="94">
        <v>0.011</v>
      </c>
      <c r="I186" s="310">
        <f>E186*H186</f>
        <v>0.34099999999999997</v>
      </c>
    </row>
    <row r="187" spans="2:9" ht="24">
      <c r="B187" s="124"/>
      <c r="C187" s="79" t="s">
        <v>511</v>
      </c>
      <c r="D187" s="129"/>
      <c r="E187" s="163"/>
      <c r="F187" s="130"/>
      <c r="G187" s="130"/>
      <c r="H187"/>
      <c r="I187" s="127"/>
    </row>
    <row r="188" spans="2:9" ht="12.75">
      <c r="B188" s="124"/>
      <c r="C188"/>
      <c r="D188" s="129"/>
      <c r="E188" s="163"/>
      <c r="F188" s="130"/>
      <c r="G188" s="130"/>
      <c r="H188"/>
      <c r="I188" s="127"/>
    </row>
    <row r="189" spans="1:9" ht="24">
      <c r="A189" s="89" t="s">
        <v>50</v>
      </c>
      <c r="B189" s="124">
        <v>974031153</v>
      </c>
      <c r="C189" s="79" t="s">
        <v>512</v>
      </c>
      <c r="D189" s="129" t="s">
        <v>59</v>
      </c>
      <c r="E189" s="163">
        <v>8.5</v>
      </c>
      <c r="F189" s="130"/>
      <c r="G189" s="130">
        <f>E189*F189</f>
        <v>0</v>
      </c>
      <c r="H189" s="94">
        <v>0.018</v>
      </c>
      <c r="I189" s="310">
        <f>E189*H189</f>
        <v>0.153</v>
      </c>
    </row>
    <row r="190" spans="2:9" ht="24">
      <c r="B190" s="124"/>
      <c r="C190" s="79" t="s">
        <v>511</v>
      </c>
      <c r="D190" s="129"/>
      <c r="E190" s="163"/>
      <c r="F190" s="130"/>
      <c r="G190" s="130"/>
      <c r="H190"/>
      <c r="I190" s="127"/>
    </row>
    <row r="191" spans="2:9" ht="12.75">
      <c r="B191" s="124"/>
      <c r="C191"/>
      <c r="D191" s="129"/>
      <c r="E191" s="163"/>
      <c r="F191" s="130"/>
      <c r="G191" s="130"/>
      <c r="H191"/>
      <c r="I191" s="127"/>
    </row>
    <row r="192" spans="1:9" ht="24">
      <c r="A192" s="89" t="s">
        <v>18</v>
      </c>
      <c r="B192" s="124">
        <v>974031164</v>
      </c>
      <c r="C192" s="79" t="s">
        <v>513</v>
      </c>
      <c r="D192" s="129" t="s">
        <v>59</v>
      </c>
      <c r="E192" s="163">
        <v>19.5</v>
      </c>
      <c r="F192" s="130"/>
      <c r="G192" s="130">
        <f>E192*F192</f>
        <v>0</v>
      </c>
      <c r="H192" s="94">
        <v>0.04</v>
      </c>
      <c r="I192" s="310">
        <f>E192*H192</f>
        <v>0.78</v>
      </c>
    </row>
    <row r="193" spans="2:9" ht="24">
      <c r="B193" s="124"/>
      <c r="C193" s="79" t="s">
        <v>511</v>
      </c>
      <c r="D193" s="129"/>
      <c r="E193" s="163"/>
      <c r="F193" s="130"/>
      <c r="G193" s="130"/>
      <c r="H193"/>
      <c r="I193" s="127"/>
    </row>
    <row r="194" spans="2:9" ht="12.75">
      <c r="B194" s="124"/>
      <c r="C194"/>
      <c r="D194" s="129"/>
      <c r="E194" s="163"/>
      <c r="F194" s="130"/>
      <c r="G194" s="130"/>
      <c r="H194"/>
      <c r="I194" s="127"/>
    </row>
    <row r="195" spans="1:9" ht="24">
      <c r="A195" s="89" t="s">
        <v>19</v>
      </c>
      <c r="B195" s="124">
        <v>974031132</v>
      </c>
      <c r="C195" s="79" t="s">
        <v>514</v>
      </c>
      <c r="D195" s="129" t="s">
        <v>59</v>
      </c>
      <c r="E195" s="163">
        <v>110</v>
      </c>
      <c r="F195" s="130"/>
      <c r="G195" s="130">
        <f>E195*F195</f>
        <v>0</v>
      </c>
      <c r="H195" s="94">
        <v>0.006</v>
      </c>
      <c r="I195" s="310">
        <f>E195*H195</f>
        <v>0.66</v>
      </c>
    </row>
    <row r="196" spans="2:9" ht="24">
      <c r="B196" s="124"/>
      <c r="C196" s="79" t="s">
        <v>511</v>
      </c>
      <c r="D196" s="129"/>
      <c r="E196" s="163"/>
      <c r="F196" s="130"/>
      <c r="G196" s="130"/>
      <c r="H196"/>
      <c r="I196" s="127"/>
    </row>
    <row r="197" spans="2:9" ht="12.75">
      <c r="B197" s="124"/>
      <c r="C197" s="79"/>
      <c r="D197" s="129"/>
      <c r="E197" s="163"/>
      <c r="F197" s="130"/>
      <c r="G197" s="130"/>
      <c r="H197"/>
      <c r="I197" s="127"/>
    </row>
    <row r="198" spans="2:9" ht="24">
      <c r="B198" s="124"/>
      <c r="C198" s="79" t="s">
        <v>580</v>
      </c>
      <c r="D198" s="129"/>
      <c r="E198" s="163"/>
      <c r="F198" s="130"/>
      <c r="G198" s="130"/>
      <c r="H198"/>
      <c r="I198" s="127"/>
    </row>
    <row r="199" spans="2:9" ht="24">
      <c r="B199" s="124"/>
      <c r="C199" s="79" t="s">
        <v>581</v>
      </c>
      <c r="D199" s="129" t="s">
        <v>59</v>
      </c>
      <c r="E199" s="163">
        <v>4.3</v>
      </c>
      <c r="F199" s="130"/>
      <c r="G199" s="130">
        <f>E199*F199</f>
        <v>0</v>
      </c>
      <c r="H199"/>
      <c r="I199" s="127"/>
    </row>
    <row r="200" spans="2:9" ht="12.75">
      <c r="B200" s="124"/>
      <c r="C200" s="79"/>
      <c r="D200" s="129"/>
      <c r="E200" s="163"/>
      <c r="F200" s="130"/>
      <c r="G200" s="130"/>
      <c r="H200"/>
      <c r="I200" s="127"/>
    </row>
    <row r="201" spans="1:9" ht="36">
      <c r="A201" s="89" t="s">
        <v>20</v>
      </c>
      <c r="B201" s="124">
        <v>973031335</v>
      </c>
      <c r="C201" s="79" t="s">
        <v>515</v>
      </c>
      <c r="D201" s="129" t="s">
        <v>71</v>
      </c>
      <c r="E201" s="163">
        <v>51</v>
      </c>
      <c r="F201" s="130"/>
      <c r="G201" s="130">
        <f>E201*F201</f>
        <v>0</v>
      </c>
      <c r="H201" s="94">
        <v>0.062</v>
      </c>
      <c r="I201" s="310">
        <f aca="true" t="shared" si="0" ref="I201:I221">E201*H201</f>
        <v>3.162</v>
      </c>
    </row>
    <row r="202" spans="2:9" ht="24">
      <c r="B202" s="124"/>
      <c r="C202" s="79" t="s">
        <v>511</v>
      </c>
      <c r="D202" s="129"/>
      <c r="E202" s="163"/>
      <c r="F202" s="130"/>
      <c r="G202" s="130"/>
      <c r="H202"/>
      <c r="I202" s="310"/>
    </row>
    <row r="203" spans="2:9" ht="12.75">
      <c r="B203" s="124"/>
      <c r="C203" s="79"/>
      <c r="D203" s="129"/>
      <c r="E203" s="163"/>
      <c r="F203" s="130"/>
      <c r="G203" s="130"/>
      <c r="H203"/>
      <c r="I203" s="310"/>
    </row>
    <row r="204" spans="1:9" ht="12">
      <c r="A204" s="89" t="s">
        <v>21</v>
      </c>
      <c r="B204" s="124"/>
      <c r="C204" s="79" t="s">
        <v>516</v>
      </c>
      <c r="D204" s="129" t="s">
        <v>71</v>
      </c>
      <c r="E204" s="163">
        <v>6</v>
      </c>
      <c r="F204" s="130"/>
      <c r="G204" s="130">
        <f>E204*F204</f>
        <v>0</v>
      </c>
      <c r="H204" s="94">
        <v>0.243</v>
      </c>
      <c r="I204" s="310">
        <f t="shared" si="0"/>
        <v>1.458</v>
      </c>
    </row>
    <row r="205" spans="2:9" ht="12.75">
      <c r="B205" s="124"/>
      <c r="C205"/>
      <c r="D205" s="129"/>
      <c r="E205" s="163"/>
      <c r="F205" s="130"/>
      <c r="G205" s="130"/>
      <c r="H205"/>
      <c r="I205" s="310"/>
    </row>
    <row r="206" spans="1:9" ht="12.75">
      <c r="A206" s="89" t="s">
        <v>22</v>
      </c>
      <c r="B206" s="124"/>
      <c r="C206" s="82" t="s">
        <v>136</v>
      </c>
      <c r="D206" s="129"/>
      <c r="E206" s="163"/>
      <c r="F206" s="130"/>
      <c r="G206" s="130"/>
      <c r="H206"/>
      <c r="I206" s="310"/>
    </row>
    <row r="207" spans="2:9" ht="24">
      <c r="B207" s="124"/>
      <c r="C207" s="79" t="s">
        <v>517</v>
      </c>
      <c r="D207" s="129"/>
      <c r="E207" s="163"/>
      <c r="F207" s="130"/>
      <c r="G207" s="130"/>
      <c r="H207"/>
      <c r="I207" s="310"/>
    </row>
    <row r="208" spans="2:9" ht="12">
      <c r="B208" s="124">
        <v>725110811</v>
      </c>
      <c r="C208" s="77" t="s">
        <v>109</v>
      </c>
      <c r="D208" s="129" t="s">
        <v>110</v>
      </c>
      <c r="E208" s="163">
        <v>17</v>
      </c>
      <c r="F208" s="130"/>
      <c r="G208" s="130">
        <f aca="true" t="shared" si="1" ref="G208:G226">E208*F208</f>
        <v>0</v>
      </c>
      <c r="H208" s="94">
        <v>0.01933</v>
      </c>
      <c r="I208" s="310">
        <f t="shared" si="0"/>
        <v>0.32861</v>
      </c>
    </row>
    <row r="209" spans="2:9" ht="12">
      <c r="B209" s="124">
        <v>725130811</v>
      </c>
      <c r="C209" s="77" t="s">
        <v>106</v>
      </c>
      <c r="D209" s="129"/>
      <c r="E209" s="163">
        <v>8</v>
      </c>
      <c r="F209" s="130"/>
      <c r="G209" s="130">
        <f t="shared" si="1"/>
        <v>0</v>
      </c>
      <c r="H209" s="94">
        <v>0.03968</v>
      </c>
      <c r="I209" s="310">
        <f t="shared" si="0"/>
        <v>0.31744</v>
      </c>
    </row>
    <row r="210" spans="2:9" ht="12">
      <c r="B210" s="124">
        <v>725210821</v>
      </c>
      <c r="C210" s="77" t="s">
        <v>107</v>
      </c>
      <c r="D210" s="129"/>
      <c r="E210" s="163">
        <v>14</v>
      </c>
      <c r="F210" s="130"/>
      <c r="G210" s="130">
        <f t="shared" si="1"/>
        <v>0</v>
      </c>
      <c r="H210" s="94">
        <v>0.01946</v>
      </c>
      <c r="I210" s="310">
        <f t="shared" si="0"/>
        <v>0.27244</v>
      </c>
    </row>
    <row r="211" spans="2:9" ht="12">
      <c r="B211" s="124">
        <v>725310821</v>
      </c>
      <c r="C211" s="77" t="s">
        <v>112</v>
      </c>
      <c r="D211" s="129"/>
      <c r="E211" s="163">
        <v>2</v>
      </c>
      <c r="F211" s="131"/>
      <c r="G211" s="130">
        <f t="shared" si="1"/>
        <v>0</v>
      </c>
      <c r="H211" s="94">
        <v>0.01707</v>
      </c>
      <c r="I211" s="310">
        <f t="shared" si="0"/>
        <v>0.03414</v>
      </c>
    </row>
    <row r="212" spans="2:9" ht="12">
      <c r="B212" s="124">
        <v>725240812</v>
      </c>
      <c r="C212" s="77" t="s">
        <v>108</v>
      </c>
      <c r="D212" s="129"/>
      <c r="E212" s="163">
        <v>2</v>
      </c>
      <c r="F212" s="130"/>
      <c r="G212" s="130">
        <f t="shared" si="1"/>
        <v>0</v>
      </c>
      <c r="H212" s="94">
        <v>0.0245</v>
      </c>
      <c r="I212" s="310">
        <f t="shared" si="0"/>
        <v>0.049</v>
      </c>
    </row>
    <row r="213" spans="2:9" ht="12">
      <c r="B213" s="124">
        <v>725330820</v>
      </c>
      <c r="C213" s="77" t="s">
        <v>113</v>
      </c>
      <c r="D213" s="129"/>
      <c r="E213" s="163">
        <v>1</v>
      </c>
      <c r="F213" s="130"/>
      <c r="G213" s="130">
        <f t="shared" si="1"/>
        <v>0</v>
      </c>
      <c r="H213" s="94">
        <v>0.0347</v>
      </c>
      <c r="I213" s="310">
        <f t="shared" si="0"/>
        <v>0.0347</v>
      </c>
    </row>
    <row r="214" spans="2:9" ht="12">
      <c r="B214" s="124">
        <v>725820809</v>
      </c>
      <c r="C214" s="77" t="s">
        <v>111</v>
      </c>
      <c r="D214" s="129"/>
      <c r="E214" s="163">
        <v>19</v>
      </c>
      <c r="F214" s="130"/>
      <c r="G214" s="130">
        <f t="shared" si="1"/>
        <v>0</v>
      </c>
      <c r="H214" s="94">
        <v>0.00176</v>
      </c>
      <c r="I214" s="310">
        <f t="shared" si="0"/>
        <v>0.033440000000000004</v>
      </c>
    </row>
    <row r="215" spans="2:9" ht="12.75">
      <c r="B215" s="124"/>
      <c r="C215"/>
      <c r="D215" s="129"/>
      <c r="E215" s="163"/>
      <c r="F215" s="130"/>
      <c r="G215" s="130"/>
      <c r="H215"/>
      <c r="I215" s="127"/>
    </row>
    <row r="216" spans="1:9" ht="24">
      <c r="A216" s="89" t="s">
        <v>23</v>
      </c>
      <c r="B216" s="124"/>
      <c r="C216" s="77" t="s">
        <v>128</v>
      </c>
      <c r="D216" s="96" t="s">
        <v>59</v>
      </c>
      <c r="E216" s="163">
        <v>285</v>
      </c>
      <c r="F216" s="132"/>
      <c r="G216" s="130">
        <f t="shared" si="1"/>
        <v>0</v>
      </c>
      <c r="H216" s="133">
        <v>0.00497</v>
      </c>
      <c r="I216" s="310">
        <f t="shared" si="0"/>
        <v>1.41645</v>
      </c>
    </row>
    <row r="217" spans="2:9" ht="12.75">
      <c r="B217" s="124"/>
      <c r="C217"/>
      <c r="D217" s="96"/>
      <c r="E217" s="163"/>
      <c r="F217" s="132"/>
      <c r="G217" s="130"/>
      <c r="H217" s="133"/>
      <c r="I217" s="310"/>
    </row>
    <row r="218" spans="2:9" ht="12">
      <c r="B218" s="124">
        <v>969011121</v>
      </c>
      <c r="C218" s="77" t="s">
        <v>129</v>
      </c>
      <c r="D218" s="96" t="s">
        <v>59</v>
      </c>
      <c r="E218" s="163">
        <v>222.5</v>
      </c>
      <c r="F218" s="132"/>
      <c r="G218" s="130">
        <f t="shared" si="1"/>
        <v>0</v>
      </c>
      <c r="H218" s="133">
        <v>0.013</v>
      </c>
      <c r="I218" s="310">
        <f t="shared" si="0"/>
        <v>2.8925</v>
      </c>
    </row>
    <row r="219" spans="2:9" ht="12">
      <c r="B219" s="124">
        <v>969021121</v>
      </c>
      <c r="C219" s="77" t="s">
        <v>130</v>
      </c>
      <c r="D219" s="96" t="s">
        <v>59</v>
      </c>
      <c r="E219" s="163">
        <v>101.5</v>
      </c>
      <c r="F219" s="132"/>
      <c r="G219" s="130">
        <f t="shared" si="1"/>
        <v>0</v>
      </c>
      <c r="H219" s="133">
        <v>0.063</v>
      </c>
      <c r="I219" s="310">
        <f t="shared" si="0"/>
        <v>6.3945</v>
      </c>
    </row>
    <row r="220" spans="1:9" ht="48">
      <c r="A220" s="89" t="s">
        <v>24</v>
      </c>
      <c r="B220" s="124">
        <v>73312</v>
      </c>
      <c r="C220" s="77" t="s">
        <v>518</v>
      </c>
      <c r="D220" s="96" t="s">
        <v>59</v>
      </c>
      <c r="E220" s="163">
        <v>98</v>
      </c>
      <c r="F220" s="132"/>
      <c r="G220" s="130">
        <f t="shared" si="1"/>
        <v>0</v>
      </c>
      <c r="H220" s="133">
        <v>0.001</v>
      </c>
      <c r="I220" s="310">
        <f t="shared" si="0"/>
        <v>0.098</v>
      </c>
    </row>
    <row r="221" spans="1:9" ht="60">
      <c r="A221" s="89" t="s">
        <v>25</v>
      </c>
      <c r="B221" s="124">
        <v>73511</v>
      </c>
      <c r="C221" s="77" t="s">
        <v>519</v>
      </c>
      <c r="D221" s="96" t="s">
        <v>71</v>
      </c>
      <c r="E221" s="163">
        <v>7</v>
      </c>
      <c r="F221" s="132"/>
      <c r="G221" s="130">
        <f t="shared" si="1"/>
        <v>0</v>
      </c>
      <c r="H221" s="238">
        <v>0.0238</v>
      </c>
      <c r="I221" s="310">
        <f t="shared" si="0"/>
        <v>0.16660000000000003</v>
      </c>
    </row>
    <row r="222" spans="2:9" ht="12" customHeight="1">
      <c r="B222" s="124"/>
      <c r="C222"/>
      <c r="D222" s="96"/>
      <c r="E222" s="163"/>
      <c r="F222" s="132"/>
      <c r="G222" s="130"/>
      <c r="H222" s="133"/>
      <c r="I222" s="127"/>
    </row>
    <row r="223" spans="1:9" ht="40.5" customHeight="1">
      <c r="A223" s="89" t="s">
        <v>26</v>
      </c>
      <c r="B223" s="124">
        <v>997013</v>
      </c>
      <c r="C223" s="77" t="s">
        <v>520</v>
      </c>
      <c r="D223" s="134" t="s">
        <v>17</v>
      </c>
      <c r="E223" s="311">
        <f>SUM(I47:I221)</f>
        <v>50.729344799999986</v>
      </c>
      <c r="F223" s="132"/>
      <c r="G223" s="130">
        <f t="shared" si="1"/>
        <v>0</v>
      </c>
      <c r="H223" s="133"/>
      <c r="I223" s="127"/>
    </row>
    <row r="224" spans="1:9" ht="27" customHeight="1">
      <c r="A224" s="89" t="s">
        <v>27</v>
      </c>
      <c r="B224" s="124">
        <v>997013</v>
      </c>
      <c r="C224" s="77" t="s">
        <v>521</v>
      </c>
      <c r="D224" s="134" t="s">
        <v>17</v>
      </c>
      <c r="E224" s="163">
        <f>E223</f>
        <v>50.729344799999986</v>
      </c>
      <c r="F224" s="132"/>
      <c r="G224" s="130">
        <f t="shared" si="1"/>
        <v>0</v>
      </c>
      <c r="H224" s="133"/>
      <c r="I224" s="127"/>
    </row>
    <row r="225" spans="1:9" ht="27.75" customHeight="1">
      <c r="A225" s="89" t="s">
        <v>28</v>
      </c>
      <c r="B225" s="124"/>
      <c r="C225" s="77" t="s">
        <v>522</v>
      </c>
      <c r="D225" s="134" t="s">
        <v>17</v>
      </c>
      <c r="E225" s="163">
        <f>E224</f>
        <v>50.729344799999986</v>
      </c>
      <c r="F225" s="132"/>
      <c r="G225" s="130">
        <f t="shared" si="1"/>
        <v>0</v>
      </c>
      <c r="H225" s="133"/>
      <c r="I225" s="127"/>
    </row>
    <row r="226" spans="1:9" ht="27.75" customHeight="1">
      <c r="A226" s="89" t="s">
        <v>29</v>
      </c>
      <c r="B226" s="124">
        <v>997013</v>
      </c>
      <c r="C226" s="77" t="s">
        <v>523</v>
      </c>
      <c r="D226" s="134" t="s">
        <v>17</v>
      </c>
      <c r="E226" s="163">
        <f>E225</f>
        <v>50.729344799999986</v>
      </c>
      <c r="F226" s="132"/>
      <c r="G226" s="130">
        <f t="shared" si="1"/>
        <v>0</v>
      </c>
      <c r="H226" s="133"/>
      <c r="I226" s="127"/>
    </row>
    <row r="227" spans="1:9" ht="34.5" customHeight="1">
      <c r="A227" s="89" t="s">
        <v>60</v>
      </c>
      <c r="B227" s="124"/>
      <c r="C227" s="135" t="s">
        <v>524</v>
      </c>
      <c r="D227" s="134"/>
      <c r="E227" s="163"/>
      <c r="F227" s="132"/>
      <c r="G227" s="130"/>
      <c r="H227" s="133"/>
      <c r="I227" s="127"/>
    </row>
    <row r="228" spans="2:9" ht="12" customHeight="1">
      <c r="B228" s="124"/>
      <c r="C228" s="226"/>
      <c r="D228" s="134"/>
      <c r="E228" s="163"/>
      <c r="F228" s="132"/>
      <c r="G228" s="130"/>
      <c r="H228" s="133"/>
      <c r="I228" s="127"/>
    </row>
    <row r="229" spans="2:9" ht="12.75">
      <c r="B229" s="124"/>
      <c r="C229" s="140" t="s">
        <v>131</v>
      </c>
      <c r="D229" s="129"/>
      <c r="E229" s="163"/>
      <c r="F229" s="130"/>
      <c r="G229" s="130"/>
      <c r="I229" s="127"/>
    </row>
    <row r="230" spans="2:9" ht="12.75">
      <c r="B230" s="124"/>
      <c r="C230" s="140"/>
      <c r="D230" s="129"/>
      <c r="E230" s="163"/>
      <c r="F230" s="130"/>
      <c r="G230" s="130"/>
      <c r="I230" s="127"/>
    </row>
    <row r="231" spans="2:9" ht="12">
      <c r="B231" s="124"/>
      <c r="C231" s="232" t="s">
        <v>465</v>
      </c>
      <c r="D231" s="129"/>
      <c r="E231" s="163"/>
      <c r="F231" s="130"/>
      <c r="G231" s="137">
        <f>SUM(G235:G266)</f>
        <v>0</v>
      </c>
      <c r="I231" s="127"/>
    </row>
    <row r="232" spans="2:9" ht="39.75" customHeight="1">
      <c r="B232" s="124"/>
      <c r="C232" s="235" t="s">
        <v>576</v>
      </c>
      <c r="D232" s="129"/>
      <c r="E232" s="77"/>
      <c r="F232" s="137"/>
      <c r="G232" s="77"/>
      <c r="I232" s="127"/>
    </row>
    <row r="233" spans="2:9" ht="12.75" customHeight="1">
      <c r="B233" s="124"/>
      <c r="C233" s="235"/>
      <c r="D233" s="129"/>
      <c r="E233" s="163">
        <f>SUM(E235:E249)</f>
        <v>49.642050000000005</v>
      </c>
      <c r="F233" s="130"/>
      <c r="G233" s="130"/>
      <c r="I233" s="127"/>
    </row>
    <row r="234" spans="2:9" ht="12">
      <c r="B234" s="124"/>
      <c r="C234" s="77" t="s">
        <v>466</v>
      </c>
      <c r="D234" s="129"/>
      <c r="E234" s="163"/>
      <c r="F234" s="130"/>
      <c r="G234" s="130"/>
      <c r="I234" s="127"/>
    </row>
    <row r="235" spans="2:9" ht="18.75" customHeight="1">
      <c r="B235" s="124"/>
      <c r="C235" s="77" t="s">
        <v>467</v>
      </c>
      <c r="D235" s="129" t="s">
        <v>58</v>
      </c>
      <c r="E235" s="163">
        <f>0.89*2.77+1.03*2.77+0.9*2.77*1.05</f>
        <v>7.93605</v>
      </c>
      <c r="F235" s="130"/>
      <c r="G235" s="130">
        <f>E235*F235</f>
        <v>0</v>
      </c>
      <c r="I235" s="127"/>
    </row>
    <row r="236" spans="2:9" ht="18.75" customHeight="1">
      <c r="B236" s="124"/>
      <c r="C236" s="77" t="s">
        <v>469</v>
      </c>
      <c r="D236" s="129"/>
      <c r="E236" s="163"/>
      <c r="F236" s="130"/>
      <c r="G236" s="130"/>
      <c r="I236" s="127"/>
    </row>
    <row r="237" spans="2:9" ht="18.75" customHeight="1">
      <c r="B237" s="124"/>
      <c r="C237" s="77" t="s">
        <v>468</v>
      </c>
      <c r="D237" s="129" t="s">
        <v>58</v>
      </c>
      <c r="E237" s="77">
        <f>0.86*4+1*4*1.05</f>
        <v>7.640000000000001</v>
      </c>
      <c r="F237" s="130"/>
      <c r="G237" s="130">
        <f>E237*F237</f>
        <v>0</v>
      </c>
      <c r="I237" s="127"/>
    </row>
    <row r="238" spans="2:9" ht="18.75" customHeight="1">
      <c r="B238" s="124"/>
      <c r="C238" s="77" t="s">
        <v>484</v>
      </c>
      <c r="D238" s="129"/>
      <c r="E238" s="77"/>
      <c r="F238" s="130"/>
      <c r="G238" s="130"/>
      <c r="I238" s="127"/>
    </row>
    <row r="239" spans="2:9" ht="18.75" customHeight="1">
      <c r="B239" s="124"/>
      <c r="C239" s="77" t="s">
        <v>470</v>
      </c>
      <c r="D239" s="129" t="s">
        <v>58</v>
      </c>
      <c r="E239" s="77">
        <f>0.92*4+0.9*4+0.93*4*1.05</f>
        <v>11.186</v>
      </c>
      <c r="F239" s="130"/>
      <c r="G239" s="130">
        <f>E239*F239</f>
        <v>0</v>
      </c>
      <c r="I239" s="127"/>
    </row>
    <row r="240" spans="2:9" ht="18.75" customHeight="1">
      <c r="B240" s="124"/>
      <c r="C240" s="77" t="s">
        <v>471</v>
      </c>
      <c r="D240" s="129"/>
      <c r="E240" s="77"/>
      <c r="F240" s="130"/>
      <c r="G240" s="130"/>
      <c r="I240" s="127"/>
    </row>
    <row r="241" spans="2:9" ht="18.75" customHeight="1">
      <c r="B241" s="124"/>
      <c r="C241" s="77" t="s">
        <v>472</v>
      </c>
      <c r="D241" s="129" t="s">
        <v>58</v>
      </c>
      <c r="E241" s="77">
        <f>0.72*4*1.05</f>
        <v>3.024</v>
      </c>
      <c r="F241" s="130"/>
      <c r="G241" s="130">
        <f>E241*F241</f>
        <v>0</v>
      </c>
      <c r="I241" s="127"/>
    </row>
    <row r="242" spans="2:9" ht="18.75" customHeight="1">
      <c r="B242" s="124"/>
      <c r="C242" s="77" t="s">
        <v>473</v>
      </c>
      <c r="D242" s="129"/>
      <c r="E242" s="77"/>
      <c r="F242" s="130"/>
      <c r="G242" s="130"/>
      <c r="I242" s="127"/>
    </row>
    <row r="243" spans="2:9" ht="18.75" customHeight="1">
      <c r="B243" s="124"/>
      <c r="C243" s="77" t="s">
        <v>474</v>
      </c>
      <c r="D243" s="129" t="s">
        <v>58</v>
      </c>
      <c r="E243" s="77">
        <f>0.9*4+0.85*4*1.05</f>
        <v>7.17</v>
      </c>
      <c r="F243" s="130"/>
      <c r="G243" s="130">
        <f>E243*F243</f>
        <v>0</v>
      </c>
      <c r="I243" s="127"/>
    </row>
    <row r="244" spans="2:9" ht="18.75" customHeight="1">
      <c r="B244" s="124"/>
      <c r="C244" s="77" t="s">
        <v>475</v>
      </c>
      <c r="D244" s="129"/>
      <c r="E244" s="77"/>
      <c r="F244" s="130"/>
      <c r="G244" s="130"/>
      <c r="I244" s="127"/>
    </row>
    <row r="245" spans="2:9" ht="18.75" customHeight="1">
      <c r="B245" s="124"/>
      <c r="C245" s="77" t="s">
        <v>476</v>
      </c>
      <c r="D245" s="129" t="s">
        <v>58</v>
      </c>
      <c r="E245" s="77">
        <f>0.68*4*1.05</f>
        <v>2.8560000000000003</v>
      </c>
      <c r="F245" s="130"/>
      <c r="G245" s="130">
        <f>E245*F245</f>
        <v>0</v>
      </c>
      <c r="I245" s="127"/>
    </row>
    <row r="246" spans="2:9" ht="18.75" customHeight="1">
      <c r="B246" s="124"/>
      <c r="C246" s="77" t="s">
        <v>477</v>
      </c>
      <c r="D246" s="129"/>
      <c r="E246" s="77"/>
      <c r="F246" s="130"/>
      <c r="G246" s="130"/>
      <c r="I246" s="127"/>
    </row>
    <row r="247" spans="2:9" ht="18.75" customHeight="1">
      <c r="B247" s="124"/>
      <c r="C247" s="77" t="s">
        <v>478</v>
      </c>
      <c r="D247" s="129" t="s">
        <v>58</v>
      </c>
      <c r="E247" s="77">
        <f>0.83*4+0.87*4*1.05</f>
        <v>6.974</v>
      </c>
      <c r="F247" s="130"/>
      <c r="G247" s="130">
        <f>E247*F247</f>
        <v>0</v>
      </c>
      <c r="I247" s="127"/>
    </row>
    <row r="248" spans="2:9" ht="18.75" customHeight="1">
      <c r="B248" s="124"/>
      <c r="C248" s="77" t="s">
        <v>479</v>
      </c>
      <c r="D248" s="129"/>
      <c r="E248" s="77"/>
      <c r="F248" s="130"/>
      <c r="G248" s="130"/>
      <c r="I248" s="127"/>
    </row>
    <row r="249" spans="2:9" ht="18.75" customHeight="1">
      <c r="B249" s="124"/>
      <c r="C249" s="77" t="s">
        <v>476</v>
      </c>
      <c r="D249" s="129" t="s">
        <v>58</v>
      </c>
      <c r="E249" s="77">
        <f>0.68*4*1.05</f>
        <v>2.8560000000000003</v>
      </c>
      <c r="F249" s="130"/>
      <c r="G249" s="130">
        <f>E249*F249</f>
        <v>0</v>
      </c>
      <c r="I249" s="127"/>
    </row>
    <row r="250" spans="2:9" ht="18.75" customHeight="1">
      <c r="B250" s="124"/>
      <c r="D250" s="129"/>
      <c r="E250" s="77"/>
      <c r="F250" s="130"/>
      <c r="G250" s="130"/>
      <c r="I250" s="127"/>
    </row>
    <row r="251" spans="2:9" ht="39" customHeight="1">
      <c r="B251" s="124"/>
      <c r="C251" s="235" t="s">
        <v>480</v>
      </c>
      <c r="D251" s="129"/>
      <c r="E251" s="77"/>
      <c r="F251" s="137"/>
      <c r="G251" s="130"/>
      <c r="I251" s="127"/>
    </row>
    <row r="252" spans="2:9" ht="12" customHeight="1">
      <c r="B252" s="124"/>
      <c r="C252" s="235"/>
      <c r="D252" s="129"/>
      <c r="E252" s="77"/>
      <c r="F252" s="130"/>
      <c r="G252" s="130"/>
      <c r="I252" s="127"/>
    </row>
    <row r="253" spans="2:9" ht="12" customHeight="1">
      <c r="B253" s="124"/>
      <c r="C253" s="77" t="s">
        <v>481</v>
      </c>
      <c r="D253" s="129"/>
      <c r="E253" s="77"/>
      <c r="F253" s="130"/>
      <c r="G253" s="130"/>
      <c r="I253" s="127"/>
    </row>
    <row r="254" spans="2:9" ht="12" customHeight="1">
      <c r="B254" s="124"/>
      <c r="C254" s="235" t="s">
        <v>566</v>
      </c>
      <c r="D254" s="129" t="s">
        <v>58</v>
      </c>
      <c r="E254" s="235">
        <f>0.4*4*8*1.05</f>
        <v>13.440000000000001</v>
      </c>
      <c r="F254" s="130"/>
      <c r="G254" s="130">
        <f>E254*F254</f>
        <v>0</v>
      </c>
      <c r="I254" s="127"/>
    </row>
    <row r="255" spans="2:9" ht="12" customHeight="1">
      <c r="B255" s="124"/>
      <c r="C255" s="235"/>
      <c r="D255" s="129"/>
      <c r="E255" s="77"/>
      <c r="F255" s="130"/>
      <c r="G255" s="130"/>
      <c r="I255" s="127"/>
    </row>
    <row r="256" spans="2:9" ht="38.25" customHeight="1">
      <c r="B256" s="124"/>
      <c r="C256" s="235" t="s">
        <v>483</v>
      </c>
      <c r="D256" s="129"/>
      <c r="E256" s="77">
        <f>SUM(E257:E264)</f>
        <v>12.66</v>
      </c>
      <c r="F256" s="137"/>
      <c r="G256" s="130"/>
      <c r="I256" s="127"/>
    </row>
    <row r="257" spans="2:9" ht="12" customHeight="1">
      <c r="B257" s="124"/>
      <c r="C257" s="77" t="s">
        <v>484</v>
      </c>
      <c r="D257" s="129"/>
      <c r="E257" s="77"/>
      <c r="F257" s="130"/>
      <c r="G257" s="130"/>
      <c r="I257" s="127"/>
    </row>
    <row r="258" spans="2:9" ht="12" customHeight="1">
      <c r="B258" s="124"/>
      <c r="C258" s="77" t="s">
        <v>485</v>
      </c>
      <c r="D258" s="129" t="s">
        <v>58</v>
      </c>
      <c r="E258" s="77">
        <f>0.2*1.55*3+0.5*4*1.05</f>
        <v>3.0300000000000002</v>
      </c>
      <c r="F258" s="130"/>
      <c r="G258" s="130">
        <f>E258*F258</f>
        <v>0</v>
      </c>
      <c r="I258" s="127"/>
    </row>
    <row r="259" spans="2:9" ht="12" customHeight="1">
      <c r="B259" s="124"/>
      <c r="C259" s="77" t="s">
        <v>471</v>
      </c>
      <c r="D259" s="129"/>
      <c r="E259" s="77"/>
      <c r="F259" s="130"/>
      <c r="G259" s="130"/>
      <c r="I259" s="127"/>
    </row>
    <row r="260" spans="2:9" ht="12" customHeight="1">
      <c r="B260" s="124"/>
      <c r="C260" s="77" t="s">
        <v>487</v>
      </c>
      <c r="D260" s="129" t="s">
        <v>58</v>
      </c>
      <c r="E260" s="77">
        <f>1.7*4+0.9*2+0.2*1.75</f>
        <v>8.95</v>
      </c>
      <c r="F260" s="130"/>
      <c r="G260" s="130">
        <f>E260*F260</f>
        <v>0</v>
      </c>
      <c r="I260" s="127"/>
    </row>
    <row r="261" spans="2:9" ht="12" customHeight="1">
      <c r="B261" s="124"/>
      <c r="C261" s="77" t="s">
        <v>473</v>
      </c>
      <c r="D261" s="129"/>
      <c r="E261" s="216"/>
      <c r="F261" s="130"/>
      <c r="G261" s="130"/>
      <c r="I261" s="127"/>
    </row>
    <row r="262" spans="2:9" ht="12" customHeight="1">
      <c r="B262" s="124"/>
      <c r="C262" s="77" t="s">
        <v>486</v>
      </c>
      <c r="D262" s="129" t="s">
        <v>58</v>
      </c>
      <c r="E262" s="77">
        <f>0.2*1.75</f>
        <v>0.35000000000000003</v>
      </c>
      <c r="F262" s="130"/>
      <c r="G262" s="130">
        <f>E262*F262</f>
        <v>0</v>
      </c>
      <c r="I262" s="127"/>
    </row>
    <row r="263" spans="2:9" ht="12" customHeight="1">
      <c r="B263" s="124"/>
      <c r="C263" s="77" t="s">
        <v>477</v>
      </c>
      <c r="D263" s="129"/>
      <c r="E263" s="77"/>
      <c r="F263" s="130"/>
      <c r="G263" s="130"/>
      <c r="I263" s="127"/>
    </row>
    <row r="264" spans="2:9" ht="12" customHeight="1">
      <c r="B264" s="124"/>
      <c r="C264" s="77" t="s">
        <v>488</v>
      </c>
      <c r="D264" s="129" t="s">
        <v>58</v>
      </c>
      <c r="E264" s="77">
        <f>0.2*1.65</f>
        <v>0.33</v>
      </c>
      <c r="F264" s="130"/>
      <c r="G264" s="130">
        <f>E264*F264</f>
        <v>0</v>
      </c>
      <c r="I264" s="127"/>
    </row>
    <row r="265" spans="2:9" ht="12" customHeight="1">
      <c r="B265" s="124"/>
      <c r="D265" s="129"/>
      <c r="E265" s="77"/>
      <c r="F265" s="130"/>
      <c r="G265" s="130"/>
      <c r="I265" s="127"/>
    </row>
    <row r="266" spans="2:9" ht="12" customHeight="1">
      <c r="B266" s="124"/>
      <c r="C266" s="77" t="s">
        <v>206</v>
      </c>
      <c r="D266" s="129" t="s">
        <v>68</v>
      </c>
      <c r="E266" s="77">
        <v>1</v>
      </c>
      <c r="F266" s="130"/>
      <c r="G266" s="130">
        <f>E266*F266</f>
        <v>0</v>
      </c>
      <c r="I266" s="127"/>
    </row>
    <row r="267" spans="2:9" ht="12" customHeight="1">
      <c r="B267" s="124"/>
      <c r="D267" s="129"/>
      <c r="E267" s="77"/>
      <c r="F267" s="130"/>
      <c r="G267" s="130"/>
      <c r="I267" s="127"/>
    </row>
    <row r="268" spans="2:9" ht="24">
      <c r="B268" s="124"/>
      <c r="C268" s="140" t="s">
        <v>201</v>
      </c>
      <c r="D268" s="136" t="s">
        <v>51</v>
      </c>
      <c r="E268" s="165" t="s">
        <v>31</v>
      </c>
      <c r="F268" s="130"/>
      <c r="G268" s="137">
        <f>SUM(G270:G351)</f>
        <v>0</v>
      </c>
      <c r="H268" s="138"/>
      <c r="I268" s="139">
        <f>SUM(I270:I351)</f>
        <v>10.007087883999997</v>
      </c>
    </row>
    <row r="269" spans="2:9" ht="24">
      <c r="B269" s="124">
        <v>612131121</v>
      </c>
      <c r="C269" s="77" t="s">
        <v>555</v>
      </c>
      <c r="D269" s="129"/>
      <c r="E269" s="163"/>
      <c r="F269" s="130"/>
      <c r="G269" s="130"/>
      <c r="I269" s="127"/>
    </row>
    <row r="270" spans="2:9" ht="12">
      <c r="B270" s="124"/>
      <c r="C270" s="77" t="s">
        <v>132</v>
      </c>
      <c r="D270" s="129" t="s">
        <v>58</v>
      </c>
      <c r="E270" s="163">
        <f>E55</f>
        <v>333.04359999999986</v>
      </c>
      <c r="F270" s="130"/>
      <c r="G270" s="130">
        <f>E270*F270</f>
        <v>0</v>
      </c>
      <c r="H270" s="191">
        <v>0.00026</v>
      </c>
      <c r="I270" s="127">
        <f>E270*H270</f>
        <v>0.08659133599999995</v>
      </c>
    </row>
    <row r="271" spans="2:9" ht="12">
      <c r="B271" s="124"/>
      <c r="D271" s="129"/>
      <c r="E271" s="163"/>
      <c r="F271" s="130"/>
      <c r="G271" s="130"/>
      <c r="I271" s="127"/>
    </row>
    <row r="272" spans="2:9" ht="24">
      <c r="B272" s="124">
        <v>612130000</v>
      </c>
      <c r="C272" s="77" t="s">
        <v>133</v>
      </c>
      <c r="D272" s="129" t="s">
        <v>58</v>
      </c>
      <c r="E272" s="163">
        <f>E270</f>
        <v>333.04359999999986</v>
      </c>
      <c r="F272" s="130"/>
      <c r="G272" s="130">
        <f>E272*F272</f>
        <v>0</v>
      </c>
      <c r="H272" s="94">
        <v>0.02048</v>
      </c>
      <c r="I272" s="127">
        <f>E272*H272</f>
        <v>6.820732927999997</v>
      </c>
    </row>
    <row r="273" spans="2:9" ht="12">
      <c r="B273" s="124"/>
      <c r="D273" s="129"/>
      <c r="E273" s="163"/>
      <c r="F273" s="130"/>
      <c r="G273" s="130"/>
      <c r="I273" s="127"/>
    </row>
    <row r="274" spans="2:9" ht="24">
      <c r="B274" s="124"/>
      <c r="C274" s="77" t="s">
        <v>134</v>
      </c>
      <c r="D274" s="129" t="s">
        <v>59</v>
      </c>
      <c r="E274" s="163">
        <f>SUM(E276:E322)</f>
        <v>164.57399999999998</v>
      </c>
      <c r="F274" s="130"/>
      <c r="G274" s="130">
        <f>E274*F274</f>
        <v>0</v>
      </c>
      <c r="H274" s="94">
        <v>0.00431</v>
      </c>
      <c r="I274" s="127">
        <f>E274*H274</f>
        <v>0.7093139399999998</v>
      </c>
    </row>
    <row r="275" spans="2:9" ht="12">
      <c r="B275" s="124"/>
      <c r="C275" s="82" t="s">
        <v>324</v>
      </c>
      <c r="D275" s="129"/>
      <c r="E275" s="163"/>
      <c r="F275" s="130"/>
      <c r="G275" s="130"/>
      <c r="I275" s="156"/>
    </row>
    <row r="276" spans="1:9" ht="15" customHeight="1">
      <c r="A276" s="89" t="s">
        <v>62</v>
      </c>
      <c r="B276" s="124" t="s">
        <v>325</v>
      </c>
      <c r="C276" s="79" t="s">
        <v>326</v>
      </c>
      <c r="D276" s="129"/>
      <c r="E276" s="77">
        <f>9.41-1-0.8</f>
        <v>7.61</v>
      </c>
      <c r="F276" s="130"/>
      <c r="G276" s="130"/>
      <c r="I276" s="127"/>
    </row>
    <row r="277" spans="1:9" ht="15.75" customHeight="1">
      <c r="A277" s="89" t="s">
        <v>74</v>
      </c>
      <c r="B277" s="124" t="s">
        <v>327</v>
      </c>
      <c r="C277" s="77" t="s">
        <v>328</v>
      </c>
      <c r="D277" s="129"/>
      <c r="E277" s="77">
        <f>11.78-0.8</f>
        <v>10.979999999999999</v>
      </c>
      <c r="F277" s="130"/>
      <c r="G277" s="130"/>
      <c r="I277" s="127"/>
    </row>
    <row r="278" spans="2:9" ht="12">
      <c r="B278" s="124"/>
      <c r="D278" s="129"/>
      <c r="E278" s="163"/>
      <c r="F278" s="130"/>
      <c r="G278" s="130"/>
      <c r="I278" s="127"/>
    </row>
    <row r="279" spans="2:9" ht="12">
      <c r="B279" s="124"/>
      <c r="C279" s="82" t="s">
        <v>298</v>
      </c>
      <c r="D279" s="129"/>
      <c r="E279" s="163"/>
      <c r="F279" s="130"/>
      <c r="G279" s="130"/>
      <c r="I279" s="127"/>
    </row>
    <row r="280" spans="2:9" ht="12">
      <c r="B280" s="124" t="s">
        <v>330</v>
      </c>
      <c r="C280" s="77" t="s">
        <v>335</v>
      </c>
      <c r="D280" s="129"/>
      <c r="E280" s="216">
        <f>1.6+3.3</f>
        <v>4.9</v>
      </c>
      <c r="F280" s="130"/>
      <c r="G280" s="130"/>
      <c r="I280" s="127"/>
    </row>
    <row r="281" spans="2:9" ht="12">
      <c r="B281" s="124" t="s">
        <v>331</v>
      </c>
      <c r="C281" s="217" t="s">
        <v>573</v>
      </c>
      <c r="D281" s="129"/>
      <c r="E281" s="217">
        <f>(1.4+0.975)*2-(0.6)</f>
        <v>4.15</v>
      </c>
      <c r="F281" s="130"/>
      <c r="G281" s="130"/>
      <c r="I281" s="127"/>
    </row>
    <row r="282" spans="2:9" ht="15" customHeight="1">
      <c r="B282" s="124" t="s">
        <v>332</v>
      </c>
      <c r="C282" s="77" t="s">
        <v>336</v>
      </c>
      <c r="D282" s="129"/>
      <c r="E282" s="216">
        <f>1.17+1.71+1.29+1.63</f>
        <v>5.8</v>
      </c>
      <c r="F282" s="130"/>
      <c r="G282" s="130"/>
      <c r="I282" s="127"/>
    </row>
    <row r="283" spans="2:9" ht="12">
      <c r="B283" s="124" t="s">
        <v>333</v>
      </c>
      <c r="C283" s="79">
        <v>4.3</v>
      </c>
      <c r="D283" s="129"/>
      <c r="E283" s="217">
        <v>4.3</v>
      </c>
      <c r="F283" s="130"/>
      <c r="G283" s="130"/>
      <c r="I283" s="127"/>
    </row>
    <row r="284" spans="2:9" ht="12">
      <c r="B284" s="124" t="s">
        <v>334</v>
      </c>
      <c r="C284" s="79">
        <v>4.32</v>
      </c>
      <c r="D284" s="129"/>
      <c r="E284" s="217">
        <v>4.32</v>
      </c>
      <c r="F284" s="130"/>
      <c r="G284" s="130"/>
      <c r="I284" s="127"/>
    </row>
    <row r="285" spans="2:9" ht="12">
      <c r="B285" s="124"/>
      <c r="C285" s="79"/>
      <c r="D285" s="129"/>
      <c r="E285" s="174"/>
      <c r="F285" s="130"/>
      <c r="G285" s="130"/>
      <c r="I285" s="127"/>
    </row>
    <row r="286" spans="2:9" ht="12">
      <c r="B286" s="124"/>
      <c r="C286" s="82" t="s">
        <v>337</v>
      </c>
      <c r="D286" s="129"/>
      <c r="E286" s="163"/>
      <c r="F286" s="130"/>
      <c r="G286" s="130"/>
      <c r="I286" s="127"/>
    </row>
    <row r="287" spans="2:9" ht="12" customHeight="1">
      <c r="B287" s="124" t="s">
        <v>339</v>
      </c>
      <c r="C287" s="77" t="s">
        <v>338</v>
      </c>
      <c r="D287" s="129"/>
      <c r="E287" s="77">
        <f>5.19+1.15</f>
        <v>6.34</v>
      </c>
      <c r="F287" s="130"/>
      <c r="G287" s="130"/>
      <c r="I287" s="127"/>
    </row>
    <row r="288" spans="2:9" ht="12" customHeight="1">
      <c r="B288" s="124" t="s">
        <v>243</v>
      </c>
      <c r="C288" s="77" t="s">
        <v>340</v>
      </c>
      <c r="D288" s="129"/>
      <c r="E288" s="77">
        <f>1.43+0.2+1.17+0.31+0.31+4.05</f>
        <v>7.47</v>
      </c>
      <c r="F288" s="130"/>
      <c r="G288" s="130"/>
      <c r="I288" s="127"/>
    </row>
    <row r="289" spans="2:9" ht="12">
      <c r="B289" s="124" t="s">
        <v>244</v>
      </c>
      <c r="C289" s="79">
        <v>4.04</v>
      </c>
      <c r="D289" s="129"/>
      <c r="E289" s="166">
        <v>4.04</v>
      </c>
      <c r="F289" s="130"/>
      <c r="G289" s="130"/>
      <c r="I289" s="127"/>
    </row>
    <row r="290" spans="2:9" ht="12" customHeight="1">
      <c r="B290" s="124" t="s">
        <v>245</v>
      </c>
      <c r="C290" s="77" t="s">
        <v>341</v>
      </c>
      <c r="D290" s="129"/>
      <c r="E290" s="77">
        <f>3.05+0.21+0.21+0.39</f>
        <v>3.86</v>
      </c>
      <c r="F290" s="130"/>
      <c r="G290" s="130"/>
      <c r="I290" s="127"/>
    </row>
    <row r="291" spans="2:9" ht="12">
      <c r="B291" s="124"/>
      <c r="C291" s="79"/>
      <c r="D291" s="129"/>
      <c r="E291" s="163"/>
      <c r="F291" s="130"/>
      <c r="G291" s="130"/>
      <c r="I291" s="127"/>
    </row>
    <row r="292" spans="2:9" ht="12">
      <c r="B292" s="124"/>
      <c r="C292" s="82" t="s">
        <v>303</v>
      </c>
      <c r="D292" s="129"/>
      <c r="E292" s="163"/>
      <c r="F292" s="130"/>
      <c r="G292" s="130"/>
      <c r="I292" s="127"/>
    </row>
    <row r="293" spans="2:9" ht="12" customHeight="1">
      <c r="B293" s="124" t="s">
        <v>251</v>
      </c>
      <c r="C293" s="77" t="s">
        <v>342</v>
      </c>
      <c r="D293" s="129"/>
      <c r="E293" s="77">
        <f>0.95+0.25+0.25+0.84+2.835</f>
        <v>5.125</v>
      </c>
      <c r="F293" s="130"/>
      <c r="G293" s="130"/>
      <c r="I293" s="127"/>
    </row>
    <row r="294" spans="2:9" ht="22.5" customHeight="1">
      <c r="B294" s="124" t="s">
        <v>252</v>
      </c>
      <c r="C294" s="77" t="s">
        <v>343</v>
      </c>
      <c r="D294" s="129"/>
      <c r="E294" s="77">
        <f>1.34+0.25+0.25+0.89+0.25+0.87+0.15+1.67+0.15+3.3+0.4+0.4+0.47+0.7</f>
        <v>11.090000000000002</v>
      </c>
      <c r="F294" s="130"/>
      <c r="G294" s="130"/>
      <c r="I294" s="127"/>
    </row>
    <row r="295" spans="2:9" ht="12">
      <c r="B295" s="124" t="s">
        <v>253</v>
      </c>
      <c r="C295" s="219">
        <v>5.32</v>
      </c>
      <c r="D295" s="129"/>
      <c r="E295" s="166">
        <v>5.32</v>
      </c>
      <c r="F295" s="130"/>
      <c r="G295" s="130"/>
      <c r="I295" s="127"/>
    </row>
    <row r="296" spans="2:9" ht="12">
      <c r="B296" s="124" t="s">
        <v>255</v>
      </c>
      <c r="C296" s="219">
        <v>3.85</v>
      </c>
      <c r="D296" s="129"/>
      <c r="E296" s="166">
        <v>3.85</v>
      </c>
      <c r="F296" s="130"/>
      <c r="G296" s="130"/>
      <c r="I296" s="127"/>
    </row>
    <row r="297" spans="2:9" ht="12">
      <c r="B297" s="124" t="s">
        <v>254</v>
      </c>
      <c r="C297" s="219">
        <v>3.82</v>
      </c>
      <c r="D297" s="129"/>
      <c r="E297" s="166">
        <v>3.82</v>
      </c>
      <c r="F297" s="130"/>
      <c r="G297" s="130"/>
      <c r="I297" s="127"/>
    </row>
    <row r="298" spans="2:9" ht="12">
      <c r="B298" s="124" t="s">
        <v>256</v>
      </c>
      <c r="C298" s="79">
        <v>4.25</v>
      </c>
      <c r="D298" s="129"/>
      <c r="E298" s="174">
        <v>4.25</v>
      </c>
      <c r="F298" s="130"/>
      <c r="G298" s="130"/>
      <c r="I298" s="127"/>
    </row>
    <row r="299" spans="2:9" ht="12">
      <c r="B299" s="124"/>
      <c r="D299" s="129"/>
      <c r="E299" s="163"/>
      <c r="F299" s="130"/>
      <c r="G299" s="130"/>
      <c r="I299" s="127"/>
    </row>
    <row r="300" spans="2:9" ht="12">
      <c r="B300" s="124"/>
      <c r="C300" s="82" t="s">
        <v>344</v>
      </c>
      <c r="D300" s="129"/>
      <c r="E300" s="163"/>
      <c r="F300" s="130"/>
      <c r="G300" s="130"/>
      <c r="I300" s="127"/>
    </row>
    <row r="301" spans="2:9" ht="12" customHeight="1">
      <c r="B301" s="124">
        <v>2090</v>
      </c>
      <c r="C301" s="79">
        <v>5.94</v>
      </c>
      <c r="D301" s="129"/>
      <c r="E301" s="166">
        <v>5.94</v>
      </c>
      <c r="F301" s="130"/>
      <c r="G301" s="130"/>
      <c r="I301" s="127"/>
    </row>
    <row r="302" spans="2:9" ht="12">
      <c r="B302" s="124"/>
      <c r="C302" s="79"/>
      <c r="D302" s="129"/>
      <c r="E302" s="174"/>
      <c r="F302" s="130"/>
      <c r="G302" s="130"/>
      <c r="I302" s="127"/>
    </row>
    <row r="303" spans="2:9" ht="12">
      <c r="B303" s="124"/>
      <c r="C303" s="82" t="s">
        <v>345</v>
      </c>
      <c r="D303" s="129"/>
      <c r="E303" s="174"/>
      <c r="F303" s="130"/>
      <c r="G303" s="130"/>
      <c r="I303" s="127"/>
    </row>
    <row r="304" spans="2:9" ht="12" customHeight="1">
      <c r="B304" s="124" t="s">
        <v>262</v>
      </c>
      <c r="C304" s="79" t="s">
        <v>346</v>
      </c>
      <c r="D304" s="129"/>
      <c r="E304" s="79">
        <f>1.015+0.2+0.2+0.63+3.3</f>
        <v>5.345</v>
      </c>
      <c r="F304" s="130"/>
      <c r="G304" s="130"/>
      <c r="I304" s="127"/>
    </row>
    <row r="305" spans="2:9" ht="12" customHeight="1">
      <c r="B305" s="124" t="s">
        <v>263</v>
      </c>
      <c r="C305" s="79" t="s">
        <v>347</v>
      </c>
      <c r="D305" s="129"/>
      <c r="E305" s="79">
        <f>2.65+0.15+2.44+1.74+0.2+0.2+2.36</f>
        <v>9.74</v>
      </c>
      <c r="F305" s="130"/>
      <c r="G305" s="130"/>
      <c r="I305" s="127"/>
    </row>
    <row r="306" spans="2:9" ht="12">
      <c r="B306" s="124" t="s">
        <v>264</v>
      </c>
      <c r="C306" s="79">
        <v>4.68</v>
      </c>
      <c r="D306" s="129"/>
      <c r="E306" s="174">
        <v>4.68</v>
      </c>
      <c r="F306" s="130"/>
      <c r="G306" s="130"/>
      <c r="I306" s="127"/>
    </row>
    <row r="307" spans="2:9" ht="12">
      <c r="B307" s="124"/>
      <c r="C307" s="79"/>
      <c r="D307" s="129"/>
      <c r="E307" s="174"/>
      <c r="F307" s="130"/>
      <c r="G307" s="130"/>
      <c r="I307" s="127"/>
    </row>
    <row r="308" spans="2:9" ht="12">
      <c r="B308" s="124"/>
      <c r="C308" s="82" t="s">
        <v>308</v>
      </c>
      <c r="D308" s="129"/>
      <c r="E308" s="174"/>
      <c r="F308" s="130"/>
      <c r="G308" s="130"/>
      <c r="I308" s="127"/>
    </row>
    <row r="309" spans="2:9" ht="12" customHeight="1">
      <c r="B309" s="124" t="s">
        <v>269</v>
      </c>
      <c r="C309" s="79" t="s">
        <v>348</v>
      </c>
      <c r="D309" s="129"/>
      <c r="E309" s="216">
        <f>0.95+0.34+0.34+2.534+0.29+0.29</f>
        <v>4.744</v>
      </c>
      <c r="F309" s="130"/>
      <c r="G309" s="130"/>
      <c r="I309" s="127"/>
    </row>
    <row r="310" spans="2:9" ht="12" customHeight="1">
      <c r="B310" s="124" t="s">
        <v>270</v>
      </c>
      <c r="C310" s="79" t="s">
        <v>349</v>
      </c>
      <c r="D310" s="129"/>
      <c r="E310" s="216">
        <f>1.93+0.36+0.34+0.98+3.47</f>
        <v>7.08</v>
      </c>
      <c r="F310" s="130"/>
      <c r="G310" s="130"/>
      <c r="I310" s="127"/>
    </row>
    <row r="311" spans="2:9" ht="12">
      <c r="B311" s="124" t="s">
        <v>271</v>
      </c>
      <c r="C311" s="79">
        <v>3.96</v>
      </c>
      <c r="D311" s="129"/>
      <c r="E311" s="217">
        <v>3.96</v>
      </c>
      <c r="F311" s="130"/>
      <c r="G311" s="130"/>
      <c r="I311" s="127"/>
    </row>
    <row r="312" spans="2:9" ht="12">
      <c r="B312" s="124" t="s">
        <v>272</v>
      </c>
      <c r="C312" s="79">
        <v>4.06</v>
      </c>
      <c r="D312" s="129"/>
      <c r="E312" s="217">
        <v>4.06</v>
      </c>
      <c r="F312" s="130"/>
      <c r="G312" s="130"/>
      <c r="I312" s="127"/>
    </row>
    <row r="313" spans="2:9" ht="12">
      <c r="B313" s="124"/>
      <c r="C313" s="79"/>
      <c r="D313" s="129"/>
      <c r="E313" s="217"/>
      <c r="F313" s="130"/>
      <c r="G313" s="130"/>
      <c r="I313" s="127"/>
    </row>
    <row r="314" spans="2:9" ht="12">
      <c r="B314" s="124"/>
      <c r="C314" s="82" t="s">
        <v>350</v>
      </c>
      <c r="D314" s="129"/>
      <c r="E314" s="217"/>
      <c r="F314" s="130"/>
      <c r="G314" s="130"/>
      <c r="I314" s="127"/>
    </row>
    <row r="315" spans="2:9" ht="12">
      <c r="B315" s="124" t="s">
        <v>277</v>
      </c>
      <c r="C315" s="79">
        <v>2.95</v>
      </c>
      <c r="D315" s="129"/>
      <c r="E315" s="217">
        <v>2.95</v>
      </c>
      <c r="F315" s="130"/>
      <c r="G315" s="130"/>
      <c r="I315" s="127"/>
    </row>
    <row r="316" spans="2:9" ht="12">
      <c r="B316" s="124" t="s">
        <v>278</v>
      </c>
      <c r="C316" s="79">
        <v>1.46</v>
      </c>
      <c r="D316" s="129"/>
      <c r="E316" s="217">
        <v>1.46</v>
      </c>
      <c r="F316" s="130"/>
      <c r="G316" s="130"/>
      <c r="I316" s="127"/>
    </row>
    <row r="317" spans="2:9" ht="12">
      <c r="B317" s="124"/>
      <c r="C317" s="79"/>
      <c r="D317" s="129"/>
      <c r="E317" s="217"/>
      <c r="F317" s="130"/>
      <c r="G317" s="130"/>
      <c r="I317" s="127"/>
    </row>
    <row r="318" spans="2:9" ht="12">
      <c r="B318" s="124"/>
      <c r="C318" s="82" t="s">
        <v>314</v>
      </c>
      <c r="D318" s="129"/>
      <c r="E318" s="217"/>
      <c r="F318" s="130"/>
      <c r="G318" s="130"/>
      <c r="I318" s="127"/>
    </row>
    <row r="319" spans="2:9" ht="12" customHeight="1">
      <c r="B319" s="124" t="s">
        <v>282</v>
      </c>
      <c r="C319" s="79" t="s">
        <v>351</v>
      </c>
      <c r="D319" s="129"/>
      <c r="E319" s="79">
        <f>1.09+0.2+0.2+0.98+3.47</f>
        <v>5.9399999999999995</v>
      </c>
      <c r="F319" s="130"/>
      <c r="G319" s="130"/>
      <c r="I319" s="127"/>
    </row>
    <row r="320" spans="2:9" ht="12" customHeight="1">
      <c r="B320" s="124" t="s">
        <v>283</v>
      </c>
      <c r="C320" s="79" t="s">
        <v>352</v>
      </c>
      <c r="D320" s="129"/>
      <c r="E320" s="79">
        <f>1.61+0.63+0.63+0.3+0.2</f>
        <v>3.37</v>
      </c>
      <c r="F320" s="130"/>
      <c r="G320" s="130"/>
      <c r="I320" s="127"/>
    </row>
    <row r="321" spans="2:9" ht="12">
      <c r="B321" s="124" t="s">
        <v>284</v>
      </c>
      <c r="C321" s="79">
        <v>4.08</v>
      </c>
      <c r="D321" s="129"/>
      <c r="E321" s="216">
        <v>4.08</v>
      </c>
      <c r="F321" s="130"/>
      <c r="G321" s="130"/>
      <c r="I321" s="127"/>
    </row>
    <row r="322" spans="2:9" ht="12">
      <c r="B322" s="124" t="s">
        <v>285</v>
      </c>
      <c r="C322" s="79">
        <v>4</v>
      </c>
      <c r="D322" s="129"/>
      <c r="E322" s="216">
        <v>4</v>
      </c>
      <c r="F322" s="130"/>
      <c r="G322" s="130"/>
      <c r="I322" s="127"/>
    </row>
    <row r="323" spans="2:9" ht="12">
      <c r="B323" s="124"/>
      <c r="C323" s="79"/>
      <c r="D323" s="129"/>
      <c r="E323" s="216"/>
      <c r="F323" s="130"/>
      <c r="G323" s="130"/>
      <c r="I323" s="127"/>
    </row>
    <row r="324" spans="2:9" ht="12">
      <c r="B324" s="124"/>
      <c r="C324" s="82" t="s">
        <v>353</v>
      </c>
      <c r="D324" s="129"/>
      <c r="E324" s="216"/>
      <c r="F324" s="130"/>
      <c r="G324" s="130"/>
      <c r="I324" s="127"/>
    </row>
    <row r="325" spans="2:9" ht="12" customHeight="1">
      <c r="B325" s="124" t="s">
        <v>291</v>
      </c>
      <c r="C325" s="79" t="s">
        <v>354</v>
      </c>
      <c r="D325" s="129"/>
      <c r="E325" s="79">
        <f>2.95+1.46</f>
        <v>4.41</v>
      </c>
      <c r="F325" s="130"/>
      <c r="G325" s="130"/>
      <c r="I325" s="127"/>
    </row>
    <row r="326" spans="2:9" ht="12">
      <c r="B326" s="124" t="s">
        <v>292</v>
      </c>
      <c r="C326" s="79">
        <v>4.64</v>
      </c>
      <c r="D326" s="129"/>
      <c r="E326" s="174">
        <v>4.64</v>
      </c>
      <c r="F326" s="130"/>
      <c r="G326" s="130"/>
      <c r="I326" s="127"/>
    </row>
    <row r="327" spans="2:9" ht="12">
      <c r="B327" s="124"/>
      <c r="C327" s="79"/>
      <c r="D327" s="129"/>
      <c r="E327" s="174"/>
      <c r="F327" s="130"/>
      <c r="G327" s="130"/>
      <c r="I327" s="127"/>
    </row>
    <row r="328" spans="2:9" ht="24">
      <c r="B328" s="124"/>
      <c r="C328" s="79" t="s">
        <v>567</v>
      </c>
      <c r="D328" s="77"/>
      <c r="E328" s="174"/>
      <c r="F328" s="130"/>
      <c r="G328" s="130"/>
      <c r="I328" s="127"/>
    </row>
    <row r="329" spans="2:9" ht="12">
      <c r="B329" s="124"/>
      <c r="C329" s="79" t="s">
        <v>568</v>
      </c>
      <c r="D329" s="129" t="s">
        <v>58</v>
      </c>
      <c r="E329" s="79">
        <f>2*0.3*(2.69+2.39+2.5+2.05+2.5+2.15+1.66)</f>
        <v>9.564</v>
      </c>
      <c r="F329" s="130"/>
      <c r="G329" s="130">
        <f>E329*F329</f>
        <v>0</v>
      </c>
      <c r="H329" s="94">
        <v>0.0327</v>
      </c>
      <c r="I329" s="127">
        <f>E329*H329</f>
        <v>0.3127428</v>
      </c>
    </row>
    <row r="330" spans="2:9" ht="12">
      <c r="B330" s="124"/>
      <c r="C330" s="79"/>
      <c r="D330" s="129"/>
      <c r="E330" s="79"/>
      <c r="F330" s="130"/>
      <c r="G330" s="130"/>
      <c r="I330" s="127"/>
    </row>
    <row r="331" spans="2:9" ht="24">
      <c r="B331" s="124">
        <v>612403399</v>
      </c>
      <c r="C331" s="79" t="s">
        <v>135</v>
      </c>
      <c r="D331" s="129" t="s">
        <v>58</v>
      </c>
      <c r="E331" s="174">
        <f>SUM(E333:E344)</f>
        <v>11.574</v>
      </c>
      <c r="F331" s="130"/>
      <c r="G331" s="130">
        <f>E331*F331</f>
        <v>0</v>
      </c>
      <c r="H331" s="94">
        <v>0.10712</v>
      </c>
      <c r="I331" s="127">
        <f>E331*H331</f>
        <v>1.2398068800000002</v>
      </c>
    </row>
    <row r="332" spans="2:9" ht="15" customHeight="1">
      <c r="B332" s="124"/>
      <c r="C332" s="79" t="s">
        <v>531</v>
      </c>
      <c r="D332" s="129"/>
      <c r="E332" s="163"/>
      <c r="F332" s="130"/>
      <c r="G332" s="130"/>
      <c r="I332" s="127"/>
    </row>
    <row r="333" spans="2:9" ht="36">
      <c r="B333" s="124"/>
      <c r="C333" s="79" t="s">
        <v>528</v>
      </c>
      <c r="D333" s="129"/>
      <c r="E333" s="163">
        <f>31*0.07</f>
        <v>2.1700000000000004</v>
      </c>
      <c r="F333" s="130"/>
      <c r="G333" s="130"/>
      <c r="I333" s="127"/>
    </row>
    <row r="334" spans="2:9" ht="12">
      <c r="B334" s="124"/>
      <c r="D334" s="129"/>
      <c r="E334" s="163"/>
      <c r="F334" s="130"/>
      <c r="G334" s="130"/>
      <c r="I334" s="127"/>
    </row>
    <row r="335" spans="2:9" ht="12">
      <c r="B335" s="124"/>
      <c r="C335" s="79" t="s">
        <v>532</v>
      </c>
      <c r="D335" s="129"/>
      <c r="E335" s="163"/>
      <c r="F335" s="130"/>
      <c r="G335" s="130"/>
      <c r="I335" s="127"/>
    </row>
    <row r="336" spans="2:9" ht="24">
      <c r="B336" s="124"/>
      <c r="C336" s="79" t="s">
        <v>529</v>
      </c>
      <c r="D336" s="129"/>
      <c r="E336" s="163">
        <f>8.5*0.1</f>
        <v>0.8500000000000001</v>
      </c>
      <c r="F336" s="130"/>
      <c r="G336" s="130"/>
      <c r="I336" s="127"/>
    </row>
    <row r="337" spans="2:9" ht="12">
      <c r="B337" s="124"/>
      <c r="D337" s="129"/>
      <c r="E337" s="163"/>
      <c r="F337" s="130"/>
      <c r="G337" s="130"/>
      <c r="I337" s="127"/>
    </row>
    <row r="338" spans="2:9" ht="13.5" customHeight="1">
      <c r="B338" s="124"/>
      <c r="C338" s="79" t="s">
        <v>533</v>
      </c>
      <c r="D338" s="129"/>
      <c r="E338" s="163"/>
      <c r="F338" s="130"/>
      <c r="G338" s="130"/>
      <c r="I338" s="127"/>
    </row>
    <row r="339" spans="2:9" ht="24">
      <c r="B339" s="124"/>
      <c r="C339" s="79" t="s">
        <v>530</v>
      </c>
      <c r="D339" s="129"/>
      <c r="E339" s="163">
        <f>19.5*0.15</f>
        <v>2.925</v>
      </c>
      <c r="F339" s="130"/>
      <c r="G339" s="130"/>
      <c r="I339" s="127"/>
    </row>
    <row r="340" spans="2:9" ht="12">
      <c r="B340" s="124"/>
      <c r="D340" s="129"/>
      <c r="E340" s="163"/>
      <c r="F340" s="130"/>
      <c r="G340" s="130"/>
      <c r="I340" s="127"/>
    </row>
    <row r="341" spans="2:9" ht="12">
      <c r="B341" s="124"/>
      <c r="C341" s="79" t="s">
        <v>214</v>
      </c>
      <c r="D341" s="129"/>
      <c r="E341" s="163"/>
      <c r="F341" s="130"/>
      <c r="G341" s="130"/>
      <c r="I341" s="127"/>
    </row>
    <row r="342" spans="2:9" ht="24">
      <c r="B342" s="124"/>
      <c r="C342" s="79" t="s">
        <v>534</v>
      </c>
      <c r="D342" s="129"/>
      <c r="E342" s="163">
        <f>110*0.05</f>
        <v>5.5</v>
      </c>
      <c r="F342" s="130"/>
      <c r="G342" s="130"/>
      <c r="I342" s="127"/>
    </row>
    <row r="343" spans="2:9" ht="12">
      <c r="B343" s="124"/>
      <c r="C343" s="79"/>
      <c r="D343" s="129"/>
      <c r="E343" s="163"/>
      <c r="F343" s="130"/>
      <c r="G343" s="130"/>
      <c r="I343" s="127"/>
    </row>
    <row r="344" spans="2:9" ht="12">
      <c r="B344" s="124"/>
      <c r="C344" s="79" t="s">
        <v>582</v>
      </c>
      <c r="D344" s="129"/>
      <c r="E344" s="163">
        <f>4.3*0.03</f>
        <v>0.129</v>
      </c>
      <c r="F344" s="130"/>
      <c r="G344" s="130"/>
      <c r="I344" s="127"/>
    </row>
    <row r="345" spans="2:9" ht="12">
      <c r="B345" s="124"/>
      <c r="C345" s="77" t="s">
        <v>583</v>
      </c>
      <c r="D345" s="77"/>
      <c r="E345" s="163"/>
      <c r="F345" s="130"/>
      <c r="G345" s="130"/>
      <c r="I345" s="127"/>
    </row>
    <row r="346" spans="2:9" ht="12">
      <c r="B346" s="124"/>
      <c r="D346" s="77"/>
      <c r="E346" s="163"/>
      <c r="F346" s="130"/>
      <c r="G346" s="130"/>
      <c r="I346" s="127"/>
    </row>
    <row r="347" spans="2:9" ht="36">
      <c r="B347" s="124"/>
      <c r="C347" s="79" t="s">
        <v>536</v>
      </c>
      <c r="D347" s="129" t="s">
        <v>71</v>
      </c>
      <c r="E347" s="163">
        <v>51</v>
      </c>
      <c r="F347" s="130"/>
      <c r="G347" s="130">
        <f>E347*F347</f>
        <v>0</v>
      </c>
      <c r="H347" s="94">
        <v>0.0147</v>
      </c>
      <c r="I347" s="127">
        <f>E347*H347</f>
        <v>0.7496999999999999</v>
      </c>
    </row>
    <row r="348" spans="2:9" ht="24">
      <c r="B348" s="124"/>
      <c r="C348" s="79" t="s">
        <v>535</v>
      </c>
      <c r="D348" s="129"/>
      <c r="E348" s="163"/>
      <c r="F348" s="130"/>
      <c r="G348" s="130"/>
      <c r="I348" s="127"/>
    </row>
    <row r="349" spans="2:9" ht="12">
      <c r="B349" s="124"/>
      <c r="C349" s="79"/>
      <c r="D349" s="129"/>
      <c r="E349" s="163"/>
      <c r="F349" s="130"/>
      <c r="G349" s="130"/>
      <c r="I349" s="127"/>
    </row>
    <row r="350" spans="2:9" ht="36" customHeight="1">
      <c r="B350" s="124"/>
      <c r="C350" s="79" t="s">
        <v>537</v>
      </c>
      <c r="D350" s="129" t="s">
        <v>71</v>
      </c>
      <c r="E350" s="163">
        <v>6</v>
      </c>
      <c r="F350" s="130"/>
      <c r="G350" s="130">
        <f>E350*F350</f>
        <v>0</v>
      </c>
      <c r="H350" s="94">
        <v>0.0147</v>
      </c>
      <c r="I350" s="127">
        <f>E350*H350</f>
        <v>0.0882</v>
      </c>
    </row>
    <row r="351" spans="2:9" ht="12">
      <c r="B351" s="124"/>
      <c r="C351" s="225"/>
      <c r="D351" s="96"/>
      <c r="E351" s="163"/>
      <c r="F351" s="130"/>
      <c r="G351" s="130"/>
      <c r="I351" s="127"/>
    </row>
    <row r="352" spans="2:9" ht="24">
      <c r="B352" s="124"/>
      <c r="C352" s="71" t="s">
        <v>91</v>
      </c>
      <c r="D352" s="86" t="s">
        <v>51</v>
      </c>
      <c r="E352" s="165" t="s">
        <v>31</v>
      </c>
      <c r="F352" s="132"/>
      <c r="G352" s="137">
        <f>SUM(G353:G388)</f>
        <v>0</v>
      </c>
      <c r="H352" s="133"/>
      <c r="I352" s="127"/>
    </row>
    <row r="353" spans="2:9" ht="24">
      <c r="B353" s="124" t="s">
        <v>150</v>
      </c>
      <c r="C353" s="77" t="s">
        <v>167</v>
      </c>
      <c r="D353" s="134" t="s">
        <v>58</v>
      </c>
      <c r="E353" s="174">
        <f>E357</f>
        <v>91.03</v>
      </c>
      <c r="F353" s="132"/>
      <c r="G353" s="130">
        <f>E353*F353</f>
        <v>0</v>
      </c>
      <c r="H353" s="133">
        <v>0.00942</v>
      </c>
      <c r="I353" s="127"/>
    </row>
    <row r="354" spans="2:9" ht="39" customHeight="1">
      <c r="B354" s="124"/>
      <c r="C354" s="77" t="s">
        <v>355</v>
      </c>
      <c r="D354" s="134"/>
      <c r="E354" s="163"/>
      <c r="F354" s="132"/>
      <c r="G354" s="130"/>
      <c r="H354" s="133"/>
      <c r="I354" s="127"/>
    </row>
    <row r="355" spans="2:9" ht="12">
      <c r="B355" s="124">
        <v>771591111</v>
      </c>
      <c r="C355" s="45" t="s">
        <v>92</v>
      </c>
      <c r="D355" s="134" t="s">
        <v>58</v>
      </c>
      <c r="E355" s="163">
        <f>E353</f>
        <v>91.03</v>
      </c>
      <c r="F355" s="132"/>
      <c r="G355" s="130">
        <f>E355*F355</f>
        <v>0</v>
      </c>
      <c r="H355" s="133">
        <f>0.001*E355</f>
        <v>0.09103</v>
      </c>
      <c r="I355" s="127"/>
    </row>
    <row r="356" spans="2:9" ht="12">
      <c r="B356" s="124"/>
      <c r="C356" s="45"/>
      <c r="D356" s="134"/>
      <c r="E356" s="163"/>
      <c r="F356" s="132"/>
      <c r="G356" s="130"/>
      <c r="H356" s="133"/>
      <c r="I356" s="127"/>
    </row>
    <row r="357" spans="2:9" ht="24">
      <c r="B357" s="124"/>
      <c r="C357" s="79" t="s">
        <v>149</v>
      </c>
      <c r="D357" s="129"/>
      <c r="E357" s="174">
        <f>SUM(E359:E388)</f>
        <v>91.03</v>
      </c>
      <c r="F357" s="132"/>
      <c r="G357" s="130"/>
      <c r="H357" s="133"/>
      <c r="I357" s="127"/>
    </row>
    <row r="358" spans="2:9" ht="12">
      <c r="B358" s="124"/>
      <c r="C358" s="79"/>
      <c r="D358" s="129"/>
      <c r="E358" s="174"/>
      <c r="F358" s="132"/>
      <c r="G358" s="130"/>
      <c r="H358" s="133"/>
      <c r="I358" s="127"/>
    </row>
    <row r="359" spans="2:9" ht="12">
      <c r="B359" s="124"/>
      <c r="C359" s="82" t="s">
        <v>356</v>
      </c>
      <c r="D359" s="129" t="s">
        <v>58</v>
      </c>
      <c r="E359" s="174">
        <v>12.37</v>
      </c>
      <c r="F359" s="132"/>
      <c r="G359" s="130"/>
      <c r="H359" s="133"/>
      <c r="I359" s="127"/>
    </row>
    <row r="360" spans="2:9" ht="24">
      <c r="B360" s="124"/>
      <c r="C360" s="79" t="s">
        <v>357</v>
      </c>
      <c r="D360" s="129"/>
      <c r="E360" s="174"/>
      <c r="F360" s="132"/>
      <c r="G360" s="130"/>
      <c r="H360" s="133"/>
      <c r="I360" s="127"/>
    </row>
    <row r="361" spans="2:9" ht="12">
      <c r="B361" s="124"/>
      <c r="C361" s="79"/>
      <c r="D361" s="129"/>
      <c r="E361" s="174"/>
      <c r="F361" s="132"/>
      <c r="G361" s="130"/>
      <c r="H361" s="133"/>
      <c r="I361" s="127"/>
    </row>
    <row r="362" spans="2:9" ht="12">
      <c r="B362" s="124"/>
      <c r="C362" s="82" t="s">
        <v>329</v>
      </c>
      <c r="D362" s="129" t="s">
        <v>58</v>
      </c>
      <c r="E362" s="168">
        <v>10.72</v>
      </c>
      <c r="F362" s="132"/>
      <c r="G362" s="130"/>
      <c r="H362" s="133"/>
      <c r="I362" s="127"/>
    </row>
    <row r="363" spans="2:9" ht="24">
      <c r="B363" s="124"/>
      <c r="C363" s="79" t="s">
        <v>358</v>
      </c>
      <c r="D363" s="77"/>
      <c r="E363" s="163"/>
      <c r="F363" s="132"/>
      <c r="G363" s="130"/>
      <c r="H363" s="133"/>
      <c r="I363" s="127"/>
    </row>
    <row r="364" spans="2:9" ht="12">
      <c r="B364" s="124"/>
      <c r="C364" s="79"/>
      <c r="D364" s="129"/>
      <c r="E364" s="174"/>
      <c r="F364" s="132"/>
      <c r="G364" s="130"/>
      <c r="H364" s="133"/>
      <c r="I364" s="127"/>
    </row>
    <row r="365" spans="2:9" ht="12">
      <c r="B365" s="124"/>
      <c r="C365" s="82" t="s">
        <v>359</v>
      </c>
      <c r="D365" s="129"/>
      <c r="E365" s="174"/>
      <c r="F365" s="132"/>
      <c r="G365" s="130"/>
      <c r="H365" s="133"/>
      <c r="I365" s="127"/>
    </row>
    <row r="366" spans="2:9" ht="24">
      <c r="B366" s="124"/>
      <c r="C366" s="79" t="s">
        <v>360</v>
      </c>
      <c r="D366" s="129" t="s">
        <v>58</v>
      </c>
      <c r="E366" s="168">
        <f>12.31</f>
        <v>12.31</v>
      </c>
      <c r="F366" s="132"/>
      <c r="G366" s="130"/>
      <c r="H366" s="133"/>
      <c r="I366" s="127"/>
    </row>
    <row r="367" spans="2:9" ht="12">
      <c r="B367" s="124"/>
      <c r="C367" s="79"/>
      <c r="D367" s="129"/>
      <c r="E367" s="174"/>
      <c r="F367" s="132"/>
      <c r="G367" s="130"/>
      <c r="H367" s="133"/>
      <c r="I367" s="127"/>
    </row>
    <row r="368" spans="2:9" ht="12">
      <c r="B368" s="124"/>
      <c r="C368" s="82" t="s">
        <v>362</v>
      </c>
      <c r="D368" s="129"/>
      <c r="E368" s="174"/>
      <c r="F368" s="132"/>
      <c r="G368" s="130"/>
      <c r="H368" s="133"/>
      <c r="I368" s="127"/>
    </row>
    <row r="369" spans="2:9" ht="24">
      <c r="B369" s="124"/>
      <c r="C369" s="79" t="s">
        <v>361</v>
      </c>
      <c r="D369" s="129" t="s">
        <v>58</v>
      </c>
      <c r="E369" s="168">
        <v>18.18</v>
      </c>
      <c r="F369" s="132"/>
      <c r="G369" s="130"/>
      <c r="H369" s="133"/>
      <c r="I369" s="127"/>
    </row>
    <row r="370" spans="2:9" ht="12">
      <c r="B370" s="124"/>
      <c r="C370" s="79"/>
      <c r="D370" s="129"/>
      <c r="E370" s="174"/>
      <c r="F370" s="132"/>
      <c r="G370" s="130"/>
      <c r="H370" s="133"/>
      <c r="I370" s="127"/>
    </row>
    <row r="371" spans="2:9" ht="12">
      <c r="B371" s="124"/>
      <c r="C371" s="82" t="s">
        <v>363</v>
      </c>
      <c r="D371" s="129"/>
      <c r="E371" s="163"/>
      <c r="F371" s="132"/>
      <c r="G371" s="130"/>
      <c r="H371" s="133"/>
      <c r="I371" s="127"/>
    </row>
    <row r="372" spans="2:9" ht="24">
      <c r="B372" s="124"/>
      <c r="C372" s="79" t="s">
        <v>364</v>
      </c>
      <c r="D372" s="129" t="s">
        <v>58</v>
      </c>
      <c r="E372" s="163">
        <v>3.2</v>
      </c>
      <c r="F372" s="132"/>
      <c r="G372" s="130"/>
      <c r="H372" s="133"/>
      <c r="I372" s="127"/>
    </row>
    <row r="373" spans="2:9" ht="12">
      <c r="B373" s="124"/>
      <c r="C373" s="79"/>
      <c r="D373" s="129"/>
      <c r="E373" s="163"/>
      <c r="F373" s="132"/>
      <c r="G373" s="130"/>
      <c r="H373" s="133"/>
      <c r="I373" s="127"/>
    </row>
    <row r="374" spans="2:9" ht="12">
      <c r="B374" s="124"/>
      <c r="C374" s="82" t="s">
        <v>365</v>
      </c>
      <c r="D374" s="129"/>
      <c r="E374" s="163"/>
      <c r="F374" s="132"/>
      <c r="G374" s="130"/>
      <c r="H374" s="133"/>
      <c r="I374" s="127"/>
    </row>
    <row r="375" spans="2:9" ht="24">
      <c r="B375" s="124"/>
      <c r="C375" s="79" t="s">
        <v>366</v>
      </c>
      <c r="D375" s="129" t="s">
        <v>58</v>
      </c>
      <c r="E375" s="163">
        <v>7.54</v>
      </c>
      <c r="F375" s="132"/>
      <c r="G375" s="130"/>
      <c r="H375" s="133"/>
      <c r="I375" s="127"/>
    </row>
    <row r="376" spans="2:9" ht="12">
      <c r="B376" s="124"/>
      <c r="C376" s="79"/>
      <c r="D376" s="129"/>
      <c r="E376" s="163"/>
      <c r="F376" s="132"/>
      <c r="G376" s="130"/>
      <c r="H376" s="133"/>
      <c r="I376" s="127"/>
    </row>
    <row r="377" spans="2:9" ht="12">
      <c r="B377" s="124"/>
      <c r="C377" s="82" t="s">
        <v>367</v>
      </c>
      <c r="D377" s="129"/>
      <c r="E377" s="163"/>
      <c r="F377" s="132"/>
      <c r="G377" s="130"/>
      <c r="H377" s="133"/>
      <c r="I377" s="127"/>
    </row>
    <row r="378" spans="2:9" ht="24">
      <c r="B378" s="124"/>
      <c r="C378" s="79" t="s">
        <v>368</v>
      </c>
      <c r="D378" s="129" t="s">
        <v>58</v>
      </c>
      <c r="E378" s="163">
        <v>9.45</v>
      </c>
      <c r="F378" s="132"/>
      <c r="G378" s="130"/>
      <c r="H378" s="133"/>
      <c r="I378" s="127"/>
    </row>
    <row r="379" spans="2:9" ht="12">
      <c r="B379" s="124"/>
      <c r="C379" s="79"/>
      <c r="D379" s="129"/>
      <c r="E379" s="163"/>
      <c r="F379" s="132"/>
      <c r="G379" s="130"/>
      <c r="H379" s="133"/>
      <c r="I379" s="127"/>
    </row>
    <row r="380" spans="2:9" ht="12">
      <c r="B380" s="124"/>
      <c r="C380" s="82" t="s">
        <v>369</v>
      </c>
      <c r="D380" s="129"/>
      <c r="E380" s="163"/>
      <c r="F380" s="132"/>
      <c r="G380" s="130"/>
      <c r="H380" s="133"/>
      <c r="I380" s="127"/>
    </row>
    <row r="381" spans="2:9" ht="24">
      <c r="B381" s="124"/>
      <c r="C381" s="79" t="s">
        <v>370</v>
      </c>
      <c r="D381" s="129" t="s">
        <v>58</v>
      </c>
      <c r="E381" s="163">
        <v>3.46</v>
      </c>
      <c r="F381" s="132"/>
      <c r="G381" s="130"/>
      <c r="H381" s="133"/>
      <c r="I381" s="127"/>
    </row>
    <row r="382" spans="2:9" ht="12">
      <c r="B382" s="124"/>
      <c r="C382" s="79"/>
      <c r="D382" s="129"/>
      <c r="E382" s="163"/>
      <c r="F382" s="132"/>
      <c r="G382" s="130"/>
      <c r="H382" s="133"/>
      <c r="I382" s="127"/>
    </row>
    <row r="383" spans="2:9" ht="12">
      <c r="B383" s="124"/>
      <c r="C383" s="82" t="s">
        <v>371</v>
      </c>
      <c r="D383" s="129"/>
      <c r="E383" s="163"/>
      <c r="F383" s="132"/>
      <c r="G383" s="130"/>
      <c r="H383" s="133"/>
      <c r="I383" s="127"/>
    </row>
    <row r="384" spans="2:9" ht="24">
      <c r="B384" s="124"/>
      <c r="C384" s="79" t="s">
        <v>372</v>
      </c>
      <c r="D384" s="129" t="s">
        <v>58</v>
      </c>
      <c r="E384" s="167">
        <v>9.34</v>
      </c>
      <c r="F384" s="132"/>
      <c r="G384" s="130"/>
      <c r="H384" s="133"/>
      <c r="I384" s="127"/>
    </row>
    <row r="385" spans="2:9" ht="12">
      <c r="B385" s="124"/>
      <c r="C385" s="79"/>
      <c r="D385" s="129"/>
      <c r="E385" s="167"/>
      <c r="F385" s="132"/>
      <c r="G385" s="130"/>
      <c r="H385" s="133"/>
      <c r="I385" s="127"/>
    </row>
    <row r="386" spans="2:9" ht="12">
      <c r="B386" s="124"/>
      <c r="C386" s="82" t="s">
        <v>373</v>
      </c>
      <c r="D386" s="129"/>
      <c r="E386" s="167"/>
      <c r="F386" s="132"/>
      <c r="G386" s="130"/>
      <c r="H386" s="133"/>
      <c r="I386" s="127"/>
    </row>
    <row r="387" spans="2:9" ht="28.5" customHeight="1">
      <c r="B387" s="124"/>
      <c r="C387" s="79" t="s">
        <v>374</v>
      </c>
      <c r="D387" s="129" t="s">
        <v>58</v>
      </c>
      <c r="E387" s="167">
        <v>3.46</v>
      </c>
      <c r="F387" s="132"/>
      <c r="G387" s="130"/>
      <c r="H387" s="133"/>
      <c r="I387" s="127"/>
    </row>
    <row r="388" spans="2:9" ht="12">
      <c r="B388" s="124"/>
      <c r="C388" s="45" t="s">
        <v>159</v>
      </c>
      <c r="D388" s="129" t="s">
        <v>68</v>
      </c>
      <c r="E388" s="167">
        <v>1</v>
      </c>
      <c r="F388" s="132"/>
      <c r="G388" s="130">
        <v>0</v>
      </c>
      <c r="H388" s="133"/>
      <c r="I388" s="127"/>
    </row>
    <row r="389" spans="2:9" ht="12">
      <c r="B389" s="124"/>
      <c r="C389" s="45"/>
      <c r="D389" s="129"/>
      <c r="E389" s="167"/>
      <c r="F389" s="132"/>
      <c r="G389" s="130"/>
      <c r="H389" s="133"/>
      <c r="I389" s="127"/>
    </row>
    <row r="390" spans="2:9" ht="12">
      <c r="B390" s="124"/>
      <c r="C390" s="79"/>
      <c r="D390" s="129"/>
      <c r="E390" s="167"/>
      <c r="F390" s="132"/>
      <c r="G390" s="130"/>
      <c r="H390" s="133"/>
      <c r="I390" s="127"/>
    </row>
    <row r="391" spans="1:9" ht="12.75">
      <c r="A391" s="89" t="s">
        <v>82</v>
      </c>
      <c r="B391" s="79"/>
      <c r="C391" s="87" t="s">
        <v>72</v>
      </c>
      <c r="D391" s="71" t="s">
        <v>51</v>
      </c>
      <c r="E391" s="180" t="s">
        <v>31</v>
      </c>
      <c r="F391" s="126"/>
      <c r="G391" s="137">
        <f>SUM(G392:G402)</f>
        <v>0</v>
      </c>
      <c r="H391" s="133"/>
      <c r="I391" s="127"/>
    </row>
    <row r="392" spans="1:9" ht="12">
      <c r="A392" s="89" t="s">
        <v>83</v>
      </c>
      <c r="B392" s="79"/>
      <c r="C392" s="45" t="s">
        <v>157</v>
      </c>
      <c r="D392" s="134" t="s">
        <v>68</v>
      </c>
      <c r="E392" s="163">
        <v>1</v>
      </c>
      <c r="F392" s="141"/>
      <c r="G392" s="130">
        <f aca="true" t="shared" si="2" ref="G392:G402">E392*F392</f>
        <v>0</v>
      </c>
      <c r="H392" s="133"/>
      <c r="I392" s="127"/>
    </row>
    <row r="393" spans="1:9" ht="27.75" customHeight="1">
      <c r="A393" s="89" t="s">
        <v>84</v>
      </c>
      <c r="B393" s="79"/>
      <c r="C393" s="45" t="s">
        <v>155</v>
      </c>
      <c r="D393" s="134" t="s">
        <v>68</v>
      </c>
      <c r="E393" s="163">
        <v>1</v>
      </c>
      <c r="F393" s="141"/>
      <c r="G393" s="130">
        <f t="shared" si="2"/>
        <v>0</v>
      </c>
      <c r="H393" s="133"/>
      <c r="I393" s="127"/>
    </row>
    <row r="394" spans="1:9" ht="24">
      <c r="A394" s="89" t="s">
        <v>85</v>
      </c>
      <c r="B394" s="79">
        <v>94910</v>
      </c>
      <c r="C394" s="45" t="s">
        <v>93</v>
      </c>
      <c r="D394" s="134" t="s">
        <v>58</v>
      </c>
      <c r="E394" s="163">
        <v>100</v>
      </c>
      <c r="F394" s="57"/>
      <c r="G394" s="130">
        <f t="shared" si="2"/>
        <v>0</v>
      </c>
      <c r="H394" s="133"/>
      <c r="I394" s="127"/>
    </row>
    <row r="395" spans="1:9" ht="24">
      <c r="A395" s="89" t="s">
        <v>86</v>
      </c>
      <c r="B395" s="79"/>
      <c r="C395" s="45" t="s">
        <v>94</v>
      </c>
      <c r="D395" s="134" t="s">
        <v>58</v>
      </c>
      <c r="E395" s="163">
        <v>150</v>
      </c>
      <c r="F395" s="57"/>
      <c r="G395" s="130">
        <f t="shared" si="2"/>
        <v>0</v>
      </c>
      <c r="H395" s="133"/>
      <c r="I395" s="127"/>
    </row>
    <row r="396" spans="2:9" ht="24">
      <c r="B396" s="79"/>
      <c r="C396" s="239" t="s">
        <v>156</v>
      </c>
      <c r="D396" s="134" t="s">
        <v>71</v>
      </c>
      <c r="E396" s="314">
        <v>8</v>
      </c>
      <c r="F396" s="57"/>
      <c r="G396" s="130">
        <f t="shared" si="2"/>
        <v>0</v>
      </c>
      <c r="H396" s="133"/>
      <c r="I396" s="127"/>
    </row>
    <row r="397" spans="2:9" ht="24">
      <c r="B397" s="79"/>
      <c r="C397" s="45" t="s">
        <v>375</v>
      </c>
      <c r="D397" s="134" t="s">
        <v>71</v>
      </c>
      <c r="E397" s="314">
        <v>7</v>
      </c>
      <c r="F397" s="57"/>
      <c r="G397" s="130">
        <f>E397*F397</f>
        <v>0</v>
      </c>
      <c r="H397" s="133"/>
      <c r="I397" s="127"/>
    </row>
    <row r="398" spans="2:9" ht="24">
      <c r="B398" s="79"/>
      <c r="C398" s="45" t="s">
        <v>376</v>
      </c>
      <c r="D398" s="134" t="s">
        <v>71</v>
      </c>
      <c r="E398" s="314">
        <v>1</v>
      </c>
      <c r="F398" s="57"/>
      <c r="G398" s="130">
        <f>E398*F398</f>
        <v>0</v>
      </c>
      <c r="H398" s="133"/>
      <c r="I398" s="127"/>
    </row>
    <row r="399" spans="2:9" ht="27.75" customHeight="1">
      <c r="B399" s="79"/>
      <c r="C399" s="45" t="s">
        <v>377</v>
      </c>
      <c r="D399" s="134" t="s">
        <v>71</v>
      </c>
      <c r="E399" s="314">
        <v>2</v>
      </c>
      <c r="F399" s="57"/>
      <c r="G399" s="130">
        <f>E399*F399</f>
        <v>0</v>
      </c>
      <c r="H399" s="133"/>
      <c r="I399" s="127"/>
    </row>
    <row r="400" spans="2:9" ht="24" customHeight="1">
      <c r="B400" s="79"/>
      <c r="C400" s="45" t="s">
        <v>378</v>
      </c>
      <c r="D400" s="134" t="s">
        <v>71</v>
      </c>
      <c r="E400" s="314">
        <v>1</v>
      </c>
      <c r="F400" s="57"/>
      <c r="G400" s="130">
        <f>E400*F400</f>
        <v>0</v>
      </c>
      <c r="H400" s="133"/>
      <c r="I400" s="127"/>
    </row>
    <row r="401" spans="2:9" ht="35.25" customHeight="1">
      <c r="B401" s="79"/>
      <c r="C401" s="45" t="s">
        <v>443</v>
      </c>
      <c r="D401" s="134" t="s">
        <v>71</v>
      </c>
      <c r="E401" s="314">
        <v>1</v>
      </c>
      <c r="F401" s="57"/>
      <c r="G401" s="130">
        <f>E401*F401</f>
        <v>0</v>
      </c>
      <c r="H401" s="133"/>
      <c r="I401" s="127"/>
    </row>
    <row r="402" spans="1:9" ht="12">
      <c r="A402" s="89" t="s">
        <v>87</v>
      </c>
      <c r="B402" s="79"/>
      <c r="C402" s="45" t="s">
        <v>159</v>
      </c>
      <c r="D402" s="134" t="s">
        <v>17</v>
      </c>
      <c r="E402" s="163">
        <f>I268</f>
        <v>10.007087883999997</v>
      </c>
      <c r="F402" s="88"/>
      <c r="G402" s="130">
        <f t="shared" si="2"/>
        <v>0</v>
      </c>
      <c r="H402" s="133"/>
      <c r="I402" s="127"/>
    </row>
    <row r="403" spans="2:9" ht="12">
      <c r="B403" s="124"/>
      <c r="C403" s="79"/>
      <c r="D403" s="129"/>
      <c r="E403" s="167"/>
      <c r="F403" s="132"/>
      <c r="G403" s="130"/>
      <c r="H403" s="133"/>
      <c r="I403" s="127"/>
    </row>
    <row r="404" spans="2:14" ht="20.25" customHeight="1">
      <c r="B404" s="124"/>
      <c r="C404" s="86" t="s">
        <v>154</v>
      </c>
      <c r="D404" s="136" t="s">
        <v>51</v>
      </c>
      <c r="E404" s="192" t="s">
        <v>31</v>
      </c>
      <c r="F404" s="132"/>
      <c r="G404" s="137">
        <f>SUM(G405:G411)</f>
        <v>0</v>
      </c>
      <c r="H404" s="133"/>
      <c r="I404" s="127"/>
      <c r="L404" s="131"/>
      <c r="M404" s="131"/>
      <c r="N404" s="131"/>
    </row>
    <row r="405" spans="1:14" ht="60">
      <c r="A405" s="89" t="s">
        <v>78</v>
      </c>
      <c r="B405" s="79">
        <v>77147</v>
      </c>
      <c r="C405" s="55" t="s">
        <v>151</v>
      </c>
      <c r="D405" s="134" t="s">
        <v>58</v>
      </c>
      <c r="E405" s="163">
        <f>90*1.1</f>
        <v>99.00000000000001</v>
      </c>
      <c r="F405" s="132"/>
      <c r="G405" s="130">
        <f>E405*F405</f>
        <v>0</v>
      </c>
      <c r="H405" s="133"/>
      <c r="I405" s="127"/>
      <c r="L405" s="131"/>
      <c r="M405" s="131"/>
      <c r="N405" s="131"/>
    </row>
    <row r="406" spans="1:14" ht="12">
      <c r="A406" s="89" t="s">
        <v>79</v>
      </c>
      <c r="B406" s="79"/>
      <c r="C406" s="77" t="s">
        <v>379</v>
      </c>
      <c r="D406" s="134"/>
      <c r="E406" s="163"/>
      <c r="F406" s="132"/>
      <c r="G406" s="130"/>
      <c r="H406" s="133"/>
      <c r="I406" s="127"/>
      <c r="L406" s="131"/>
      <c r="M406" s="131"/>
      <c r="N406" s="131"/>
    </row>
    <row r="407" spans="2:16" ht="12">
      <c r="B407" s="79"/>
      <c r="D407" s="134"/>
      <c r="E407" s="163"/>
      <c r="F407" s="132"/>
      <c r="G407" s="130"/>
      <c r="H407" s="133"/>
      <c r="I407" s="127"/>
      <c r="P407" s="144"/>
    </row>
    <row r="408" spans="1:9" ht="36">
      <c r="A408" s="89" t="s">
        <v>80</v>
      </c>
      <c r="B408" s="79">
        <v>77147</v>
      </c>
      <c r="C408" s="45" t="s">
        <v>380</v>
      </c>
      <c r="D408" s="134" t="s">
        <v>58</v>
      </c>
      <c r="E408" s="163">
        <v>90</v>
      </c>
      <c r="F408" s="132"/>
      <c r="G408" s="130">
        <f>E408*F408</f>
        <v>0</v>
      </c>
      <c r="H408" s="133"/>
      <c r="I408" s="127"/>
    </row>
    <row r="409" spans="2:9" ht="12">
      <c r="B409" s="79"/>
      <c r="C409" s="45"/>
      <c r="D409" s="134"/>
      <c r="E409" s="163"/>
      <c r="F409" s="132"/>
      <c r="G409" s="130"/>
      <c r="H409" s="133"/>
      <c r="I409" s="127"/>
    </row>
    <row r="410" spans="1:9" ht="36">
      <c r="A410" s="89" t="s">
        <v>81</v>
      </c>
      <c r="B410" s="79">
        <v>77159</v>
      </c>
      <c r="C410" s="45" t="s">
        <v>153</v>
      </c>
      <c r="D410" s="134" t="s">
        <v>71</v>
      </c>
      <c r="E410" s="163">
        <f>4*6*5+4*4*4</f>
        <v>184</v>
      </c>
      <c r="F410" s="132"/>
      <c r="G410" s="130">
        <f>E410*F410</f>
        <v>0</v>
      </c>
      <c r="H410" s="133"/>
      <c r="I410" s="127"/>
    </row>
    <row r="411" spans="2:9" ht="12">
      <c r="B411" s="124">
        <v>99877</v>
      </c>
      <c r="C411" s="79" t="s">
        <v>396</v>
      </c>
      <c r="D411" s="129" t="s">
        <v>68</v>
      </c>
      <c r="E411" s="167">
        <v>1</v>
      </c>
      <c r="F411" s="144"/>
      <c r="G411" s="130">
        <f>E411*F411</f>
        <v>0</v>
      </c>
      <c r="H411" s="133"/>
      <c r="I411" s="127"/>
    </row>
    <row r="412" spans="2:9" ht="12">
      <c r="B412" s="124"/>
      <c r="C412" s="79"/>
      <c r="D412" s="129"/>
      <c r="E412" s="167"/>
      <c r="F412" s="132"/>
      <c r="G412" s="130"/>
      <c r="H412" s="133"/>
      <c r="I412" s="127"/>
    </row>
    <row r="413" spans="2:9" ht="12.75">
      <c r="B413" s="124"/>
      <c r="C413" s="71" t="s">
        <v>158</v>
      </c>
      <c r="D413" s="86" t="s">
        <v>51</v>
      </c>
      <c r="E413" s="180" t="s">
        <v>31</v>
      </c>
      <c r="F413" s="132"/>
      <c r="G413" s="137">
        <f>SUM(G414:G440)</f>
        <v>0</v>
      </c>
      <c r="H413" s="133"/>
      <c r="I413" s="127"/>
    </row>
    <row r="414" spans="2:12" ht="36">
      <c r="B414" s="124">
        <v>781</v>
      </c>
      <c r="C414" s="45" t="s">
        <v>168</v>
      </c>
      <c r="D414" s="129" t="s">
        <v>58</v>
      </c>
      <c r="E414" s="167">
        <f>SUM(E415:E417)</f>
        <v>369.82</v>
      </c>
      <c r="F414" s="132"/>
      <c r="G414" s="130">
        <f>E414*F414</f>
        <v>0</v>
      </c>
      <c r="H414" s="133"/>
      <c r="I414" s="127"/>
      <c r="L414" s="142"/>
    </row>
    <row r="415" spans="2:14" ht="24">
      <c r="B415" s="124"/>
      <c r="C415" s="79" t="s">
        <v>381</v>
      </c>
      <c r="D415" s="129" t="s">
        <v>58</v>
      </c>
      <c r="E415" s="167">
        <f>333*1.1</f>
        <v>366.3</v>
      </c>
      <c r="F415" s="132"/>
      <c r="G415" s="130"/>
      <c r="H415" s="133"/>
      <c r="I415" s="127"/>
      <c r="L415" s="214"/>
      <c r="M415" s="167"/>
      <c r="N415" s="131"/>
    </row>
    <row r="416" spans="2:13" ht="12">
      <c r="B416" s="124"/>
      <c r="C416" s="79"/>
      <c r="D416" s="129"/>
      <c r="E416" s="167"/>
      <c r="F416" s="132"/>
      <c r="G416" s="130"/>
      <c r="H416" s="133"/>
      <c r="I416" s="127"/>
      <c r="L416" s="167"/>
      <c r="M416" s="167"/>
    </row>
    <row r="417" spans="2:14" ht="12">
      <c r="B417" s="124"/>
      <c r="C417" s="79" t="s">
        <v>387</v>
      </c>
      <c r="D417" s="129"/>
      <c r="E417" s="163">
        <f>3.2*1.1</f>
        <v>3.5200000000000005</v>
      </c>
      <c r="F417" s="132"/>
      <c r="G417" s="130"/>
      <c r="H417" s="133"/>
      <c r="I417" s="127"/>
      <c r="L417" s="163"/>
      <c r="M417" s="167"/>
      <c r="N417" s="131"/>
    </row>
    <row r="418" spans="2:9" ht="12">
      <c r="B418" s="124"/>
      <c r="C418" s="79" t="s">
        <v>382</v>
      </c>
      <c r="D418" s="129"/>
      <c r="E418" s="167">
        <f>0.6</f>
        <v>0.6</v>
      </c>
      <c r="F418" s="132"/>
      <c r="G418" s="130"/>
      <c r="H418" s="133"/>
      <c r="I418" s="127"/>
    </row>
    <row r="419" spans="2:9" ht="12">
      <c r="B419" s="124"/>
      <c r="C419" s="77" t="s">
        <v>383</v>
      </c>
      <c r="D419" s="129"/>
      <c r="E419" s="163">
        <v>1.1</v>
      </c>
      <c r="F419" s="132"/>
      <c r="G419" s="130"/>
      <c r="H419" s="133"/>
      <c r="I419" s="127"/>
    </row>
    <row r="420" spans="2:9" ht="12">
      <c r="B420" s="124"/>
      <c r="C420" s="77" t="s">
        <v>384</v>
      </c>
      <c r="D420" s="129"/>
      <c r="E420" s="163">
        <v>0.45</v>
      </c>
      <c r="F420" s="132"/>
      <c r="G420" s="130"/>
      <c r="H420" s="133"/>
      <c r="I420" s="127"/>
    </row>
    <row r="421" spans="2:12" ht="12">
      <c r="B421" s="124"/>
      <c r="C421" s="77" t="s">
        <v>385</v>
      </c>
      <c r="D421" s="129"/>
      <c r="E421" s="163">
        <v>0.5</v>
      </c>
      <c r="F421" s="132"/>
      <c r="G421" s="130"/>
      <c r="H421" s="133"/>
      <c r="I421" s="127"/>
      <c r="L421" s="167"/>
    </row>
    <row r="422" spans="2:9" ht="12">
      <c r="B422" s="124"/>
      <c r="C422" s="77" t="s">
        <v>386</v>
      </c>
      <c r="D422" s="129"/>
      <c r="E422" s="163">
        <v>0.5</v>
      </c>
      <c r="F422" s="132"/>
      <c r="G422" s="130"/>
      <c r="H422" s="133"/>
      <c r="I422" s="127"/>
    </row>
    <row r="423" spans="2:9" ht="12">
      <c r="B423" s="124"/>
      <c r="C423" s="79"/>
      <c r="D423" s="129"/>
      <c r="E423" s="167"/>
      <c r="F423" s="130"/>
      <c r="G423" s="130"/>
      <c r="I423" s="127"/>
    </row>
    <row r="424" spans="2:9" ht="36">
      <c r="B424" s="124" t="s">
        <v>152</v>
      </c>
      <c r="C424" s="45" t="s">
        <v>425</v>
      </c>
      <c r="D424" s="129" t="s">
        <v>58</v>
      </c>
      <c r="E424" s="167">
        <f>333+E426</f>
        <v>336.5</v>
      </c>
      <c r="F424" s="130"/>
      <c r="G424" s="130">
        <f>E424*F424</f>
        <v>0</v>
      </c>
      <c r="I424" s="127"/>
    </row>
    <row r="425" spans="2:9" ht="12">
      <c r="B425" s="124"/>
      <c r="C425" s="79"/>
      <c r="D425" s="129"/>
      <c r="E425" s="167"/>
      <c r="F425" s="130"/>
      <c r="G425" s="130"/>
      <c r="I425" s="127"/>
    </row>
    <row r="426" spans="2:9" ht="48">
      <c r="B426" s="124">
        <v>78164</v>
      </c>
      <c r="C426" s="45" t="s">
        <v>426</v>
      </c>
      <c r="D426" s="129" t="s">
        <v>58</v>
      </c>
      <c r="E426" s="167">
        <v>3.5</v>
      </c>
      <c r="F426" s="130"/>
      <c r="G426" s="130"/>
      <c r="I426" s="127"/>
    </row>
    <row r="427" spans="2:9" ht="12">
      <c r="B427" s="124"/>
      <c r="C427" s="79"/>
      <c r="D427" s="129"/>
      <c r="E427" s="167"/>
      <c r="F427" s="132"/>
      <c r="G427" s="130"/>
      <c r="H427" s="133"/>
      <c r="I427" s="127"/>
    </row>
    <row r="428" spans="2:9" ht="36">
      <c r="B428" s="124">
        <v>78149</v>
      </c>
      <c r="C428" s="45" t="s">
        <v>394</v>
      </c>
      <c r="D428" s="134" t="s">
        <v>71</v>
      </c>
      <c r="E428" s="163">
        <f>6*6*5+6*4*4</f>
        <v>276</v>
      </c>
      <c r="F428" s="132"/>
      <c r="G428" s="130">
        <f>E428*F428</f>
        <v>0</v>
      </c>
      <c r="H428" s="133"/>
      <c r="I428" s="127"/>
    </row>
    <row r="429" spans="2:9" ht="12">
      <c r="B429" s="124"/>
      <c r="C429" s="45"/>
      <c r="D429" s="134"/>
      <c r="E429" s="215"/>
      <c r="F429" s="132"/>
      <c r="G429" s="130"/>
      <c r="H429" s="133"/>
      <c r="I429" s="127"/>
    </row>
    <row r="430" spans="2:9" ht="24">
      <c r="B430" s="124" t="s">
        <v>422</v>
      </c>
      <c r="C430" s="227" t="s">
        <v>423</v>
      </c>
      <c r="D430" s="134"/>
      <c r="E430" s="163">
        <f>SUM(E431:E439)</f>
        <v>273</v>
      </c>
      <c r="F430" s="132"/>
      <c r="G430" s="130">
        <f>E430*F430</f>
        <v>0</v>
      </c>
      <c r="H430" s="133"/>
      <c r="I430" s="127"/>
    </row>
    <row r="431" spans="2:9" ht="12">
      <c r="B431" s="124"/>
      <c r="C431" s="79" t="s">
        <v>424</v>
      </c>
      <c r="D431" s="134"/>
      <c r="E431" s="163">
        <v>29</v>
      </c>
      <c r="F431" s="132"/>
      <c r="G431" s="130"/>
      <c r="H431" s="133"/>
      <c r="I431" s="127"/>
    </row>
    <row r="432" spans="2:9" ht="12">
      <c r="B432" s="124"/>
      <c r="C432" s="79" t="s">
        <v>427</v>
      </c>
      <c r="D432" s="134"/>
      <c r="E432" s="163">
        <v>25</v>
      </c>
      <c r="F432" s="132"/>
      <c r="G432" s="130"/>
      <c r="H432" s="133"/>
      <c r="I432" s="127"/>
    </row>
    <row r="433" spans="2:9" ht="12">
      <c r="B433" s="124"/>
      <c r="C433" s="79" t="s">
        <v>428</v>
      </c>
      <c r="D433" s="134"/>
      <c r="E433" s="163">
        <v>35</v>
      </c>
      <c r="F433" s="132"/>
      <c r="G433" s="130"/>
      <c r="H433" s="133"/>
      <c r="I433" s="127"/>
    </row>
    <row r="434" spans="2:9" ht="12">
      <c r="B434" s="124"/>
      <c r="C434" s="79" t="s">
        <v>429</v>
      </c>
      <c r="D434" s="134"/>
      <c r="E434" s="163">
        <v>48</v>
      </c>
      <c r="F434" s="132"/>
      <c r="G434" s="130"/>
      <c r="H434" s="133"/>
      <c r="I434" s="127"/>
    </row>
    <row r="435" spans="2:9" ht="12">
      <c r="B435" s="124"/>
      <c r="C435" s="79" t="s">
        <v>430</v>
      </c>
      <c r="D435" s="134"/>
      <c r="E435" s="163">
        <v>6</v>
      </c>
      <c r="F435" s="132"/>
      <c r="G435" s="130"/>
      <c r="H435" s="133"/>
      <c r="I435" s="127"/>
    </row>
    <row r="436" spans="2:9" ht="12">
      <c r="B436" s="124"/>
      <c r="C436" s="79" t="s">
        <v>431</v>
      </c>
      <c r="D436" s="134"/>
      <c r="E436" s="163">
        <v>34</v>
      </c>
      <c r="F436" s="132"/>
      <c r="G436" s="130"/>
      <c r="H436" s="133"/>
      <c r="I436" s="127"/>
    </row>
    <row r="437" spans="2:9" ht="12">
      <c r="B437" s="124"/>
      <c r="C437" s="79" t="s">
        <v>432</v>
      </c>
      <c r="D437" s="134"/>
      <c r="E437" s="163">
        <v>42</v>
      </c>
      <c r="F437" s="132"/>
      <c r="G437" s="130"/>
      <c r="H437" s="133"/>
      <c r="I437" s="127"/>
    </row>
    <row r="438" spans="2:9" ht="12">
      <c r="B438" s="124"/>
      <c r="C438" s="79" t="s">
        <v>433</v>
      </c>
      <c r="D438" s="134"/>
      <c r="E438" s="163">
        <v>8</v>
      </c>
      <c r="F438" s="132"/>
      <c r="G438" s="130"/>
      <c r="H438" s="133"/>
      <c r="I438" s="127"/>
    </row>
    <row r="439" spans="2:9" ht="12">
      <c r="B439" s="124"/>
      <c r="C439" s="79" t="s">
        <v>434</v>
      </c>
      <c r="D439" s="134"/>
      <c r="E439" s="163">
        <v>46</v>
      </c>
      <c r="F439" s="132"/>
      <c r="G439" s="130"/>
      <c r="H439" s="133"/>
      <c r="I439" s="127"/>
    </row>
    <row r="440" spans="2:9" ht="12">
      <c r="B440" s="124">
        <v>99878</v>
      </c>
      <c r="C440" s="79" t="s">
        <v>395</v>
      </c>
      <c r="D440" s="129" t="s">
        <v>68</v>
      </c>
      <c r="E440" s="167">
        <v>1</v>
      </c>
      <c r="F440" s="132"/>
      <c r="G440" s="130">
        <f>E440*F440</f>
        <v>0</v>
      </c>
      <c r="H440" s="133"/>
      <c r="I440" s="127"/>
    </row>
    <row r="441" spans="2:9" ht="12">
      <c r="B441" s="124"/>
      <c r="C441" s="79"/>
      <c r="D441" s="129"/>
      <c r="E441" s="167"/>
      <c r="F441" s="132"/>
      <c r="G441" s="130"/>
      <c r="H441" s="133"/>
      <c r="I441" s="127"/>
    </row>
    <row r="442" spans="2:9" ht="24">
      <c r="B442" s="124"/>
      <c r="C442" s="60" t="s">
        <v>160</v>
      </c>
      <c r="D442" s="136" t="s">
        <v>51</v>
      </c>
      <c r="E442" s="192" t="s">
        <v>31</v>
      </c>
      <c r="F442" s="132"/>
      <c r="G442" s="137">
        <f>SUM(G443:G451)</f>
        <v>0</v>
      </c>
      <c r="H442" s="133"/>
      <c r="I442" s="127"/>
    </row>
    <row r="443" spans="2:9" ht="36">
      <c r="B443" s="188" t="s">
        <v>191</v>
      </c>
      <c r="C443" s="79" t="s">
        <v>388</v>
      </c>
      <c r="D443" s="129" t="s">
        <v>58</v>
      </c>
      <c r="E443" s="179">
        <f>SUM(E444:E450)</f>
        <v>64.6</v>
      </c>
      <c r="F443" s="132"/>
      <c r="G443" s="130">
        <f>E443*F443</f>
        <v>0</v>
      </c>
      <c r="H443" s="133"/>
      <c r="I443" s="127"/>
    </row>
    <row r="444" spans="2:9" ht="12">
      <c r="B444" s="124"/>
      <c r="C444" s="77" t="s">
        <v>389</v>
      </c>
      <c r="D444" s="129" t="s">
        <v>58</v>
      </c>
      <c r="E444" s="167">
        <v>12.37</v>
      </c>
      <c r="F444" s="144"/>
      <c r="G444" s="130"/>
      <c r="H444" s="133"/>
      <c r="I444" s="127"/>
    </row>
    <row r="445" spans="2:9" ht="12">
      <c r="B445" s="124"/>
      <c r="C445" s="77" t="s">
        <v>390</v>
      </c>
      <c r="D445" s="129" t="s">
        <v>58</v>
      </c>
      <c r="E445" s="179">
        <v>12.31</v>
      </c>
      <c r="F445" s="132"/>
      <c r="G445" s="130"/>
      <c r="H445" s="133"/>
      <c r="I445" s="127"/>
    </row>
    <row r="446" spans="2:9" ht="12">
      <c r="B446" s="124"/>
      <c r="C446" s="77" t="s">
        <v>391</v>
      </c>
      <c r="D446" s="129" t="s">
        <v>58</v>
      </c>
      <c r="E446" s="179">
        <v>18.18</v>
      </c>
      <c r="F446" s="132"/>
      <c r="G446" s="137"/>
      <c r="H446" s="133"/>
      <c r="I446" s="127"/>
    </row>
    <row r="447" spans="2:9" ht="12">
      <c r="B447" s="124"/>
      <c r="C447" s="77" t="s">
        <v>392</v>
      </c>
      <c r="D447" s="129" t="s">
        <v>58</v>
      </c>
      <c r="E447" s="179">
        <v>3.2</v>
      </c>
      <c r="F447" s="132"/>
      <c r="G447" s="130"/>
      <c r="H447" s="133"/>
      <c r="I447" s="127"/>
    </row>
    <row r="448" spans="2:9" ht="12">
      <c r="B448" s="124"/>
      <c r="C448" s="77" t="s">
        <v>393</v>
      </c>
      <c r="D448" s="129" t="s">
        <v>58</v>
      </c>
      <c r="E448" s="179">
        <v>7.54</v>
      </c>
      <c r="F448" s="132"/>
      <c r="G448" s="130"/>
      <c r="H448" s="133"/>
      <c r="I448" s="127"/>
    </row>
    <row r="449" spans="2:9" ht="12">
      <c r="B449" s="124"/>
      <c r="C449" s="77" t="s">
        <v>367</v>
      </c>
      <c r="D449" s="129" t="s">
        <v>58</v>
      </c>
      <c r="E449" s="179">
        <v>7.54</v>
      </c>
      <c r="F449" s="132"/>
      <c r="G449" s="130"/>
      <c r="H449" s="133"/>
      <c r="I449" s="127"/>
    </row>
    <row r="450" spans="2:9" ht="12">
      <c r="B450" s="124"/>
      <c r="C450" s="77" t="s">
        <v>369</v>
      </c>
      <c r="D450" s="129" t="s">
        <v>58</v>
      </c>
      <c r="E450" s="179">
        <v>3.46</v>
      </c>
      <c r="F450" s="132"/>
      <c r="G450" s="130"/>
      <c r="H450" s="133"/>
      <c r="I450" s="127"/>
    </row>
    <row r="451" spans="2:9" ht="12">
      <c r="B451" s="124">
        <v>9987634</v>
      </c>
      <c r="C451" s="79" t="s">
        <v>398</v>
      </c>
      <c r="D451" s="129" t="s">
        <v>68</v>
      </c>
      <c r="E451" s="151">
        <v>1</v>
      </c>
      <c r="F451" s="132"/>
      <c r="G451" s="130">
        <f>E451*F451</f>
        <v>0</v>
      </c>
      <c r="H451" s="133"/>
      <c r="I451" s="127"/>
    </row>
    <row r="452" spans="2:9" ht="12">
      <c r="B452" s="124"/>
      <c r="C452" s="79"/>
      <c r="D452" s="129"/>
      <c r="E452" s="151"/>
      <c r="F452" s="132"/>
      <c r="G452" s="130"/>
      <c r="H452" s="133"/>
      <c r="I452" s="127"/>
    </row>
    <row r="453" spans="1:9" ht="12">
      <c r="A453" s="58"/>
      <c r="B453" s="79"/>
      <c r="C453" s="86" t="s">
        <v>202</v>
      </c>
      <c r="D453" s="61" t="s">
        <v>51</v>
      </c>
      <c r="E453" s="84" t="s">
        <v>31</v>
      </c>
      <c r="F453" s="132"/>
      <c r="G453" s="64">
        <f>SUM(G457:G489)</f>
        <v>0</v>
      </c>
      <c r="H453" s="133"/>
      <c r="I453" s="127"/>
    </row>
    <row r="454" spans="1:9" ht="12">
      <c r="A454" s="72"/>
      <c r="B454" s="76"/>
      <c r="C454" s="73" t="s">
        <v>397</v>
      </c>
      <c r="D454" s="66"/>
      <c r="E454" s="74"/>
      <c r="F454" s="132"/>
      <c r="G454" s="130"/>
      <c r="H454" s="133"/>
      <c r="I454" s="127"/>
    </row>
    <row r="455" spans="1:9" ht="60">
      <c r="A455" s="72"/>
      <c r="B455" s="188" t="s">
        <v>191</v>
      </c>
      <c r="C455" s="76" t="s">
        <v>148</v>
      </c>
      <c r="D455" s="66"/>
      <c r="E455" s="74"/>
      <c r="F455" s="132"/>
      <c r="G455" s="130"/>
      <c r="H455" s="133"/>
      <c r="I455" s="127"/>
    </row>
    <row r="456" spans="1:9" ht="12">
      <c r="A456" s="58"/>
      <c r="B456" s="79"/>
      <c r="C456" s="82" t="s">
        <v>454</v>
      </c>
      <c r="D456" s="70"/>
      <c r="E456" s="62"/>
      <c r="F456" s="190"/>
      <c r="G456" s="130"/>
      <c r="H456" s="133"/>
      <c r="I456" s="127"/>
    </row>
    <row r="457" spans="1:19" s="70" customFormat="1" ht="96">
      <c r="A457" s="58">
        <v>1</v>
      </c>
      <c r="B457" s="79" t="s">
        <v>114</v>
      </c>
      <c r="C457" s="59" t="s">
        <v>399</v>
      </c>
      <c r="D457" s="70" t="s">
        <v>71</v>
      </c>
      <c r="E457" s="62">
        <v>1</v>
      </c>
      <c r="F457" s="229"/>
      <c r="G457" s="130">
        <f>E457*F457</f>
        <v>0</v>
      </c>
      <c r="H457" s="65"/>
      <c r="I457" s="66"/>
      <c r="J457" s="67"/>
      <c r="K457" s="66"/>
      <c r="L457" s="68"/>
      <c r="M457" s="66"/>
      <c r="N457" s="66"/>
      <c r="O457" s="69"/>
      <c r="P457" s="66"/>
      <c r="Q457" s="68"/>
      <c r="R457" s="66"/>
      <c r="S457" s="66"/>
    </row>
    <row r="458" spans="1:19" s="70" customFormat="1" ht="60">
      <c r="A458" s="58" t="s">
        <v>49</v>
      </c>
      <c r="B458" s="79" t="s">
        <v>115</v>
      </c>
      <c r="C458" s="59" t="s">
        <v>409</v>
      </c>
      <c r="D458" s="70" t="s">
        <v>71</v>
      </c>
      <c r="E458" s="62">
        <v>1</v>
      </c>
      <c r="F458" s="229"/>
      <c r="G458" s="130">
        <f>E458*F458</f>
        <v>0</v>
      </c>
      <c r="H458" s="65"/>
      <c r="I458" s="66"/>
      <c r="J458" s="67"/>
      <c r="K458" s="66"/>
      <c r="L458" s="68"/>
      <c r="M458" s="66"/>
      <c r="N458" s="66"/>
      <c r="O458" s="75"/>
      <c r="P458" s="66"/>
      <c r="Q458" s="68"/>
      <c r="R458" s="66"/>
      <c r="S458" s="66"/>
    </row>
    <row r="459" spans="1:19" s="70" customFormat="1" ht="84">
      <c r="A459" s="58" t="s">
        <v>50</v>
      </c>
      <c r="B459" s="79" t="s">
        <v>116</v>
      </c>
      <c r="C459" s="59" t="s">
        <v>400</v>
      </c>
      <c r="D459" s="70" t="s">
        <v>71</v>
      </c>
      <c r="E459" s="62">
        <v>1</v>
      </c>
      <c r="F459" s="229"/>
      <c r="G459" s="130">
        <f>E459*F459</f>
        <v>0</v>
      </c>
      <c r="H459" s="65"/>
      <c r="I459" s="66"/>
      <c r="J459" s="67"/>
      <c r="K459" s="66"/>
      <c r="L459" s="68"/>
      <c r="M459" s="66"/>
      <c r="N459" s="66"/>
      <c r="O459" s="75"/>
      <c r="P459" s="66"/>
      <c r="Q459" s="68"/>
      <c r="R459" s="66"/>
      <c r="S459" s="66"/>
    </row>
    <row r="460" spans="1:19" s="70" customFormat="1" ht="84">
      <c r="A460" s="58" t="s">
        <v>18</v>
      </c>
      <c r="B460" s="79" t="s">
        <v>117</v>
      </c>
      <c r="C460" s="59" t="s">
        <v>410</v>
      </c>
      <c r="D460" s="70" t="s">
        <v>71</v>
      </c>
      <c r="E460" s="62">
        <v>1</v>
      </c>
      <c r="F460" s="229"/>
      <c r="G460" s="130">
        <f>E460*F460</f>
        <v>0</v>
      </c>
      <c r="H460" s="65"/>
      <c r="I460" s="66"/>
      <c r="J460" s="67"/>
      <c r="K460" s="66"/>
      <c r="L460" s="68"/>
      <c r="M460" s="66"/>
      <c r="N460" s="66"/>
      <c r="O460" s="75"/>
      <c r="P460" s="67"/>
      <c r="Q460" s="68"/>
      <c r="R460" s="66"/>
      <c r="S460" s="66"/>
    </row>
    <row r="461" spans="1:19" s="70" customFormat="1" ht="60">
      <c r="A461" s="58" t="s">
        <v>19</v>
      </c>
      <c r="B461" s="79" t="s">
        <v>118</v>
      </c>
      <c r="C461" s="59" t="s">
        <v>403</v>
      </c>
      <c r="D461" s="70" t="s">
        <v>71</v>
      </c>
      <c r="E461" s="62">
        <v>3</v>
      </c>
      <c r="F461" s="229"/>
      <c r="G461" s="130">
        <f>E461*F461</f>
        <v>0</v>
      </c>
      <c r="H461" s="65"/>
      <c r="I461" s="66"/>
      <c r="J461" s="67"/>
      <c r="K461" s="66"/>
      <c r="L461" s="68"/>
      <c r="M461" s="66"/>
      <c r="N461" s="66"/>
      <c r="O461" s="75"/>
      <c r="P461" s="67"/>
      <c r="Q461" s="68"/>
      <c r="R461" s="66"/>
      <c r="S461" s="66"/>
    </row>
    <row r="462" spans="1:19" s="70" customFormat="1" ht="72">
      <c r="A462" s="58" t="s">
        <v>20</v>
      </c>
      <c r="B462" s="79" t="s">
        <v>119</v>
      </c>
      <c r="C462" s="79" t="s">
        <v>401</v>
      </c>
      <c r="D462" s="70" t="s">
        <v>71</v>
      </c>
      <c r="E462" s="62">
        <v>1</v>
      </c>
      <c r="F462" s="229"/>
      <c r="G462" s="78">
        <f>E458*F462</f>
        <v>0</v>
      </c>
      <c r="H462" s="65"/>
      <c r="I462" s="66"/>
      <c r="J462" s="67"/>
      <c r="K462" s="66"/>
      <c r="L462" s="68"/>
      <c r="M462" s="66"/>
      <c r="N462" s="66"/>
      <c r="O462" s="75"/>
      <c r="P462" s="67"/>
      <c r="Q462" s="68"/>
      <c r="R462" s="66"/>
      <c r="S462" s="66"/>
    </row>
    <row r="463" spans="1:19" s="70" customFormat="1" ht="60">
      <c r="A463" s="58" t="s">
        <v>21</v>
      </c>
      <c r="B463" s="79" t="s">
        <v>120</v>
      </c>
      <c r="C463" s="59" t="s">
        <v>402</v>
      </c>
      <c r="D463" s="70" t="s">
        <v>71</v>
      </c>
      <c r="E463" s="62">
        <v>1</v>
      </c>
      <c r="F463" s="85"/>
      <c r="G463" s="78">
        <f>E459*F463</f>
        <v>0</v>
      </c>
      <c r="H463" s="65"/>
      <c r="I463" s="66"/>
      <c r="J463" s="67"/>
      <c r="K463" s="66"/>
      <c r="L463" s="68"/>
      <c r="M463" s="66"/>
      <c r="N463" s="66"/>
      <c r="O463" s="75"/>
      <c r="P463" s="67"/>
      <c r="Q463" s="68"/>
      <c r="R463" s="66"/>
      <c r="S463" s="66"/>
    </row>
    <row r="464" spans="1:19" s="70" customFormat="1" ht="84">
      <c r="A464" s="58" t="s">
        <v>22</v>
      </c>
      <c r="B464" s="79" t="s">
        <v>121</v>
      </c>
      <c r="C464" s="59" t="s">
        <v>404</v>
      </c>
      <c r="D464" s="70" t="s">
        <v>71</v>
      </c>
      <c r="E464" s="62">
        <v>1</v>
      </c>
      <c r="F464" s="85"/>
      <c r="G464" s="130">
        <f aca="true" t="shared" si="3" ref="G464:G474">E464*F464</f>
        <v>0</v>
      </c>
      <c r="H464" s="65"/>
      <c r="I464" s="66"/>
      <c r="J464" s="67"/>
      <c r="K464" s="66"/>
      <c r="L464" s="68"/>
      <c r="M464" s="66"/>
      <c r="N464" s="66"/>
      <c r="O464" s="75"/>
      <c r="P464" s="67"/>
      <c r="Q464" s="68"/>
      <c r="R464" s="66"/>
      <c r="S464" s="66"/>
    </row>
    <row r="465" spans="1:19" s="70" customFormat="1" ht="72">
      <c r="A465" s="58" t="s">
        <v>23</v>
      </c>
      <c r="B465" s="79" t="s">
        <v>122</v>
      </c>
      <c r="C465" s="79" t="s">
        <v>405</v>
      </c>
      <c r="D465" s="70" t="s">
        <v>71</v>
      </c>
      <c r="E465" s="62">
        <v>1</v>
      </c>
      <c r="F465" s="85"/>
      <c r="G465" s="130">
        <f t="shared" si="3"/>
        <v>0</v>
      </c>
      <c r="H465" s="65"/>
      <c r="I465" s="66"/>
      <c r="J465" s="67"/>
      <c r="K465" s="66"/>
      <c r="L465" s="68"/>
      <c r="M465" s="66"/>
      <c r="N465" s="66"/>
      <c r="O465" s="75"/>
      <c r="P465" s="67"/>
      <c r="Q465" s="68"/>
      <c r="R465" s="66"/>
      <c r="S465" s="66"/>
    </row>
    <row r="466" spans="1:19" s="70" customFormat="1" ht="72">
      <c r="A466" s="58" t="s">
        <v>24</v>
      </c>
      <c r="B466" s="79" t="s">
        <v>123</v>
      </c>
      <c r="C466" s="59" t="s">
        <v>411</v>
      </c>
      <c r="D466" s="70" t="s">
        <v>71</v>
      </c>
      <c r="E466" s="62">
        <v>2</v>
      </c>
      <c r="F466" s="85"/>
      <c r="G466" s="130">
        <f t="shared" si="3"/>
        <v>0</v>
      </c>
      <c r="H466" s="65"/>
      <c r="I466" s="66"/>
      <c r="J466" s="67"/>
      <c r="K466" s="66"/>
      <c r="L466" s="68"/>
      <c r="M466" s="66"/>
      <c r="N466" s="66"/>
      <c r="O466" s="75"/>
      <c r="P466" s="67"/>
      <c r="Q466" s="68"/>
      <c r="R466" s="66"/>
      <c r="S466" s="66"/>
    </row>
    <row r="467" spans="1:19" s="70" customFormat="1" ht="72">
      <c r="A467" s="58" t="s">
        <v>25</v>
      </c>
      <c r="B467" s="79" t="s">
        <v>124</v>
      </c>
      <c r="C467" s="79" t="s">
        <v>406</v>
      </c>
      <c r="D467" s="70" t="s">
        <v>71</v>
      </c>
      <c r="E467" s="62">
        <v>5</v>
      </c>
      <c r="F467" s="85"/>
      <c r="G467" s="130">
        <f t="shared" si="3"/>
        <v>0</v>
      </c>
      <c r="H467" s="65"/>
      <c r="I467" s="66"/>
      <c r="J467" s="67"/>
      <c r="K467" s="66"/>
      <c r="L467" s="68"/>
      <c r="M467" s="66"/>
      <c r="N467" s="66"/>
      <c r="O467" s="75"/>
      <c r="P467" s="67"/>
      <c r="Q467" s="68"/>
      <c r="R467" s="66"/>
      <c r="S467" s="66"/>
    </row>
    <row r="468" spans="1:19" s="70" customFormat="1" ht="72">
      <c r="A468" s="58" t="s">
        <v>26</v>
      </c>
      <c r="B468" s="79" t="s">
        <v>125</v>
      </c>
      <c r="C468" s="59" t="s">
        <v>411</v>
      </c>
      <c r="D468" s="70" t="s">
        <v>71</v>
      </c>
      <c r="E468" s="62">
        <v>1</v>
      </c>
      <c r="F468" s="85"/>
      <c r="G468" s="130">
        <f t="shared" si="3"/>
        <v>0</v>
      </c>
      <c r="H468" s="65"/>
      <c r="I468" s="66"/>
      <c r="J468" s="67"/>
      <c r="K468" s="66"/>
      <c r="L468" s="68"/>
      <c r="M468" s="66"/>
      <c r="N468" s="66"/>
      <c r="O468" s="75"/>
      <c r="P468" s="67"/>
      <c r="Q468" s="68"/>
      <c r="R468" s="66"/>
      <c r="S468" s="66"/>
    </row>
    <row r="469" spans="1:19" s="70" customFormat="1" ht="60">
      <c r="A469" s="58"/>
      <c r="B469" s="79" t="s">
        <v>407</v>
      </c>
      <c r="C469" s="59" t="s">
        <v>412</v>
      </c>
      <c r="D469" s="70" t="s">
        <v>71</v>
      </c>
      <c r="E469" s="62">
        <v>2</v>
      </c>
      <c r="F469" s="85"/>
      <c r="G469" s="130">
        <f t="shared" si="3"/>
        <v>0</v>
      </c>
      <c r="H469" s="65"/>
      <c r="I469" s="66"/>
      <c r="J469" s="67"/>
      <c r="K469" s="66"/>
      <c r="L469" s="68"/>
      <c r="M469" s="66"/>
      <c r="N469" s="66"/>
      <c r="O469" s="75"/>
      <c r="P469" s="67"/>
      <c r="Q469" s="68"/>
      <c r="R469" s="66"/>
      <c r="S469" s="66"/>
    </row>
    <row r="470" spans="1:19" s="70" customFormat="1" ht="66.75" customHeight="1">
      <c r="A470" s="58"/>
      <c r="B470" s="79" t="s">
        <v>408</v>
      </c>
      <c r="C470" s="59" t="s">
        <v>413</v>
      </c>
      <c r="D470" s="70" t="s">
        <v>71</v>
      </c>
      <c r="E470" s="62">
        <v>7</v>
      </c>
      <c r="F470" s="85"/>
      <c r="G470" s="130">
        <f t="shared" si="3"/>
        <v>0</v>
      </c>
      <c r="H470" s="65"/>
      <c r="I470" s="66"/>
      <c r="J470" s="67"/>
      <c r="K470" s="66"/>
      <c r="L470" s="68"/>
      <c r="M470" s="66"/>
      <c r="N470" s="66"/>
      <c r="O470" s="75"/>
      <c r="P470" s="67"/>
      <c r="Q470" s="68"/>
      <c r="R470" s="66"/>
      <c r="S470" s="66"/>
    </row>
    <row r="471" spans="1:19" s="70" customFormat="1" ht="96">
      <c r="A471" s="58"/>
      <c r="B471" s="79" t="s">
        <v>414</v>
      </c>
      <c r="C471" s="59" t="s">
        <v>415</v>
      </c>
      <c r="D471" s="70" t="s">
        <v>71</v>
      </c>
      <c r="E471" s="62">
        <v>1</v>
      </c>
      <c r="F471" s="85"/>
      <c r="G471" s="130">
        <f t="shared" si="3"/>
        <v>0</v>
      </c>
      <c r="H471" s="65"/>
      <c r="I471" s="66"/>
      <c r="J471" s="67"/>
      <c r="K471" s="66"/>
      <c r="L471" s="68"/>
      <c r="M471" s="66"/>
      <c r="N471" s="66"/>
      <c r="O471" s="75"/>
      <c r="P471" s="67"/>
      <c r="Q471" s="68"/>
      <c r="R471" s="66"/>
      <c r="S471" s="66"/>
    </row>
    <row r="472" spans="1:19" s="70" customFormat="1" ht="96">
      <c r="A472" s="58"/>
      <c r="B472" s="79" t="s">
        <v>416</v>
      </c>
      <c r="C472" s="59" t="s">
        <v>417</v>
      </c>
      <c r="D472" s="70" t="s">
        <v>71</v>
      </c>
      <c r="E472" s="62">
        <v>1</v>
      </c>
      <c r="F472" s="85"/>
      <c r="G472" s="130">
        <f t="shared" si="3"/>
        <v>0</v>
      </c>
      <c r="H472" s="65"/>
      <c r="I472" s="66"/>
      <c r="J472" s="67"/>
      <c r="K472" s="66"/>
      <c r="L472" s="68"/>
      <c r="M472" s="66"/>
      <c r="N472" s="66"/>
      <c r="O472" s="75"/>
      <c r="P472" s="67"/>
      <c r="Q472" s="68"/>
      <c r="R472" s="66"/>
      <c r="S472" s="66"/>
    </row>
    <row r="473" spans="1:19" s="70" customFormat="1" ht="60">
      <c r="A473" s="58"/>
      <c r="B473" s="79" t="s">
        <v>418</v>
      </c>
      <c r="C473" s="59" t="s">
        <v>421</v>
      </c>
      <c r="D473" s="70" t="s">
        <v>71</v>
      </c>
      <c r="E473" s="62">
        <v>1</v>
      </c>
      <c r="F473" s="85"/>
      <c r="G473" s="130">
        <f t="shared" si="3"/>
        <v>0</v>
      </c>
      <c r="H473" s="65"/>
      <c r="I473" s="66"/>
      <c r="J473" s="67"/>
      <c r="K473" s="66"/>
      <c r="L473" s="68"/>
      <c r="M473" s="66"/>
      <c r="N473" s="66"/>
      <c r="O473" s="75"/>
      <c r="P473" s="67"/>
      <c r="Q473" s="68"/>
      <c r="R473" s="66"/>
      <c r="S473" s="66"/>
    </row>
    <row r="474" spans="1:19" s="70" customFormat="1" ht="60">
      <c r="A474" s="58"/>
      <c r="B474" s="79" t="s">
        <v>419</v>
      </c>
      <c r="C474" s="59" t="s">
        <v>421</v>
      </c>
      <c r="D474" s="70" t="s">
        <v>71</v>
      </c>
      <c r="E474" s="62">
        <v>2</v>
      </c>
      <c r="F474" s="85"/>
      <c r="G474" s="130">
        <f t="shared" si="3"/>
        <v>0</v>
      </c>
      <c r="H474" s="65"/>
      <c r="I474" s="66"/>
      <c r="J474" s="67"/>
      <c r="K474" s="66"/>
      <c r="L474" s="68"/>
      <c r="M474" s="66"/>
      <c r="N474" s="66"/>
      <c r="O474" s="75"/>
      <c r="P474" s="67"/>
      <c r="Q474" s="68"/>
      <c r="R474" s="66"/>
      <c r="S474" s="66"/>
    </row>
    <row r="475" spans="8:19" s="70" customFormat="1" ht="12">
      <c r="H475" s="65"/>
      <c r="I475" s="66"/>
      <c r="J475" s="67"/>
      <c r="K475" s="66"/>
      <c r="L475" s="68"/>
      <c r="M475" s="66"/>
      <c r="N475" s="66"/>
      <c r="O475" s="75"/>
      <c r="P475" s="67"/>
      <c r="Q475" s="68"/>
      <c r="R475" s="66"/>
      <c r="S475" s="66"/>
    </row>
    <row r="476" spans="1:19" s="70" customFormat="1" ht="75" customHeight="1">
      <c r="A476" s="58"/>
      <c r="B476" s="188" t="s">
        <v>191</v>
      </c>
      <c r="C476" s="76" t="s">
        <v>456</v>
      </c>
      <c r="E476" s="62"/>
      <c r="F476" s="85"/>
      <c r="G476" s="78"/>
      <c r="H476" s="65"/>
      <c r="I476" s="66"/>
      <c r="J476" s="67"/>
      <c r="K476" s="66"/>
      <c r="L476" s="68"/>
      <c r="M476" s="66"/>
      <c r="N476" s="66"/>
      <c r="O476" s="75"/>
      <c r="P476" s="67"/>
      <c r="Q476" s="68"/>
      <c r="R476" s="66"/>
      <c r="S476" s="66"/>
    </row>
    <row r="477" spans="1:19" s="70" customFormat="1" ht="12">
      <c r="A477" s="58"/>
      <c r="B477" s="79"/>
      <c r="C477" s="81" t="s">
        <v>455</v>
      </c>
      <c r="E477" s="214">
        <v>1</v>
      </c>
      <c r="F477" s="230"/>
      <c r="G477" s="78"/>
      <c r="H477" s="65"/>
      <c r="I477" s="66"/>
      <c r="J477" s="67"/>
      <c r="K477" s="66"/>
      <c r="L477" s="68"/>
      <c r="M477" s="66"/>
      <c r="N477" s="66"/>
      <c r="O477" s="75"/>
      <c r="P477" s="67"/>
      <c r="Q477" s="68"/>
      <c r="R477" s="66"/>
      <c r="S477" s="66"/>
    </row>
    <row r="478" spans="1:19" s="70" customFormat="1" ht="63.75" customHeight="1">
      <c r="A478" s="58"/>
      <c r="B478" s="79"/>
      <c r="C478" s="79" t="s">
        <v>556</v>
      </c>
      <c r="D478" s="129"/>
      <c r="G478" s="228"/>
      <c r="H478" s="65"/>
      <c r="I478" s="66"/>
      <c r="J478" s="67"/>
      <c r="K478" s="66"/>
      <c r="L478" s="68"/>
      <c r="M478" s="66"/>
      <c r="N478" s="66"/>
      <c r="O478" s="75"/>
      <c r="P478" s="67"/>
      <c r="Q478" s="68"/>
      <c r="R478" s="66"/>
      <c r="S478" s="66"/>
    </row>
    <row r="479" spans="1:19" s="70" customFormat="1" ht="12">
      <c r="A479" s="58"/>
      <c r="B479" s="79"/>
      <c r="C479" s="77" t="s">
        <v>390</v>
      </c>
      <c r="D479" s="129"/>
      <c r="E479" s="151"/>
      <c r="F479" s="132"/>
      <c r="G479" s="78"/>
      <c r="H479" s="65"/>
      <c r="I479" s="66"/>
      <c r="J479" s="67"/>
      <c r="K479" s="66"/>
      <c r="L479" s="68"/>
      <c r="M479" s="66"/>
      <c r="N479" s="66"/>
      <c r="O479" s="75"/>
      <c r="P479" s="67"/>
      <c r="Q479" s="68"/>
      <c r="R479" s="66"/>
      <c r="S479" s="66"/>
    </row>
    <row r="480" spans="1:19" s="70" customFormat="1" ht="12">
      <c r="A480" s="58"/>
      <c r="B480" s="79"/>
      <c r="C480" s="77" t="s">
        <v>457</v>
      </c>
      <c r="D480" s="129" t="s">
        <v>68</v>
      </c>
      <c r="E480" s="214">
        <v>1</v>
      </c>
      <c r="F480" s="132"/>
      <c r="G480" s="78">
        <f>E480*F480</f>
        <v>0</v>
      </c>
      <c r="H480" s="65"/>
      <c r="I480" s="66"/>
      <c r="J480" s="67"/>
      <c r="K480" s="66"/>
      <c r="L480" s="68"/>
      <c r="M480" s="66"/>
      <c r="N480" s="66"/>
      <c r="O480" s="75"/>
      <c r="P480" s="67"/>
      <c r="Q480" s="68"/>
      <c r="R480" s="66"/>
      <c r="S480" s="66"/>
    </row>
    <row r="481" spans="1:19" s="70" customFormat="1" ht="12">
      <c r="A481" s="58"/>
      <c r="B481" s="79"/>
      <c r="C481" s="77" t="s">
        <v>458</v>
      </c>
      <c r="D481" s="129" t="s">
        <v>68</v>
      </c>
      <c r="E481" s="214">
        <v>1</v>
      </c>
      <c r="F481" s="132"/>
      <c r="G481" s="78">
        <f>E481*F481</f>
        <v>0</v>
      </c>
      <c r="H481" s="65"/>
      <c r="I481" s="66"/>
      <c r="J481" s="67"/>
      <c r="K481" s="66"/>
      <c r="L481" s="68"/>
      <c r="M481" s="66"/>
      <c r="N481" s="66"/>
      <c r="O481" s="75"/>
      <c r="P481" s="67"/>
      <c r="Q481" s="68"/>
      <c r="R481" s="66"/>
      <c r="S481" s="66"/>
    </row>
    <row r="482" spans="1:19" s="70" customFormat="1" ht="12">
      <c r="A482" s="58"/>
      <c r="B482" s="79"/>
      <c r="C482" s="77" t="s">
        <v>391</v>
      </c>
      <c r="D482" s="129"/>
      <c r="E482" s="151"/>
      <c r="F482" s="132"/>
      <c r="G482" s="78"/>
      <c r="H482" s="65"/>
      <c r="I482" s="66"/>
      <c r="J482" s="67"/>
      <c r="K482" s="66"/>
      <c r="L482" s="68"/>
      <c r="M482" s="66"/>
      <c r="N482" s="66"/>
      <c r="O482" s="75"/>
      <c r="P482" s="67"/>
      <c r="Q482" s="68"/>
      <c r="R482" s="66"/>
      <c r="S482" s="66"/>
    </row>
    <row r="483" spans="1:19" s="70" customFormat="1" ht="12">
      <c r="A483" s="58"/>
      <c r="B483" s="79"/>
      <c r="C483" s="77" t="s">
        <v>459</v>
      </c>
      <c r="D483" s="129" t="s">
        <v>68</v>
      </c>
      <c r="E483" s="214">
        <v>1</v>
      </c>
      <c r="F483" s="132"/>
      <c r="G483" s="78">
        <f>E483*F483</f>
        <v>0</v>
      </c>
      <c r="H483" s="65"/>
      <c r="I483" s="66"/>
      <c r="J483" s="67"/>
      <c r="K483" s="66"/>
      <c r="L483" s="68"/>
      <c r="M483" s="66"/>
      <c r="N483" s="66"/>
      <c r="O483" s="75"/>
      <c r="P483" s="67"/>
      <c r="Q483" s="68"/>
      <c r="R483" s="66"/>
      <c r="S483" s="66"/>
    </row>
    <row r="484" spans="1:19" s="70" customFormat="1" ht="12">
      <c r="A484" s="58"/>
      <c r="B484" s="79"/>
      <c r="C484" s="77" t="s">
        <v>460</v>
      </c>
      <c r="D484" s="129" t="s">
        <v>68</v>
      </c>
      <c r="E484" s="214">
        <v>1</v>
      </c>
      <c r="F484" s="132"/>
      <c r="G484" s="78">
        <f>E484*F484</f>
        <v>0</v>
      </c>
      <c r="H484" s="65"/>
      <c r="I484" s="66"/>
      <c r="J484" s="67"/>
      <c r="K484" s="66"/>
      <c r="L484" s="68"/>
      <c r="M484" s="66"/>
      <c r="N484" s="66"/>
      <c r="O484" s="75"/>
      <c r="P484" s="67"/>
      <c r="Q484" s="68"/>
      <c r="R484" s="66"/>
      <c r="S484" s="66"/>
    </row>
    <row r="485" spans="1:19" s="70" customFormat="1" ht="12">
      <c r="A485" s="58"/>
      <c r="B485" s="79"/>
      <c r="C485" s="77" t="s">
        <v>461</v>
      </c>
      <c r="D485" s="129" t="s">
        <v>68</v>
      </c>
      <c r="E485" s="214">
        <v>1</v>
      </c>
      <c r="F485" s="132"/>
      <c r="G485" s="78">
        <f>E485*F485</f>
        <v>0</v>
      </c>
      <c r="H485" s="65"/>
      <c r="I485" s="66"/>
      <c r="J485" s="67"/>
      <c r="K485" s="66"/>
      <c r="L485" s="68"/>
      <c r="M485" s="66"/>
      <c r="N485" s="66"/>
      <c r="O485" s="75"/>
      <c r="P485" s="67"/>
      <c r="Q485" s="68"/>
      <c r="R485" s="66"/>
      <c r="S485" s="66"/>
    </row>
    <row r="486" spans="1:19" s="70" customFormat="1" ht="12">
      <c r="A486" s="58"/>
      <c r="B486" s="79"/>
      <c r="C486" s="77" t="s">
        <v>393</v>
      </c>
      <c r="D486" s="129"/>
      <c r="E486" s="214"/>
      <c r="F486" s="132"/>
      <c r="G486" s="78"/>
      <c r="H486" s="65"/>
      <c r="I486" s="66"/>
      <c r="J486" s="67"/>
      <c r="K486" s="66"/>
      <c r="L486" s="68"/>
      <c r="M486" s="66"/>
      <c r="N486" s="66"/>
      <c r="O486" s="75"/>
      <c r="P486" s="67"/>
      <c r="Q486" s="68"/>
      <c r="R486" s="66"/>
      <c r="S486" s="66"/>
    </row>
    <row r="487" spans="1:19" s="70" customFormat="1" ht="12">
      <c r="A487" s="58"/>
      <c r="B487" s="79"/>
      <c r="C487" s="77" t="s">
        <v>462</v>
      </c>
      <c r="D487" s="129" t="s">
        <v>68</v>
      </c>
      <c r="E487" s="214">
        <v>1</v>
      </c>
      <c r="F487" s="132"/>
      <c r="G487" s="78">
        <f>E487*F487</f>
        <v>0</v>
      </c>
      <c r="H487" s="65"/>
      <c r="I487" s="66"/>
      <c r="J487" s="67"/>
      <c r="K487" s="66"/>
      <c r="L487" s="68"/>
      <c r="M487" s="66"/>
      <c r="N487" s="66"/>
      <c r="O487" s="75"/>
      <c r="P487" s="67"/>
      <c r="Q487" s="68"/>
      <c r="R487" s="66"/>
      <c r="S487" s="66"/>
    </row>
    <row r="488" spans="1:19" s="70" customFormat="1" ht="12">
      <c r="A488" s="58"/>
      <c r="B488" s="79"/>
      <c r="C488" s="77" t="s">
        <v>463</v>
      </c>
      <c r="D488" s="129" t="s">
        <v>68</v>
      </c>
      <c r="E488" s="214">
        <v>1</v>
      </c>
      <c r="F488" s="132"/>
      <c r="G488" s="78">
        <f>E488*F488</f>
        <v>0</v>
      </c>
      <c r="H488" s="65"/>
      <c r="I488" s="66"/>
      <c r="J488" s="67"/>
      <c r="K488" s="66"/>
      <c r="L488" s="68"/>
      <c r="M488" s="66"/>
      <c r="N488" s="66"/>
      <c r="O488" s="75"/>
      <c r="P488" s="67"/>
      <c r="Q488" s="68"/>
      <c r="R488" s="66"/>
      <c r="S488" s="66"/>
    </row>
    <row r="489" spans="1:19" s="70" customFormat="1" ht="24">
      <c r="A489" s="58" t="s">
        <v>27</v>
      </c>
      <c r="B489" s="124">
        <v>998766100</v>
      </c>
      <c r="C489" s="80" t="s">
        <v>420</v>
      </c>
      <c r="D489" s="70" t="s">
        <v>68</v>
      </c>
      <c r="E489" s="214">
        <v>1</v>
      </c>
      <c r="F489" s="85"/>
      <c r="G489" s="78">
        <f>E489*F489</f>
        <v>0</v>
      </c>
      <c r="H489" s="65"/>
      <c r="I489" s="66"/>
      <c r="J489" s="67"/>
      <c r="K489" s="66"/>
      <c r="L489" s="68"/>
      <c r="M489" s="66"/>
      <c r="N489" s="66"/>
      <c r="O489" s="75"/>
      <c r="P489" s="67"/>
      <c r="Q489" s="68"/>
      <c r="R489" s="66"/>
      <c r="S489" s="66"/>
    </row>
    <row r="490" spans="1:19" s="70" customFormat="1" ht="12">
      <c r="A490" s="58"/>
      <c r="B490" s="124"/>
      <c r="C490" s="80"/>
      <c r="E490" s="214"/>
      <c r="F490" s="85"/>
      <c r="G490" s="78"/>
      <c r="H490" s="65"/>
      <c r="I490" s="66"/>
      <c r="J490" s="67"/>
      <c r="K490" s="66"/>
      <c r="L490" s="68"/>
      <c r="M490" s="66"/>
      <c r="N490" s="66"/>
      <c r="O490" s="75"/>
      <c r="P490" s="67"/>
      <c r="Q490" s="68"/>
      <c r="R490" s="66"/>
      <c r="S490" s="66"/>
    </row>
    <row r="491" spans="1:19" s="70" customFormat="1" ht="12">
      <c r="A491" s="58"/>
      <c r="B491" s="124"/>
      <c r="C491" s="80"/>
      <c r="E491" s="214"/>
      <c r="F491" s="85"/>
      <c r="G491" s="78"/>
      <c r="H491" s="65"/>
      <c r="I491" s="66"/>
      <c r="J491" s="67"/>
      <c r="K491" s="66"/>
      <c r="L491" s="68"/>
      <c r="M491" s="66"/>
      <c r="N491" s="66"/>
      <c r="O491" s="75"/>
      <c r="P491" s="67"/>
      <c r="Q491" s="68"/>
      <c r="R491" s="66"/>
      <c r="S491" s="66"/>
    </row>
    <row r="492" spans="1:19" s="70" customFormat="1" ht="24">
      <c r="A492" s="58"/>
      <c r="B492" s="257" t="s">
        <v>191</v>
      </c>
      <c r="C492" s="81" t="s">
        <v>562</v>
      </c>
      <c r="E492" s="214">
        <v>1</v>
      </c>
      <c r="G492" s="190">
        <f>SUM(G493:G496)</f>
        <v>0</v>
      </c>
      <c r="H492" s="65"/>
      <c r="I492" s="66"/>
      <c r="J492" s="67"/>
      <c r="K492" s="66"/>
      <c r="L492" s="68"/>
      <c r="M492" s="66"/>
      <c r="N492" s="66"/>
      <c r="O492" s="75"/>
      <c r="P492" s="67"/>
      <c r="Q492" s="68"/>
      <c r="R492" s="66"/>
      <c r="S492" s="66"/>
    </row>
    <row r="493" spans="1:19" s="70" customFormat="1" ht="12">
      <c r="A493" s="58"/>
      <c r="B493" s="124"/>
      <c r="C493" s="80" t="s">
        <v>558</v>
      </c>
      <c r="D493" s="70" t="s">
        <v>557</v>
      </c>
      <c r="E493" s="62">
        <v>2</v>
      </c>
      <c r="F493" s="85"/>
      <c r="G493" s="78">
        <f>E493*F493</f>
        <v>0</v>
      </c>
      <c r="H493" s="65"/>
      <c r="I493" s="66"/>
      <c r="J493" s="67"/>
      <c r="K493" s="66"/>
      <c r="L493" s="68"/>
      <c r="M493" s="66"/>
      <c r="N493" s="66"/>
      <c r="O493" s="75"/>
      <c r="P493" s="67"/>
      <c r="Q493" s="68"/>
      <c r="R493" s="66"/>
      <c r="S493" s="66"/>
    </row>
    <row r="494" spans="1:19" s="70" customFormat="1" ht="24">
      <c r="A494" s="58"/>
      <c r="B494" s="124"/>
      <c r="C494" s="80" t="s">
        <v>560</v>
      </c>
      <c r="D494" s="70" t="s">
        <v>557</v>
      </c>
      <c r="E494" s="62">
        <v>4</v>
      </c>
      <c r="F494" s="85"/>
      <c r="G494" s="78">
        <f>E494*F494</f>
        <v>0</v>
      </c>
      <c r="H494" s="65"/>
      <c r="I494" s="66"/>
      <c r="J494" s="67"/>
      <c r="K494" s="66"/>
      <c r="L494" s="68"/>
      <c r="M494" s="66"/>
      <c r="N494" s="66"/>
      <c r="O494" s="75"/>
      <c r="P494" s="67"/>
      <c r="Q494" s="68"/>
      <c r="R494" s="66"/>
      <c r="S494" s="66"/>
    </row>
    <row r="495" spans="1:19" s="70" customFormat="1" ht="12">
      <c r="A495" s="58"/>
      <c r="B495" s="124"/>
      <c r="C495" s="80" t="s">
        <v>559</v>
      </c>
      <c r="D495" s="70" t="s">
        <v>557</v>
      </c>
      <c r="E495" s="62">
        <v>1</v>
      </c>
      <c r="F495" s="85"/>
      <c r="G495" s="78">
        <f>E495*F495</f>
        <v>0</v>
      </c>
      <c r="H495" s="65"/>
      <c r="I495" s="66"/>
      <c r="J495" s="67"/>
      <c r="K495" s="66"/>
      <c r="L495" s="68"/>
      <c r="M495" s="66"/>
      <c r="N495" s="66"/>
      <c r="O495" s="75"/>
      <c r="P495" s="67"/>
      <c r="Q495" s="68"/>
      <c r="R495" s="66"/>
      <c r="S495" s="66"/>
    </row>
    <row r="496" spans="1:19" s="70" customFormat="1" ht="12">
      <c r="A496" s="58"/>
      <c r="B496" s="124"/>
      <c r="C496" s="80" t="s">
        <v>561</v>
      </c>
      <c r="D496" s="70" t="s">
        <v>68</v>
      </c>
      <c r="E496" s="62">
        <v>1</v>
      </c>
      <c r="F496" s="85"/>
      <c r="G496" s="78">
        <f>E496*F496</f>
        <v>0</v>
      </c>
      <c r="H496" s="65"/>
      <c r="I496" s="66"/>
      <c r="J496" s="67"/>
      <c r="K496" s="66"/>
      <c r="L496" s="68"/>
      <c r="M496" s="66"/>
      <c r="N496" s="66"/>
      <c r="O496" s="75"/>
      <c r="P496" s="67"/>
      <c r="Q496" s="68"/>
      <c r="R496" s="66"/>
      <c r="S496" s="66"/>
    </row>
    <row r="497" spans="1:19" s="70" customFormat="1" ht="12">
      <c r="A497" s="58"/>
      <c r="B497" s="124"/>
      <c r="C497" s="80"/>
      <c r="E497" s="62"/>
      <c r="F497" s="85"/>
      <c r="G497" s="78"/>
      <c r="H497" s="65"/>
      <c r="I497" s="66"/>
      <c r="J497" s="67"/>
      <c r="K497" s="66"/>
      <c r="L497" s="68"/>
      <c r="M497" s="66"/>
      <c r="N497" s="66"/>
      <c r="O497" s="75"/>
      <c r="P497" s="67"/>
      <c r="Q497" s="68"/>
      <c r="R497" s="66"/>
      <c r="S497" s="66"/>
    </row>
    <row r="498" spans="1:19" s="70" customFormat="1" ht="12.75">
      <c r="A498" s="58"/>
      <c r="B498" s="257" t="s">
        <v>191</v>
      </c>
      <c r="C498" s="170" t="s">
        <v>183</v>
      </c>
      <c r="D498" s="194" t="s">
        <v>51</v>
      </c>
      <c r="E498" s="130">
        <f>SUM(E500+E501+E502+E503+E504+E505+E506+E507+E508+E509)</f>
        <v>331.5</v>
      </c>
      <c r="F498" s="85"/>
      <c r="G498" s="228">
        <f>E498*F498+G510</f>
        <v>0</v>
      </c>
      <c r="H498" s="65"/>
      <c r="I498" s="66"/>
      <c r="J498" s="67"/>
      <c r="K498" s="66"/>
      <c r="L498" s="68"/>
      <c r="M498" s="66"/>
      <c r="N498" s="66"/>
      <c r="O498" s="75"/>
      <c r="P498" s="67"/>
      <c r="Q498" s="68"/>
      <c r="R498" s="66"/>
      <c r="S498" s="66"/>
    </row>
    <row r="499" spans="1:19" s="70" customFormat="1" ht="25.5">
      <c r="A499" s="58"/>
      <c r="B499" s="48"/>
      <c r="C499" s="231" t="s">
        <v>464</v>
      </c>
      <c r="D499" s="194"/>
      <c r="E499" s="130"/>
      <c r="F499" s="85"/>
      <c r="G499" s="228"/>
      <c r="H499" s="65"/>
      <c r="I499" s="66"/>
      <c r="J499" s="67"/>
      <c r="K499" s="66"/>
      <c r="L499" s="68"/>
      <c r="M499" s="66"/>
      <c r="N499" s="66"/>
      <c r="O499" s="75"/>
      <c r="P499" s="67"/>
      <c r="Q499" s="68"/>
      <c r="R499" s="66"/>
      <c r="S499" s="66"/>
    </row>
    <row r="500" spans="1:19" s="70" customFormat="1" ht="12">
      <c r="A500" s="89"/>
      <c r="B500" s="124"/>
      <c r="C500" s="77" t="s">
        <v>389</v>
      </c>
      <c r="D500" s="129" t="s">
        <v>58</v>
      </c>
      <c r="E500" s="174" t="s">
        <v>77</v>
      </c>
      <c r="F500" s="124"/>
      <c r="G500" s="77"/>
      <c r="H500" s="129"/>
      <c r="I500" s="167"/>
      <c r="J500" s="67"/>
      <c r="K500" s="66"/>
      <c r="L500" s="68"/>
      <c r="M500" s="66"/>
      <c r="N500" s="66"/>
      <c r="O500" s="75"/>
      <c r="P500" s="67"/>
      <c r="Q500" s="68"/>
      <c r="R500" s="66"/>
      <c r="S500" s="66"/>
    </row>
    <row r="501" spans="1:19" s="70" customFormat="1" ht="12">
      <c r="A501" s="89"/>
      <c r="B501" s="124"/>
      <c r="C501" s="77" t="s">
        <v>329</v>
      </c>
      <c r="D501" s="129" t="s">
        <v>58</v>
      </c>
      <c r="E501" s="174" t="s">
        <v>444</v>
      </c>
      <c r="F501" s="124"/>
      <c r="G501" s="77"/>
      <c r="H501" s="129"/>
      <c r="I501" s="167"/>
      <c r="J501" s="67"/>
      <c r="K501" s="66"/>
      <c r="L501" s="68"/>
      <c r="M501" s="66"/>
      <c r="N501" s="66"/>
      <c r="O501" s="75"/>
      <c r="P501" s="67"/>
      <c r="Q501" s="68"/>
      <c r="R501" s="66"/>
      <c r="S501" s="66"/>
    </row>
    <row r="502" spans="1:19" s="70" customFormat="1" ht="12">
      <c r="A502" s="89"/>
      <c r="B502" s="124"/>
      <c r="C502" s="77" t="s">
        <v>390</v>
      </c>
      <c r="D502" s="129" t="s">
        <v>58</v>
      </c>
      <c r="E502" s="174" t="s">
        <v>445</v>
      </c>
      <c r="F502" s="124"/>
      <c r="G502" s="163"/>
      <c r="H502" s="129"/>
      <c r="I502" s="179"/>
      <c r="J502" s="67"/>
      <c r="K502" s="66"/>
      <c r="L502" s="68"/>
      <c r="M502" s="66"/>
      <c r="N502" s="66"/>
      <c r="O502" s="75"/>
      <c r="P502" s="67"/>
      <c r="Q502" s="68"/>
      <c r="R502" s="66"/>
      <c r="S502" s="66"/>
    </row>
    <row r="503" spans="1:19" s="70" customFormat="1" ht="12">
      <c r="A503" s="89"/>
      <c r="B503" s="124"/>
      <c r="C503" s="77" t="s">
        <v>391</v>
      </c>
      <c r="D503" s="129" t="s">
        <v>58</v>
      </c>
      <c r="E503" s="174" t="s">
        <v>446</v>
      </c>
      <c r="F503" s="124"/>
      <c r="G503" s="174"/>
      <c r="H503" s="129"/>
      <c r="I503" s="179"/>
      <c r="J503" s="67"/>
      <c r="K503" s="66"/>
      <c r="L503" s="68"/>
      <c r="M503" s="66"/>
      <c r="N503" s="66"/>
      <c r="O503" s="75"/>
      <c r="P503" s="67"/>
      <c r="Q503" s="68"/>
      <c r="R503" s="66"/>
      <c r="S503" s="66"/>
    </row>
    <row r="504" spans="1:19" s="70" customFormat="1" ht="12">
      <c r="A504" s="89"/>
      <c r="B504" s="124"/>
      <c r="C504" s="77" t="s">
        <v>392</v>
      </c>
      <c r="D504" s="129" t="s">
        <v>58</v>
      </c>
      <c r="E504" s="174" t="s">
        <v>447</v>
      </c>
      <c r="F504" s="124"/>
      <c r="G504" s="174"/>
      <c r="H504" s="129"/>
      <c r="I504" s="179"/>
      <c r="J504" s="67"/>
      <c r="K504" s="66"/>
      <c r="L504" s="68"/>
      <c r="M504" s="66"/>
      <c r="N504" s="66"/>
      <c r="O504" s="75"/>
      <c r="P504" s="67"/>
      <c r="Q504" s="68"/>
      <c r="R504" s="66"/>
      <c r="S504" s="66"/>
    </row>
    <row r="505" spans="1:19" s="70" customFormat="1" ht="12">
      <c r="A505" s="89"/>
      <c r="B505" s="124"/>
      <c r="C505" s="77" t="s">
        <v>393</v>
      </c>
      <c r="D505" s="129" t="s">
        <v>58</v>
      </c>
      <c r="E505" s="174" t="s">
        <v>448</v>
      </c>
      <c r="F505" s="124"/>
      <c r="G505" s="174"/>
      <c r="H505" s="129"/>
      <c r="I505" s="179"/>
      <c r="J505" s="67"/>
      <c r="K505" s="66"/>
      <c r="L505" s="68"/>
      <c r="M505" s="66"/>
      <c r="N505" s="66"/>
      <c r="O505" s="75"/>
      <c r="P505" s="67"/>
      <c r="Q505" s="68"/>
      <c r="R505" s="66"/>
      <c r="S505" s="66"/>
    </row>
    <row r="506" spans="1:19" s="70" customFormat="1" ht="12">
      <c r="A506" s="89"/>
      <c r="B506" s="124"/>
      <c r="C506" s="77" t="s">
        <v>367</v>
      </c>
      <c r="D506" s="129" t="s">
        <v>58</v>
      </c>
      <c r="E506" s="174" t="s">
        <v>449</v>
      </c>
      <c r="F506" s="124"/>
      <c r="G506" s="77"/>
      <c r="H506" s="129"/>
      <c r="I506" s="179"/>
      <c r="J506" s="67"/>
      <c r="K506" s="66"/>
      <c r="L506" s="68"/>
      <c r="M506" s="66"/>
      <c r="N506" s="66"/>
      <c r="O506" s="75"/>
      <c r="P506" s="67"/>
      <c r="Q506" s="68"/>
      <c r="R506" s="66"/>
      <c r="S506" s="66"/>
    </row>
    <row r="507" spans="1:19" s="70" customFormat="1" ht="12">
      <c r="A507" s="89"/>
      <c r="B507" s="124"/>
      <c r="C507" s="77" t="s">
        <v>369</v>
      </c>
      <c r="D507" s="129" t="s">
        <v>58</v>
      </c>
      <c r="E507" s="174" t="s">
        <v>450</v>
      </c>
      <c r="F507" s="124"/>
      <c r="G507" s="77"/>
      <c r="H507" s="129"/>
      <c r="I507" s="179"/>
      <c r="J507" s="67"/>
      <c r="K507" s="66"/>
      <c r="L507" s="68"/>
      <c r="M507" s="66"/>
      <c r="N507" s="66"/>
      <c r="O507" s="75"/>
      <c r="P507" s="67"/>
      <c r="Q507" s="68"/>
      <c r="R507" s="66"/>
      <c r="S507" s="66"/>
    </row>
    <row r="508" spans="1:19" s="70" customFormat="1" ht="12">
      <c r="A508" s="89"/>
      <c r="B508" s="124"/>
      <c r="C508" s="77" t="s">
        <v>453</v>
      </c>
      <c r="D508" s="129" t="s">
        <v>58</v>
      </c>
      <c r="E508" s="174" t="s">
        <v>451</v>
      </c>
      <c r="F508" s="124"/>
      <c r="G508" s="77"/>
      <c r="H508" s="129"/>
      <c r="I508" s="179"/>
      <c r="J508" s="67"/>
      <c r="K508" s="66"/>
      <c r="L508" s="68"/>
      <c r="M508" s="66"/>
      <c r="N508" s="66"/>
      <c r="O508" s="75"/>
      <c r="P508" s="67"/>
      <c r="Q508" s="68"/>
      <c r="R508" s="66"/>
      <c r="S508" s="66"/>
    </row>
    <row r="509" spans="1:19" s="70" customFormat="1" ht="12">
      <c r="A509" s="89"/>
      <c r="B509" s="124"/>
      <c r="C509" s="77" t="s">
        <v>452</v>
      </c>
      <c r="D509" s="129" t="s">
        <v>58</v>
      </c>
      <c r="E509" s="174" t="s">
        <v>450</v>
      </c>
      <c r="F509" s="124"/>
      <c r="G509" s="77"/>
      <c r="H509" s="129"/>
      <c r="I509" s="179"/>
      <c r="J509" s="67"/>
      <c r="K509" s="66"/>
      <c r="L509" s="68"/>
      <c r="M509" s="66"/>
      <c r="N509" s="66"/>
      <c r="O509" s="75"/>
      <c r="P509" s="67"/>
      <c r="Q509" s="68"/>
      <c r="R509" s="66"/>
      <c r="S509" s="66"/>
    </row>
    <row r="510" spans="1:19" s="70" customFormat="1" ht="12">
      <c r="A510" s="58"/>
      <c r="B510" s="54"/>
      <c r="C510" s="243" t="s">
        <v>185</v>
      </c>
      <c r="D510" s="246" t="s">
        <v>68</v>
      </c>
      <c r="E510" s="256">
        <v>1</v>
      </c>
      <c r="F510" s="250"/>
      <c r="G510" s="78">
        <f>E510*F510</f>
        <v>0</v>
      </c>
      <c r="H510" s="65"/>
      <c r="I510" s="66"/>
      <c r="J510" s="67"/>
      <c r="K510" s="66"/>
      <c r="L510" s="68"/>
      <c r="M510" s="66"/>
      <c r="N510" s="66"/>
      <c r="O510" s="75"/>
      <c r="P510" s="67"/>
      <c r="Q510" s="68"/>
      <c r="R510" s="66"/>
      <c r="S510" s="66"/>
    </row>
    <row r="511" spans="1:19" s="70" customFormat="1" ht="12">
      <c r="A511" s="58"/>
      <c r="B511" s="54"/>
      <c r="C511" s="243"/>
      <c r="D511" s="246"/>
      <c r="E511" s="256"/>
      <c r="F511" s="250"/>
      <c r="G511" s="78"/>
      <c r="H511" s="65"/>
      <c r="I511" s="66"/>
      <c r="J511" s="67"/>
      <c r="K511" s="66"/>
      <c r="L511" s="68"/>
      <c r="M511" s="66"/>
      <c r="N511" s="66"/>
      <c r="O511" s="75"/>
      <c r="P511" s="67"/>
      <c r="Q511" s="68"/>
      <c r="R511" s="66"/>
      <c r="S511" s="66"/>
    </row>
    <row r="512" spans="1:19" s="70" customFormat="1" ht="12">
      <c r="A512" s="323"/>
      <c r="B512" s="245"/>
      <c r="C512" s="242" t="s">
        <v>73</v>
      </c>
      <c r="D512" s="246" t="s">
        <v>51</v>
      </c>
      <c r="E512" s="251" t="s">
        <v>31</v>
      </c>
      <c r="F512" s="248"/>
      <c r="G512" s="249">
        <f>SUM(G516:G560)</f>
        <v>0</v>
      </c>
      <c r="H512" s="65"/>
      <c r="I512" s="66"/>
      <c r="J512" s="67"/>
      <c r="K512" s="66"/>
      <c r="L512" s="68"/>
      <c r="M512" s="66"/>
      <c r="N512" s="66"/>
      <c r="O512" s="75"/>
      <c r="P512" s="67"/>
      <c r="Q512" s="68"/>
      <c r="R512" s="66"/>
      <c r="S512" s="66"/>
    </row>
    <row r="513" spans="1:19" s="70" customFormat="1" ht="12">
      <c r="A513" s="323"/>
      <c r="B513" s="245"/>
      <c r="C513" s="243"/>
      <c r="D513" s="246"/>
      <c r="E513" s="251"/>
      <c r="F513" s="248"/>
      <c r="G513" s="247"/>
      <c r="H513" s="65"/>
      <c r="I513" s="66"/>
      <c r="J513" s="67"/>
      <c r="K513" s="66"/>
      <c r="L513" s="68"/>
      <c r="M513" s="66"/>
      <c r="N513" s="66"/>
      <c r="O513" s="75"/>
      <c r="P513" s="67"/>
      <c r="Q513" s="68"/>
      <c r="R513" s="66"/>
      <c r="S513" s="66"/>
    </row>
    <row r="514" spans="1:19" s="70" customFormat="1" ht="12">
      <c r="A514" s="323" t="s">
        <v>48</v>
      </c>
      <c r="B514" s="245"/>
      <c r="C514" s="242" t="s">
        <v>187</v>
      </c>
      <c r="D514" s="246"/>
      <c r="E514" s="251"/>
      <c r="F514" s="248"/>
      <c r="G514" s="247"/>
      <c r="H514" s="65"/>
      <c r="I514" s="66"/>
      <c r="J514" s="67"/>
      <c r="K514" s="66"/>
      <c r="L514" s="68"/>
      <c r="M514" s="66"/>
      <c r="N514" s="66"/>
      <c r="O514" s="75"/>
      <c r="P514" s="67"/>
      <c r="Q514" s="68"/>
      <c r="R514" s="66"/>
      <c r="S514" s="66"/>
    </row>
    <row r="515" spans="1:19" s="70" customFormat="1" ht="12">
      <c r="A515" s="323"/>
      <c r="B515" s="258"/>
      <c r="C515" s="243" t="s">
        <v>182</v>
      </c>
      <c r="D515" s="246"/>
      <c r="E515" s="251"/>
      <c r="F515" s="248"/>
      <c r="G515" s="247"/>
      <c r="H515" s="65"/>
      <c r="I515" s="66"/>
      <c r="J515" s="67"/>
      <c r="K515" s="66"/>
      <c r="L515" s="68"/>
      <c r="M515" s="66"/>
      <c r="N515" s="66"/>
      <c r="O515" s="75"/>
      <c r="P515" s="67"/>
      <c r="Q515" s="68"/>
      <c r="R515" s="66"/>
      <c r="S515" s="66"/>
    </row>
    <row r="516" spans="1:9" ht="12">
      <c r="A516" s="324"/>
      <c r="B516" s="257" t="s">
        <v>191</v>
      </c>
      <c r="C516" s="244" t="s">
        <v>161</v>
      </c>
      <c r="D516" s="253" t="s">
        <v>59</v>
      </c>
      <c r="E516" s="254">
        <v>31</v>
      </c>
      <c r="F516" s="255"/>
      <c r="G516" s="78">
        <f aca="true" t="shared" si="4" ref="G516:G522">E516*F516</f>
        <v>0</v>
      </c>
      <c r="H516" s="133"/>
      <c r="I516" s="127"/>
    </row>
    <row r="517" spans="1:9" ht="12">
      <c r="A517" s="324"/>
      <c r="B517" s="257" t="s">
        <v>191</v>
      </c>
      <c r="C517" s="244" t="s">
        <v>162</v>
      </c>
      <c r="D517" s="253" t="s">
        <v>59</v>
      </c>
      <c r="E517" s="254">
        <v>8.5</v>
      </c>
      <c r="F517" s="255"/>
      <c r="G517" s="78">
        <f t="shared" si="4"/>
        <v>0</v>
      </c>
      <c r="H517" s="133"/>
      <c r="I517" s="127"/>
    </row>
    <row r="518" spans="1:9" ht="12">
      <c r="A518" s="324"/>
      <c r="B518" s="257" t="s">
        <v>191</v>
      </c>
      <c r="C518" s="244" t="s">
        <v>163</v>
      </c>
      <c r="D518" s="253" t="s">
        <v>59</v>
      </c>
      <c r="E518" s="254">
        <v>19.5</v>
      </c>
      <c r="F518" s="255"/>
      <c r="G518" s="78">
        <f t="shared" si="4"/>
        <v>0</v>
      </c>
      <c r="H518" s="133"/>
      <c r="I518" s="127"/>
    </row>
    <row r="519" spans="1:9" ht="12">
      <c r="A519" s="324"/>
      <c r="B519" s="257" t="s">
        <v>191</v>
      </c>
      <c r="C519" s="244" t="s">
        <v>215</v>
      </c>
      <c r="D519" s="253" t="s">
        <v>59</v>
      </c>
      <c r="E519" s="254">
        <v>42.5</v>
      </c>
      <c r="F519" s="255"/>
      <c r="G519" s="78">
        <f t="shared" si="4"/>
        <v>0</v>
      </c>
      <c r="H519" s="133"/>
      <c r="I519" s="127"/>
    </row>
    <row r="520" spans="1:9" ht="12">
      <c r="A520" s="324"/>
      <c r="B520" s="257" t="s">
        <v>191</v>
      </c>
      <c r="C520" s="244" t="s">
        <v>538</v>
      </c>
      <c r="D520" s="253" t="s">
        <v>71</v>
      </c>
      <c r="E520" s="254">
        <v>4</v>
      </c>
      <c r="F520" s="255"/>
      <c r="G520" s="78">
        <f t="shared" si="4"/>
        <v>0</v>
      </c>
      <c r="H520" s="133"/>
      <c r="I520" s="127"/>
    </row>
    <row r="521" spans="1:10" s="178" customFormat="1" ht="12">
      <c r="A521" s="324" t="s">
        <v>49</v>
      </c>
      <c r="B521" s="257" t="s">
        <v>191</v>
      </c>
      <c r="C521" s="244" t="s">
        <v>186</v>
      </c>
      <c r="D521" s="253" t="s">
        <v>59</v>
      </c>
      <c r="E521" s="254">
        <v>101.5</v>
      </c>
      <c r="F521" s="255"/>
      <c r="G521" s="78">
        <f t="shared" si="4"/>
        <v>0</v>
      </c>
      <c r="H521" s="175"/>
      <c r="I521" s="176"/>
      <c r="J521" s="177"/>
    </row>
    <row r="522" spans="1:10" s="178" customFormat="1" ht="12">
      <c r="A522" s="323"/>
      <c r="B522" s="245"/>
      <c r="C522" s="243" t="s">
        <v>185</v>
      </c>
      <c r="D522" s="246" t="s">
        <v>68</v>
      </c>
      <c r="E522" s="256">
        <v>1</v>
      </c>
      <c r="F522" s="250"/>
      <c r="G522" s="78">
        <f t="shared" si="4"/>
        <v>0</v>
      </c>
      <c r="H522" s="175"/>
      <c r="I522" s="176"/>
      <c r="J522" s="177"/>
    </row>
    <row r="523" spans="1:10" s="178" customFormat="1" ht="12">
      <c r="A523" s="323"/>
      <c r="B523" s="245"/>
      <c r="C523" s="243"/>
      <c r="D523" s="246"/>
      <c r="E523" s="251"/>
      <c r="F523" s="248"/>
      <c r="G523" s="247"/>
      <c r="H523" s="175"/>
      <c r="I523" s="176"/>
      <c r="J523" s="177"/>
    </row>
    <row r="524" spans="1:10" s="178" customFormat="1" ht="12">
      <c r="A524" s="323" t="s">
        <v>50</v>
      </c>
      <c r="B524" s="245"/>
      <c r="C524" s="242" t="s">
        <v>164</v>
      </c>
      <c r="D524" s="246"/>
      <c r="E524" s="251"/>
      <c r="F524" s="248"/>
      <c r="G524" s="247"/>
      <c r="H524" s="175"/>
      <c r="I524" s="176"/>
      <c r="J524" s="177"/>
    </row>
    <row r="525" spans="1:10" s="178" customFormat="1" ht="12">
      <c r="A525" s="323"/>
      <c r="B525" s="257" t="s">
        <v>191</v>
      </c>
      <c r="C525" s="243" t="s">
        <v>169</v>
      </c>
      <c r="D525" s="246"/>
      <c r="E525" s="251"/>
      <c r="F525" s="248"/>
      <c r="G525" s="247"/>
      <c r="H525" s="175"/>
      <c r="I525" s="176"/>
      <c r="J525" s="177"/>
    </row>
    <row r="526" spans="1:10" s="178" customFormat="1" ht="12">
      <c r="A526" s="323"/>
      <c r="B526" s="257" t="s">
        <v>191</v>
      </c>
      <c r="C526" s="243" t="s">
        <v>539</v>
      </c>
      <c r="D526" s="246" t="s">
        <v>59</v>
      </c>
      <c r="E526" s="251">
        <v>110</v>
      </c>
      <c r="F526" s="248"/>
      <c r="G526" s="78">
        <f aca="true" t="shared" si="5" ref="G526:G538">E526*F526</f>
        <v>0</v>
      </c>
      <c r="H526" s="175"/>
      <c r="I526" s="176"/>
      <c r="J526" s="177"/>
    </row>
    <row r="527" spans="1:9" ht="12">
      <c r="A527" s="323"/>
      <c r="B527" s="257"/>
      <c r="C527" s="243" t="s">
        <v>540</v>
      </c>
      <c r="D527" s="246"/>
      <c r="E527" s="251"/>
      <c r="F527" s="248"/>
      <c r="G527" s="78">
        <f t="shared" si="5"/>
        <v>0</v>
      </c>
      <c r="H527" s="133"/>
      <c r="I527" s="127"/>
    </row>
    <row r="528" spans="1:9" ht="12">
      <c r="A528" s="323"/>
      <c r="B528" s="257" t="s">
        <v>191</v>
      </c>
      <c r="C528" s="243" t="s">
        <v>170</v>
      </c>
      <c r="D528" s="246" t="s">
        <v>59</v>
      </c>
      <c r="E528" s="251">
        <v>37.5</v>
      </c>
      <c r="F528" s="248"/>
      <c r="G528" s="78">
        <f t="shared" si="5"/>
        <v>0</v>
      </c>
      <c r="H528" s="133"/>
      <c r="I528" s="127"/>
    </row>
    <row r="529" spans="1:9" ht="12">
      <c r="A529" s="323"/>
      <c r="B529" s="257" t="s">
        <v>191</v>
      </c>
      <c r="C529" s="243" t="s">
        <v>171</v>
      </c>
      <c r="D529" s="246" t="s">
        <v>59</v>
      </c>
      <c r="E529" s="251">
        <v>56</v>
      </c>
      <c r="F529" s="248"/>
      <c r="G529" s="78">
        <f t="shared" si="5"/>
        <v>0</v>
      </c>
      <c r="H529" s="133"/>
      <c r="I529" s="127"/>
    </row>
    <row r="530" spans="1:9" ht="12">
      <c r="A530" s="323"/>
      <c r="B530" s="257" t="s">
        <v>191</v>
      </c>
      <c r="C530" s="243" t="s">
        <v>172</v>
      </c>
      <c r="D530" s="246" t="s">
        <v>59</v>
      </c>
      <c r="E530" s="251">
        <v>14</v>
      </c>
      <c r="F530" s="248"/>
      <c r="G530" s="78">
        <f t="shared" si="5"/>
        <v>0</v>
      </c>
      <c r="H530" s="133"/>
      <c r="I530" s="127"/>
    </row>
    <row r="531" spans="1:9" ht="12">
      <c r="A531" s="323"/>
      <c r="B531" s="257" t="s">
        <v>191</v>
      </c>
      <c r="C531" s="243" t="s">
        <v>173</v>
      </c>
      <c r="D531" s="246" t="s">
        <v>59</v>
      </c>
      <c r="E531" s="251">
        <v>5</v>
      </c>
      <c r="F531" s="248"/>
      <c r="G531" s="78">
        <f t="shared" si="5"/>
        <v>0</v>
      </c>
      <c r="H531" s="133"/>
      <c r="I531" s="127"/>
    </row>
    <row r="532" spans="1:9" ht="12" customHeight="1">
      <c r="A532" s="323" t="s">
        <v>18</v>
      </c>
      <c r="B532" s="257" t="s">
        <v>191</v>
      </c>
      <c r="C532" s="243" t="s">
        <v>541</v>
      </c>
      <c r="D532" s="246" t="s">
        <v>59</v>
      </c>
      <c r="E532" s="251">
        <v>95</v>
      </c>
      <c r="F532" s="248"/>
      <c r="G532" s="78">
        <f t="shared" si="5"/>
        <v>0</v>
      </c>
      <c r="H532" s="133"/>
      <c r="I532" s="127"/>
    </row>
    <row r="533" spans="1:9" ht="12" customHeight="1">
      <c r="A533" s="323" t="s">
        <v>19</v>
      </c>
      <c r="B533" s="257" t="s">
        <v>191</v>
      </c>
      <c r="C533" s="243" t="s">
        <v>542</v>
      </c>
      <c r="D533" s="246" t="s">
        <v>59</v>
      </c>
      <c r="E533" s="251">
        <v>130</v>
      </c>
      <c r="F533" s="248"/>
      <c r="G533" s="78">
        <f t="shared" si="5"/>
        <v>0</v>
      </c>
      <c r="H533" s="133"/>
      <c r="I533" s="127"/>
    </row>
    <row r="534" spans="1:9" ht="12">
      <c r="A534" s="323" t="s">
        <v>20</v>
      </c>
      <c r="B534" s="257" t="s">
        <v>191</v>
      </c>
      <c r="C534" s="243" t="s">
        <v>216</v>
      </c>
      <c r="D534" s="246" t="s">
        <v>71</v>
      </c>
      <c r="E534" s="251">
        <v>15</v>
      </c>
      <c r="F534" s="248"/>
      <c r="G534" s="78">
        <f t="shared" si="5"/>
        <v>0</v>
      </c>
      <c r="H534" s="133"/>
      <c r="I534" s="127"/>
    </row>
    <row r="535" spans="1:9" ht="12">
      <c r="A535" s="323" t="s">
        <v>21</v>
      </c>
      <c r="B535" s="257" t="s">
        <v>191</v>
      </c>
      <c r="C535" s="243" t="s">
        <v>174</v>
      </c>
      <c r="D535" s="246" t="s">
        <v>71</v>
      </c>
      <c r="E535" s="251">
        <v>51</v>
      </c>
      <c r="F535" s="248"/>
      <c r="G535" s="78">
        <f t="shared" si="5"/>
        <v>0</v>
      </c>
      <c r="H535" s="133"/>
      <c r="I535" s="127"/>
    </row>
    <row r="536" spans="1:9" ht="12">
      <c r="A536" s="323" t="s">
        <v>22</v>
      </c>
      <c r="B536" s="257" t="s">
        <v>191</v>
      </c>
      <c r="C536" s="244" t="s">
        <v>189</v>
      </c>
      <c r="D536" s="253" t="s">
        <v>59</v>
      </c>
      <c r="E536" s="251">
        <v>222.5</v>
      </c>
      <c r="F536" s="248"/>
      <c r="G536" s="78">
        <f t="shared" si="5"/>
        <v>0</v>
      </c>
      <c r="H536" s="133"/>
      <c r="I536" s="127"/>
    </row>
    <row r="537" spans="1:9" ht="24">
      <c r="A537" s="323" t="s">
        <v>23</v>
      </c>
      <c r="B537" s="257" t="s">
        <v>191</v>
      </c>
      <c r="C537" s="243" t="s">
        <v>188</v>
      </c>
      <c r="D537" s="253" t="s">
        <v>59</v>
      </c>
      <c r="E537" s="251">
        <v>222.5</v>
      </c>
      <c r="F537" s="248"/>
      <c r="G537" s="78">
        <f t="shared" si="5"/>
        <v>0</v>
      </c>
      <c r="H537" s="133"/>
      <c r="I537" s="127"/>
    </row>
    <row r="538" spans="1:9" ht="12">
      <c r="A538" s="323" t="s">
        <v>24</v>
      </c>
      <c r="B538" s="252"/>
      <c r="C538" s="244" t="s">
        <v>185</v>
      </c>
      <c r="D538" s="253" t="s">
        <v>68</v>
      </c>
      <c r="E538" s="254">
        <v>1</v>
      </c>
      <c r="F538" s="255"/>
      <c r="G538" s="78">
        <f t="shared" si="5"/>
        <v>0</v>
      </c>
      <c r="H538" s="133"/>
      <c r="I538" s="127"/>
    </row>
    <row r="539" spans="1:9" ht="12">
      <c r="A539" s="171"/>
      <c r="B539" s="172"/>
      <c r="C539" s="83"/>
      <c r="D539" s="173"/>
      <c r="E539" s="174"/>
      <c r="F539" s="132"/>
      <c r="G539" s="130"/>
      <c r="H539" s="133"/>
      <c r="I539" s="127"/>
    </row>
    <row r="540" spans="1:9" ht="12">
      <c r="A540" s="325"/>
      <c r="B540" s="281"/>
      <c r="C540" s="267" t="s">
        <v>175</v>
      </c>
      <c r="D540" s="282"/>
      <c r="E540" s="293"/>
      <c r="F540" s="284"/>
      <c r="G540" s="283"/>
      <c r="H540" s="133"/>
      <c r="I540" s="127"/>
    </row>
    <row r="541" spans="1:9" ht="203.25">
      <c r="A541" s="326" t="s">
        <v>48</v>
      </c>
      <c r="B541" s="296" t="s">
        <v>191</v>
      </c>
      <c r="C541" s="267" t="s">
        <v>196</v>
      </c>
      <c r="D541" s="286" t="s">
        <v>71</v>
      </c>
      <c r="E541" s="291">
        <v>9</v>
      </c>
      <c r="F541" s="278"/>
      <c r="G541" s="241">
        <f>E541*F541</f>
        <v>0</v>
      </c>
      <c r="H541" s="133"/>
      <c r="I541" s="127"/>
    </row>
    <row r="542" spans="1:9" ht="215.25">
      <c r="A542" s="326" t="s">
        <v>49</v>
      </c>
      <c r="B542" s="296" t="s">
        <v>191</v>
      </c>
      <c r="C542" s="267" t="s">
        <v>543</v>
      </c>
      <c r="D542" s="286" t="s">
        <v>71</v>
      </c>
      <c r="E542" s="291">
        <v>4</v>
      </c>
      <c r="F542" s="278"/>
      <c r="G542" s="241">
        <f>E542*F542</f>
        <v>0</v>
      </c>
      <c r="H542" s="133"/>
      <c r="I542" s="127"/>
    </row>
    <row r="543" spans="1:10" s="178" customFormat="1" ht="12">
      <c r="A543" s="326" t="s">
        <v>50</v>
      </c>
      <c r="B543" s="298" t="s">
        <v>191</v>
      </c>
      <c r="C543" s="266" t="s">
        <v>217</v>
      </c>
      <c r="D543" s="286" t="s">
        <v>71</v>
      </c>
      <c r="E543" s="291">
        <v>15</v>
      </c>
      <c r="F543" s="278"/>
      <c r="G543" s="241">
        <f>E543*F543</f>
        <v>0</v>
      </c>
      <c r="H543" s="175"/>
      <c r="I543" s="176"/>
      <c r="J543" s="177"/>
    </row>
    <row r="544" spans="1:9" ht="90">
      <c r="A544" s="326"/>
      <c r="B544" s="281"/>
      <c r="C544" s="281" t="s">
        <v>179</v>
      </c>
      <c r="D544" s="282"/>
      <c r="E544" s="293"/>
      <c r="F544" s="284"/>
      <c r="G544" s="283"/>
      <c r="H544" s="241">
        <f>F544*G544</f>
        <v>0</v>
      </c>
      <c r="I544" s="127"/>
    </row>
    <row r="545" spans="1:9" ht="12">
      <c r="A545" s="326" t="s">
        <v>18</v>
      </c>
      <c r="B545" s="298" t="s">
        <v>191</v>
      </c>
      <c r="C545" s="301" t="s">
        <v>197</v>
      </c>
      <c r="D545" s="289" t="s">
        <v>71</v>
      </c>
      <c r="E545" s="291">
        <v>15</v>
      </c>
      <c r="F545" s="278"/>
      <c r="G545" s="241">
        <f>E545*F545</f>
        <v>0</v>
      </c>
      <c r="H545" s="133"/>
      <c r="I545" s="127"/>
    </row>
    <row r="546" spans="1:9" ht="225">
      <c r="A546" s="326"/>
      <c r="B546" s="281"/>
      <c r="C546" s="281" t="s">
        <v>180</v>
      </c>
      <c r="D546" s="282"/>
      <c r="E546" s="293"/>
      <c r="F546" s="284"/>
      <c r="G546" s="283"/>
      <c r="H546" s="133"/>
      <c r="I546" s="127"/>
    </row>
    <row r="547" spans="1:10" s="80" customFormat="1" ht="24">
      <c r="A547" s="326" t="s">
        <v>50</v>
      </c>
      <c r="B547" s="298" t="s">
        <v>191</v>
      </c>
      <c r="C547" s="302" t="s">
        <v>218</v>
      </c>
      <c r="D547" s="286" t="s">
        <v>71</v>
      </c>
      <c r="E547" s="291">
        <v>6</v>
      </c>
      <c r="F547" s="278"/>
      <c r="G547" s="241">
        <f>E547*F547</f>
        <v>0</v>
      </c>
      <c r="H547" s="94"/>
      <c r="I547" s="156"/>
      <c r="J547" s="104"/>
    </row>
    <row r="548" spans="1:9" ht="236.25">
      <c r="A548" s="326" t="s">
        <v>18</v>
      </c>
      <c r="B548" s="296" t="s">
        <v>191</v>
      </c>
      <c r="C548" s="287" t="s">
        <v>181</v>
      </c>
      <c r="D548" s="282"/>
      <c r="E548" s="293"/>
      <c r="F548" s="284"/>
      <c r="G548" s="283"/>
      <c r="H548" s="133"/>
      <c r="I548" s="127"/>
    </row>
    <row r="549" spans="1:10" s="80" customFormat="1" ht="36">
      <c r="A549" s="326" t="s">
        <v>19</v>
      </c>
      <c r="B549" s="296" t="s">
        <v>191</v>
      </c>
      <c r="C549" s="273" t="s">
        <v>137</v>
      </c>
      <c r="D549" s="289" t="s">
        <v>71</v>
      </c>
      <c r="E549" s="294">
        <v>6</v>
      </c>
      <c r="F549" s="288"/>
      <c r="G549" s="241">
        <f aca="true" t="shared" si="6" ref="G549:G559">E549*F549</f>
        <v>0</v>
      </c>
      <c r="H549" s="94"/>
      <c r="I549" s="156"/>
      <c r="J549" s="104"/>
    </row>
    <row r="550" spans="1:9" ht="12">
      <c r="A550" s="326" t="s">
        <v>20</v>
      </c>
      <c r="B550" s="298" t="s">
        <v>191</v>
      </c>
      <c r="C550" s="301" t="s">
        <v>197</v>
      </c>
      <c r="D550" s="289" t="s">
        <v>71</v>
      </c>
      <c r="E550" s="291">
        <v>6</v>
      </c>
      <c r="F550" s="278"/>
      <c r="G550" s="241">
        <f t="shared" si="6"/>
        <v>0</v>
      </c>
      <c r="H550" s="133"/>
      <c r="I550" s="127"/>
    </row>
    <row r="551" spans="1:10" s="80" customFormat="1" ht="12">
      <c r="A551" s="326" t="s">
        <v>21</v>
      </c>
      <c r="B551" s="298" t="s">
        <v>191</v>
      </c>
      <c r="C551" s="266" t="s">
        <v>198</v>
      </c>
      <c r="D551" s="289" t="s">
        <v>71</v>
      </c>
      <c r="E551" s="291">
        <v>1</v>
      </c>
      <c r="F551" s="278"/>
      <c r="G551" s="241">
        <f t="shared" si="6"/>
        <v>0</v>
      </c>
      <c r="H551" s="94"/>
      <c r="I551" s="156"/>
      <c r="J551" s="104"/>
    </row>
    <row r="552" spans="1:9" ht="24">
      <c r="A552" s="326" t="s">
        <v>22</v>
      </c>
      <c r="B552" s="298" t="s">
        <v>191</v>
      </c>
      <c r="C552" s="266" t="s">
        <v>544</v>
      </c>
      <c r="D552" s="289" t="s">
        <v>71</v>
      </c>
      <c r="E552" s="291">
        <v>1</v>
      </c>
      <c r="F552" s="278"/>
      <c r="G552" s="241">
        <f t="shared" si="6"/>
        <v>0</v>
      </c>
      <c r="H552" s="133"/>
      <c r="I552" s="127"/>
    </row>
    <row r="553" spans="1:10" s="80" customFormat="1" ht="24">
      <c r="A553" s="326" t="s">
        <v>23</v>
      </c>
      <c r="B553" s="298" t="s">
        <v>191</v>
      </c>
      <c r="C553" s="266" t="s">
        <v>545</v>
      </c>
      <c r="D553" s="289" t="s">
        <v>71</v>
      </c>
      <c r="E553" s="291">
        <v>1</v>
      </c>
      <c r="F553" s="278"/>
      <c r="G553" s="241">
        <f t="shared" si="6"/>
        <v>0</v>
      </c>
      <c r="H553" s="94"/>
      <c r="I553" s="156"/>
      <c r="J553" s="104"/>
    </row>
    <row r="554" spans="1:10" s="80" customFormat="1" ht="24">
      <c r="A554" s="326" t="s">
        <v>24</v>
      </c>
      <c r="B554" s="298" t="s">
        <v>191</v>
      </c>
      <c r="C554" s="266" t="s">
        <v>546</v>
      </c>
      <c r="D554" s="289" t="s">
        <v>71</v>
      </c>
      <c r="E554" s="291">
        <v>1</v>
      </c>
      <c r="F554" s="278"/>
      <c r="G554" s="241">
        <f t="shared" si="6"/>
        <v>0</v>
      </c>
      <c r="H554" s="94"/>
      <c r="I554" s="156"/>
      <c r="J554" s="104"/>
    </row>
    <row r="555" spans="1:10" s="80" customFormat="1" ht="12">
      <c r="A555" s="326" t="s">
        <v>25</v>
      </c>
      <c r="B555" s="298" t="s">
        <v>191</v>
      </c>
      <c r="C555" s="266" t="s">
        <v>199</v>
      </c>
      <c r="D555" s="289" t="s">
        <v>71</v>
      </c>
      <c r="E555" s="291">
        <v>1</v>
      </c>
      <c r="F555" s="278"/>
      <c r="G555" s="241">
        <f t="shared" si="6"/>
        <v>0</v>
      </c>
      <c r="H555" s="94"/>
      <c r="I555" s="156"/>
      <c r="J555" s="104"/>
    </row>
    <row r="556" spans="1:10" s="80" customFormat="1" ht="112.5">
      <c r="A556" s="326" t="s">
        <v>26</v>
      </c>
      <c r="B556" s="296" t="s">
        <v>191</v>
      </c>
      <c r="C556" s="290" t="s">
        <v>178</v>
      </c>
      <c r="D556" s="277"/>
      <c r="E556" s="291">
        <v>13</v>
      </c>
      <c r="F556" s="278"/>
      <c r="G556" s="241">
        <f t="shared" si="6"/>
        <v>0</v>
      </c>
      <c r="H556" s="94"/>
      <c r="I556" s="156"/>
      <c r="J556" s="104"/>
    </row>
    <row r="557" spans="1:10" s="80" customFormat="1" ht="24">
      <c r="A557" s="326" t="s">
        <v>27</v>
      </c>
      <c r="B557" s="296" t="s">
        <v>191</v>
      </c>
      <c r="C557" s="272" t="s">
        <v>547</v>
      </c>
      <c r="D557" s="289" t="s">
        <v>71</v>
      </c>
      <c r="E557" s="291">
        <v>3</v>
      </c>
      <c r="F557" s="278"/>
      <c r="G557" s="241">
        <f t="shared" si="6"/>
        <v>0</v>
      </c>
      <c r="H557" s="94"/>
      <c r="I557" s="156"/>
      <c r="J557" s="104"/>
    </row>
    <row r="558" spans="1:10" s="80" customFormat="1" ht="12">
      <c r="A558" s="326" t="s">
        <v>28</v>
      </c>
      <c r="B558" s="296" t="s">
        <v>191</v>
      </c>
      <c r="C558" s="272" t="s">
        <v>176</v>
      </c>
      <c r="D558" s="289" t="s">
        <v>71</v>
      </c>
      <c r="E558" s="291">
        <v>2</v>
      </c>
      <c r="F558" s="278"/>
      <c r="G558" s="241">
        <f t="shared" si="6"/>
        <v>0</v>
      </c>
      <c r="H558" s="94"/>
      <c r="I558" s="157"/>
      <c r="J558" s="104"/>
    </row>
    <row r="559" spans="1:10" s="80" customFormat="1" ht="12">
      <c r="A559" s="326" t="s">
        <v>29</v>
      </c>
      <c r="B559" s="296" t="s">
        <v>191</v>
      </c>
      <c r="C559" s="272" t="s">
        <v>177</v>
      </c>
      <c r="D559" s="289" t="s">
        <v>71</v>
      </c>
      <c r="E559" s="291">
        <v>1</v>
      </c>
      <c r="F559" s="278"/>
      <c r="G559" s="241">
        <f t="shared" si="6"/>
        <v>0</v>
      </c>
      <c r="H559" s="94"/>
      <c r="I559" s="157"/>
      <c r="J559" s="104"/>
    </row>
    <row r="560" spans="1:7" ht="12.75">
      <c r="A560" s="325" t="s">
        <v>60</v>
      </c>
      <c r="B560" s="259"/>
      <c r="C560" s="275" t="s">
        <v>190</v>
      </c>
      <c r="D560" s="277" t="s">
        <v>51</v>
      </c>
      <c r="E560" s="295">
        <v>0.08</v>
      </c>
      <c r="F560" s="285"/>
      <c r="G560" s="240">
        <f>E560*F560</f>
        <v>0</v>
      </c>
    </row>
    <row r="561" spans="1:7" ht="12.75">
      <c r="A561" s="325"/>
      <c r="B561" s="259"/>
      <c r="C561" s="275"/>
      <c r="D561" s="259"/>
      <c r="E561" s="295"/>
      <c r="F561" s="285"/>
      <c r="G561" s="259"/>
    </row>
    <row r="562" spans="1:7" ht="12.75">
      <c r="A562" s="325"/>
      <c r="B562" s="259"/>
      <c r="C562" s="299" t="s">
        <v>203</v>
      </c>
      <c r="D562" s="277" t="s">
        <v>194</v>
      </c>
      <c r="E562" s="291" t="s">
        <v>31</v>
      </c>
      <c r="F562" s="285"/>
      <c r="G562" s="280">
        <f>SUM(G564:G571)</f>
        <v>0</v>
      </c>
    </row>
    <row r="563" spans="1:7" ht="12.75">
      <c r="A563" s="325"/>
      <c r="B563" s="259"/>
      <c r="C563" s="275"/>
      <c r="D563" s="259"/>
      <c r="E563" s="295"/>
      <c r="F563" s="285"/>
      <c r="G563" s="259"/>
    </row>
    <row r="564" spans="1:7" ht="24">
      <c r="A564" s="325" t="s">
        <v>48</v>
      </c>
      <c r="B564" s="276" t="s">
        <v>548</v>
      </c>
      <c r="C564" s="271" t="s">
        <v>549</v>
      </c>
      <c r="D564" s="277" t="s">
        <v>71</v>
      </c>
      <c r="E564" s="295">
        <v>3</v>
      </c>
      <c r="F564" s="285"/>
      <c r="G564" s="241">
        <f aca="true" t="shared" si="7" ref="G564:G571">E564*F564</f>
        <v>0</v>
      </c>
    </row>
    <row r="565" spans="1:7" ht="12">
      <c r="A565" s="325" t="s">
        <v>49</v>
      </c>
      <c r="B565" s="296" t="s">
        <v>191</v>
      </c>
      <c r="C565" s="275" t="s">
        <v>204</v>
      </c>
      <c r="D565" s="277" t="s">
        <v>59</v>
      </c>
      <c r="E565" s="295">
        <v>98</v>
      </c>
      <c r="F565" s="285"/>
      <c r="G565" s="241">
        <f t="shared" si="7"/>
        <v>0</v>
      </c>
    </row>
    <row r="566" spans="1:7" ht="48">
      <c r="A566" s="325" t="s">
        <v>50</v>
      </c>
      <c r="B566" s="296" t="s">
        <v>191</v>
      </c>
      <c r="C566" s="271" t="s">
        <v>550</v>
      </c>
      <c r="D566" s="277" t="s">
        <v>68</v>
      </c>
      <c r="E566" s="295">
        <v>2</v>
      </c>
      <c r="F566" s="285"/>
      <c r="G566" s="241">
        <f t="shared" si="7"/>
        <v>0</v>
      </c>
    </row>
    <row r="567" spans="1:7" ht="12">
      <c r="A567" s="325" t="s">
        <v>18</v>
      </c>
      <c r="B567" s="296" t="s">
        <v>191</v>
      </c>
      <c r="C567" s="271" t="s">
        <v>551</v>
      </c>
      <c r="D567" s="277" t="s">
        <v>68</v>
      </c>
      <c r="E567" s="295">
        <v>1</v>
      </c>
      <c r="F567" s="285"/>
      <c r="G567" s="241">
        <f t="shared" si="7"/>
        <v>0</v>
      </c>
    </row>
    <row r="568" spans="1:7" ht="24">
      <c r="A568" s="325" t="s">
        <v>19</v>
      </c>
      <c r="B568" s="296" t="s">
        <v>191</v>
      </c>
      <c r="C568" s="271" t="s">
        <v>552</v>
      </c>
      <c r="D568" s="277" t="s">
        <v>68</v>
      </c>
      <c r="E568" s="295">
        <v>3</v>
      </c>
      <c r="F568" s="285"/>
      <c r="G568" s="241">
        <f t="shared" si="7"/>
        <v>0</v>
      </c>
    </row>
    <row r="569" spans="1:7" ht="12">
      <c r="A569" s="325" t="s">
        <v>20</v>
      </c>
      <c r="B569" s="296" t="s">
        <v>191</v>
      </c>
      <c r="C569" s="271" t="s">
        <v>553</v>
      </c>
      <c r="D569" s="277" t="s">
        <v>68</v>
      </c>
      <c r="E569" s="295">
        <v>1</v>
      </c>
      <c r="F569" s="285"/>
      <c r="G569" s="241">
        <f t="shared" si="7"/>
        <v>0</v>
      </c>
    </row>
    <row r="570" spans="1:7" ht="12">
      <c r="A570" s="325" t="s">
        <v>21</v>
      </c>
      <c r="B570" s="296" t="s">
        <v>191</v>
      </c>
      <c r="C570" s="275" t="s">
        <v>205</v>
      </c>
      <c r="D570" s="277" t="s">
        <v>68</v>
      </c>
      <c r="E570" s="295">
        <v>7</v>
      </c>
      <c r="F570" s="285"/>
      <c r="G570" s="241">
        <f t="shared" si="7"/>
        <v>0</v>
      </c>
    </row>
    <row r="571" spans="1:7" ht="12">
      <c r="A571" s="325" t="s">
        <v>22</v>
      </c>
      <c r="B571" s="296" t="s">
        <v>191</v>
      </c>
      <c r="C571" s="275" t="s">
        <v>206</v>
      </c>
      <c r="D571" s="277" t="s">
        <v>68</v>
      </c>
      <c r="E571" s="295">
        <v>1</v>
      </c>
      <c r="F571" s="285"/>
      <c r="G571" s="240">
        <f t="shared" si="7"/>
        <v>0</v>
      </c>
    </row>
    <row r="572" spans="1:7" ht="12.75">
      <c r="A572" s="325"/>
      <c r="B572" s="259"/>
      <c r="C572" s="259"/>
      <c r="D572" s="259"/>
      <c r="E572" s="259"/>
      <c r="F572" s="285"/>
      <c r="G572" s="259"/>
    </row>
    <row r="573" spans="1:7" ht="12.75">
      <c r="A573" s="325"/>
      <c r="B573" s="259"/>
      <c r="C573" s="269" t="s">
        <v>209</v>
      </c>
      <c r="D573" s="277" t="s">
        <v>194</v>
      </c>
      <c r="E573" s="291" t="s">
        <v>31</v>
      </c>
      <c r="F573" s="259"/>
      <c r="G573" s="280">
        <f>SUM(G575:G617)</f>
        <v>0</v>
      </c>
    </row>
    <row r="574" spans="1:7" ht="12.75">
      <c r="A574" s="325"/>
      <c r="B574" s="259"/>
      <c r="C574" s="269"/>
      <c r="D574" s="259"/>
      <c r="E574" s="259"/>
      <c r="F574" s="259"/>
      <c r="G574" s="280"/>
    </row>
    <row r="575" spans="1:7" ht="96">
      <c r="A575" s="326" t="s">
        <v>48</v>
      </c>
      <c r="B575" s="296" t="s">
        <v>191</v>
      </c>
      <c r="C575" s="270" t="s">
        <v>193</v>
      </c>
      <c r="D575" s="300" t="s">
        <v>71</v>
      </c>
      <c r="E575" s="288">
        <f>SUM(E576:E585)</f>
        <v>22</v>
      </c>
      <c r="F575" s="288"/>
      <c r="G575" s="240">
        <f>E575*F575</f>
        <v>0</v>
      </c>
    </row>
    <row r="576" spans="1:7" ht="12.75">
      <c r="A576" s="325"/>
      <c r="B576" s="259"/>
      <c r="C576" s="261" t="s">
        <v>389</v>
      </c>
      <c r="D576" s="262" t="s">
        <v>71</v>
      </c>
      <c r="E576" s="263">
        <v>2</v>
      </c>
      <c r="F576" s="268"/>
      <c r="G576" s="240"/>
    </row>
    <row r="577" spans="1:7" ht="12.75">
      <c r="A577" s="325"/>
      <c r="B577" s="259"/>
      <c r="C577" s="261" t="s">
        <v>329</v>
      </c>
      <c r="D577" s="262" t="s">
        <v>71</v>
      </c>
      <c r="E577" s="297">
        <v>5</v>
      </c>
      <c r="F577" s="268"/>
      <c r="G577" s="240"/>
    </row>
    <row r="578" spans="1:7" ht="12.75">
      <c r="A578" s="325"/>
      <c r="B578" s="259"/>
      <c r="C578" s="261" t="s">
        <v>390</v>
      </c>
      <c r="D578" s="262" t="s">
        <v>71</v>
      </c>
      <c r="E578" s="265">
        <v>4</v>
      </c>
      <c r="F578" s="268"/>
      <c r="G578" s="240"/>
    </row>
    <row r="579" spans="1:7" ht="12.75">
      <c r="A579" s="325"/>
      <c r="B579" s="259"/>
      <c r="C579" s="261" t="s">
        <v>391</v>
      </c>
      <c r="D579" s="262" t="s">
        <v>71</v>
      </c>
      <c r="E579" s="297">
        <v>2</v>
      </c>
      <c r="F579" s="268"/>
      <c r="G579" s="240"/>
    </row>
    <row r="580" spans="1:7" ht="12.75">
      <c r="A580" s="325"/>
      <c r="B580" s="259"/>
      <c r="C580" s="261" t="s">
        <v>363</v>
      </c>
      <c r="D580" s="262" t="s">
        <v>71</v>
      </c>
      <c r="E580" s="265">
        <v>1</v>
      </c>
      <c r="F580" s="268"/>
      <c r="G580" s="240"/>
    </row>
    <row r="581" spans="1:7" ht="12.75">
      <c r="A581" s="325"/>
      <c r="B581" s="259"/>
      <c r="C581" s="261" t="s">
        <v>554</v>
      </c>
      <c r="D581" s="262" t="s">
        <v>71</v>
      </c>
      <c r="E581" s="297">
        <v>2</v>
      </c>
      <c r="F581" s="268"/>
      <c r="G581" s="240"/>
    </row>
    <row r="582" spans="1:7" ht="12.75">
      <c r="A582" s="325"/>
      <c r="B582" s="259"/>
      <c r="C582" s="261" t="s">
        <v>367</v>
      </c>
      <c r="D582" s="262" t="s">
        <v>71</v>
      </c>
      <c r="E582" s="265">
        <v>2</v>
      </c>
      <c r="F582" s="268"/>
      <c r="G582" s="240"/>
    </row>
    <row r="583" spans="1:7" ht="12.75">
      <c r="A583" s="325"/>
      <c r="B583" s="259"/>
      <c r="C583" s="261" t="s">
        <v>369</v>
      </c>
      <c r="D583" s="262" t="s">
        <v>71</v>
      </c>
      <c r="E583" s="297">
        <v>1</v>
      </c>
      <c r="F583" s="268"/>
      <c r="G583" s="240"/>
    </row>
    <row r="584" spans="1:7" ht="12.75">
      <c r="A584" s="325"/>
      <c r="B584" s="259"/>
      <c r="C584" s="261" t="s">
        <v>453</v>
      </c>
      <c r="D584" s="262" t="s">
        <v>71</v>
      </c>
      <c r="E584" s="265">
        <v>2</v>
      </c>
      <c r="F584" s="268"/>
      <c r="G584" s="240"/>
    </row>
    <row r="585" spans="1:7" ht="12.75">
      <c r="A585" s="325"/>
      <c r="B585" s="259"/>
      <c r="C585" s="261" t="s">
        <v>452</v>
      </c>
      <c r="D585" s="262" t="s">
        <v>71</v>
      </c>
      <c r="E585" s="265">
        <v>1</v>
      </c>
      <c r="F585" s="268"/>
      <c r="G585" s="240"/>
    </row>
    <row r="586" spans="1:7" ht="12.75">
      <c r="A586" s="325"/>
      <c r="B586" s="259"/>
      <c r="C586" s="259"/>
      <c r="D586" s="275"/>
      <c r="E586" s="268"/>
      <c r="F586" s="268"/>
      <c r="G586" s="240"/>
    </row>
    <row r="587" spans="1:7" ht="84">
      <c r="A587" s="326" t="s">
        <v>49</v>
      </c>
      <c r="B587" s="296" t="s">
        <v>191</v>
      </c>
      <c r="C587" s="274" t="s">
        <v>141</v>
      </c>
      <c r="D587" s="289" t="s">
        <v>71</v>
      </c>
      <c r="E587" s="288">
        <v>3</v>
      </c>
      <c r="F587" s="288"/>
      <c r="G587" s="240">
        <f>E587*F587</f>
        <v>0</v>
      </c>
    </row>
    <row r="588" spans="1:7" ht="12">
      <c r="A588" s="327"/>
      <c r="B588" s="260"/>
      <c r="C588" s="261" t="s">
        <v>392</v>
      </c>
      <c r="D588" s="262" t="s">
        <v>71</v>
      </c>
      <c r="E588" s="263">
        <v>3</v>
      </c>
      <c r="F588" s="264"/>
      <c r="G588" s="240"/>
    </row>
    <row r="589" spans="1:10" s="49" customFormat="1" ht="12.75">
      <c r="A589" s="325"/>
      <c r="B589" s="259"/>
      <c r="C589" s="259"/>
      <c r="D589" s="259"/>
      <c r="E589" s="259"/>
      <c r="F589" s="259"/>
      <c r="G589" s="240"/>
      <c r="H589" s="51"/>
      <c r="I589" s="52"/>
      <c r="J589" s="53"/>
    </row>
    <row r="590" spans="1:10" s="49" customFormat="1" ht="96">
      <c r="A590" s="326" t="s">
        <v>50</v>
      </c>
      <c r="B590" s="296" t="s">
        <v>191</v>
      </c>
      <c r="C590" s="267" t="s">
        <v>192</v>
      </c>
      <c r="D590" s="289" t="s">
        <v>71</v>
      </c>
      <c r="E590" s="288">
        <f>SUM(E591:E600)</f>
        <v>16</v>
      </c>
      <c r="F590" s="288"/>
      <c r="G590" s="240">
        <f>E590*F590</f>
        <v>0</v>
      </c>
      <c r="H590" s="51"/>
      <c r="I590" s="52"/>
      <c r="J590" s="53"/>
    </row>
    <row r="591" spans="1:10" s="49" customFormat="1" ht="12">
      <c r="A591" s="325"/>
      <c r="B591" s="281"/>
      <c r="C591" s="261" t="s">
        <v>389</v>
      </c>
      <c r="D591" s="262" t="s">
        <v>71</v>
      </c>
      <c r="E591" s="263">
        <v>1</v>
      </c>
      <c r="F591" s="268"/>
      <c r="G591" s="283"/>
      <c r="H591" s="51"/>
      <c r="I591" s="52"/>
      <c r="J591" s="53"/>
    </row>
    <row r="592" spans="1:10" s="49" customFormat="1" ht="12">
      <c r="A592" s="325"/>
      <c r="B592" s="281"/>
      <c r="C592" s="261" t="s">
        <v>329</v>
      </c>
      <c r="D592" s="262" t="s">
        <v>71</v>
      </c>
      <c r="E592" s="297">
        <v>6</v>
      </c>
      <c r="F592" s="268"/>
      <c r="G592" s="283"/>
      <c r="H592" s="51"/>
      <c r="I592" s="52"/>
      <c r="J592" s="53"/>
    </row>
    <row r="593" spans="1:10" s="49" customFormat="1" ht="12">
      <c r="A593" s="325"/>
      <c r="B593" s="281"/>
      <c r="C593" s="261" t="s">
        <v>390</v>
      </c>
      <c r="D593" s="262" t="s">
        <v>71</v>
      </c>
      <c r="E593" s="263">
        <v>6</v>
      </c>
      <c r="F593" s="268"/>
      <c r="G593" s="283"/>
      <c r="H593" s="51"/>
      <c r="I593" s="52"/>
      <c r="J593" s="53"/>
    </row>
    <row r="594" spans="1:10" s="49" customFormat="1" ht="12">
      <c r="A594" s="325"/>
      <c r="B594" s="281"/>
      <c r="C594" s="261" t="s">
        <v>391</v>
      </c>
      <c r="D594" s="262" t="s">
        <v>71</v>
      </c>
      <c r="E594" s="297">
        <v>2</v>
      </c>
      <c r="F594" s="268"/>
      <c r="G594" s="283"/>
      <c r="H594" s="51"/>
      <c r="I594" s="52"/>
      <c r="J594" s="53"/>
    </row>
    <row r="595" spans="1:10" s="49" customFormat="1" ht="12">
      <c r="A595" s="325"/>
      <c r="B595" s="281"/>
      <c r="C595" s="261" t="s">
        <v>363</v>
      </c>
      <c r="D595" s="262" t="s">
        <v>71</v>
      </c>
      <c r="E595" s="263">
        <v>0</v>
      </c>
      <c r="F595" s="268"/>
      <c r="G595" s="283"/>
      <c r="H595" s="51"/>
      <c r="I595" s="52"/>
      <c r="J595" s="53"/>
    </row>
    <row r="596" spans="1:10" s="49" customFormat="1" ht="12">
      <c r="A596" s="325"/>
      <c r="B596" s="281"/>
      <c r="C596" s="261" t="s">
        <v>554</v>
      </c>
      <c r="D596" s="262" t="s">
        <v>71</v>
      </c>
      <c r="E596" s="297">
        <v>1</v>
      </c>
      <c r="F596" s="268"/>
      <c r="G596" s="283"/>
      <c r="H596" s="51"/>
      <c r="I596" s="52"/>
      <c r="J596" s="53"/>
    </row>
    <row r="597" spans="1:10" s="49" customFormat="1" ht="12">
      <c r="A597" s="325"/>
      <c r="B597" s="281"/>
      <c r="C597" s="261" t="s">
        <v>367</v>
      </c>
      <c r="D597" s="262" t="s">
        <v>71</v>
      </c>
      <c r="E597" s="263">
        <v>0</v>
      </c>
      <c r="F597" s="268"/>
      <c r="G597" s="283"/>
      <c r="H597" s="51"/>
      <c r="I597" s="52"/>
      <c r="J597" s="53"/>
    </row>
    <row r="598" spans="1:7" ht="12">
      <c r="A598" s="325"/>
      <c r="B598" s="281"/>
      <c r="C598" s="261" t="s">
        <v>369</v>
      </c>
      <c r="D598" s="262" t="s">
        <v>71</v>
      </c>
      <c r="E598" s="297">
        <v>0</v>
      </c>
      <c r="F598" s="268"/>
      <c r="G598" s="283"/>
    </row>
    <row r="599" spans="1:9" ht="12">
      <c r="A599" s="325"/>
      <c r="B599" s="281"/>
      <c r="C599" s="261" t="s">
        <v>453</v>
      </c>
      <c r="D599" s="262" t="s">
        <v>71</v>
      </c>
      <c r="E599" s="263">
        <v>0</v>
      </c>
      <c r="F599" s="283"/>
      <c r="G599" s="283"/>
      <c r="I599" s="127"/>
    </row>
    <row r="600" spans="1:9" ht="12">
      <c r="A600" s="325"/>
      <c r="B600" s="281"/>
      <c r="C600" s="261" t="s">
        <v>452</v>
      </c>
      <c r="D600" s="262" t="s">
        <v>71</v>
      </c>
      <c r="E600" s="265">
        <v>0</v>
      </c>
      <c r="F600" s="283"/>
      <c r="G600" s="283"/>
      <c r="I600" s="127"/>
    </row>
    <row r="601" spans="1:9" ht="12">
      <c r="A601" s="325"/>
      <c r="B601" s="281"/>
      <c r="C601" s="261"/>
      <c r="D601" s="262"/>
      <c r="E601" s="263"/>
      <c r="F601" s="283"/>
      <c r="G601" s="283"/>
      <c r="I601" s="127"/>
    </row>
    <row r="602" spans="1:9" ht="84">
      <c r="A602" s="326" t="s">
        <v>18</v>
      </c>
      <c r="B602" s="296" t="s">
        <v>191</v>
      </c>
      <c r="C602" s="270" t="s">
        <v>142</v>
      </c>
      <c r="D602" s="289" t="s">
        <v>71</v>
      </c>
      <c r="E602" s="288">
        <f>SUM(E603:E612)</f>
        <v>20</v>
      </c>
      <c r="F602" s="288"/>
      <c r="G602" s="240">
        <f>E602*F602</f>
        <v>0</v>
      </c>
      <c r="I602" s="127"/>
    </row>
    <row r="603" spans="1:9" ht="12">
      <c r="A603" s="325"/>
      <c r="B603" s="281"/>
      <c r="C603" s="261" t="s">
        <v>389</v>
      </c>
      <c r="D603" s="262" t="s">
        <v>71</v>
      </c>
      <c r="E603" s="263">
        <v>2</v>
      </c>
      <c r="F603" s="283"/>
      <c r="G603" s="283"/>
      <c r="I603" s="127"/>
    </row>
    <row r="604" spans="1:9" ht="12">
      <c r="A604" s="325"/>
      <c r="B604" s="281"/>
      <c r="C604" s="261" t="s">
        <v>329</v>
      </c>
      <c r="D604" s="262" t="s">
        <v>71</v>
      </c>
      <c r="E604" s="297">
        <v>0</v>
      </c>
      <c r="F604" s="283"/>
      <c r="G604" s="283"/>
      <c r="I604" s="127"/>
    </row>
    <row r="605" spans="1:9" ht="12">
      <c r="A605" s="325"/>
      <c r="B605" s="281"/>
      <c r="C605" s="261" t="s">
        <v>390</v>
      </c>
      <c r="D605" s="262" t="s">
        <v>71</v>
      </c>
      <c r="E605" s="265">
        <v>0</v>
      </c>
      <c r="F605" s="283"/>
      <c r="G605" s="283"/>
      <c r="I605" s="127"/>
    </row>
    <row r="606" spans="1:9" ht="12">
      <c r="A606" s="325"/>
      <c r="B606" s="281"/>
      <c r="C606" s="261" t="s">
        <v>391</v>
      </c>
      <c r="D606" s="262" t="s">
        <v>71</v>
      </c>
      <c r="E606" s="297">
        <v>4</v>
      </c>
      <c r="F606" s="283"/>
      <c r="G606" s="283"/>
      <c r="I606" s="127"/>
    </row>
    <row r="607" spans="1:9" ht="12">
      <c r="A607" s="325"/>
      <c r="B607" s="281"/>
      <c r="C607" s="261" t="s">
        <v>363</v>
      </c>
      <c r="D607" s="262" t="s">
        <v>71</v>
      </c>
      <c r="E607" s="265">
        <v>1</v>
      </c>
      <c r="F607" s="283"/>
      <c r="G607" s="283"/>
      <c r="I607" s="127"/>
    </row>
    <row r="608" spans="1:9" ht="12">
      <c r="A608" s="325"/>
      <c r="B608" s="281"/>
      <c r="C608" s="261" t="s">
        <v>554</v>
      </c>
      <c r="D608" s="262" t="s">
        <v>71</v>
      </c>
      <c r="E608" s="297">
        <v>3</v>
      </c>
      <c r="F608" s="283"/>
      <c r="G608" s="283"/>
      <c r="I608" s="127"/>
    </row>
    <row r="609" spans="1:9" ht="12">
      <c r="A609" s="325"/>
      <c r="B609" s="281"/>
      <c r="C609" s="261" t="s">
        <v>367</v>
      </c>
      <c r="D609" s="262" t="s">
        <v>71</v>
      </c>
      <c r="E609" s="265">
        <v>3</v>
      </c>
      <c r="F609" s="283"/>
      <c r="G609" s="283"/>
      <c r="I609" s="127"/>
    </row>
    <row r="610" spans="1:9" ht="12">
      <c r="A610" s="325"/>
      <c r="B610" s="281"/>
      <c r="C610" s="261" t="s">
        <v>369</v>
      </c>
      <c r="D610" s="262" t="s">
        <v>71</v>
      </c>
      <c r="E610" s="297">
        <v>2</v>
      </c>
      <c r="F610" s="283"/>
      <c r="G610" s="283"/>
      <c r="I610" s="127"/>
    </row>
    <row r="611" spans="1:9" ht="12">
      <c r="A611" s="325"/>
      <c r="B611" s="281"/>
      <c r="C611" s="261" t="s">
        <v>453</v>
      </c>
      <c r="D611" s="262" t="s">
        <v>71</v>
      </c>
      <c r="E611" s="265">
        <v>3</v>
      </c>
      <c r="F611" s="283"/>
      <c r="G611" s="283"/>
      <c r="I611" s="127"/>
    </row>
    <row r="612" spans="1:9" ht="12">
      <c r="A612" s="325"/>
      <c r="B612" s="281"/>
      <c r="C612" s="261" t="s">
        <v>452</v>
      </c>
      <c r="D612" s="262" t="s">
        <v>71</v>
      </c>
      <c r="E612" s="265">
        <v>2</v>
      </c>
      <c r="F612" s="283"/>
      <c r="G612" s="283"/>
      <c r="I612" s="127"/>
    </row>
    <row r="613" spans="1:9" ht="12">
      <c r="A613" s="325" t="s">
        <v>19</v>
      </c>
      <c r="B613" s="296" t="s">
        <v>191</v>
      </c>
      <c r="C613" s="270" t="s">
        <v>195</v>
      </c>
      <c r="D613" s="276" t="s">
        <v>68</v>
      </c>
      <c r="E613" s="292">
        <v>1</v>
      </c>
      <c r="F613" s="279"/>
      <c r="G613" s="240">
        <f>E613*F613</f>
        <v>0</v>
      </c>
      <c r="I613" s="127"/>
    </row>
    <row r="614" spans="1:9" ht="12">
      <c r="A614" s="325"/>
      <c r="B614" s="296"/>
      <c r="C614" s="270"/>
      <c r="D614" s="276"/>
      <c r="E614" s="292"/>
      <c r="F614" s="279"/>
      <c r="G614" s="240"/>
      <c r="I614" s="127"/>
    </row>
    <row r="615" spans="1:9" ht="52.5" customHeight="1">
      <c r="A615" s="325"/>
      <c r="B615" s="296" t="s">
        <v>191</v>
      </c>
      <c r="C615" s="270" t="s">
        <v>569</v>
      </c>
      <c r="D615" s="276"/>
      <c r="E615" s="292"/>
      <c r="F615" s="279"/>
      <c r="G615" s="240"/>
      <c r="I615" s="127"/>
    </row>
    <row r="616" spans="1:9" ht="12">
      <c r="A616" s="325"/>
      <c r="B616" s="296"/>
      <c r="C616" s="261" t="s">
        <v>570</v>
      </c>
      <c r="D616" s="262" t="s">
        <v>71</v>
      </c>
      <c r="E616" s="263">
        <v>2</v>
      </c>
      <c r="F616" s="279"/>
      <c r="G616" s="240">
        <f>E616*F616</f>
        <v>0</v>
      </c>
      <c r="I616" s="127"/>
    </row>
    <row r="617" spans="1:9" ht="12">
      <c r="A617" s="325"/>
      <c r="B617" s="296"/>
      <c r="C617" s="270" t="s">
        <v>206</v>
      </c>
      <c r="D617" s="276" t="s">
        <v>68</v>
      </c>
      <c r="E617" s="292">
        <v>1</v>
      </c>
      <c r="F617" s="279"/>
      <c r="G617" s="240">
        <f>E617*F617</f>
        <v>0</v>
      </c>
      <c r="I617" s="127"/>
    </row>
    <row r="618" spans="2:18" ht="12.75" customHeight="1">
      <c r="B618" s="124"/>
      <c r="C618" s="49"/>
      <c r="D618" s="50"/>
      <c r="E618" s="53"/>
      <c r="F618" s="130"/>
      <c r="G618" s="130"/>
      <c r="I618" s="127"/>
      <c r="M618" s="181"/>
      <c r="N618" s="71"/>
      <c r="O618" s="315"/>
      <c r="P618" s="163"/>
      <c r="Q618" s="144"/>
      <c r="R618" s="316"/>
    </row>
    <row r="619" spans="2:9" ht="12.75">
      <c r="B619" s="124"/>
      <c r="C619" s="71" t="s">
        <v>210</v>
      </c>
      <c r="D619" s="91" t="s">
        <v>194</v>
      </c>
      <c r="E619" s="158" t="s">
        <v>31</v>
      </c>
      <c r="F619" s="93"/>
      <c r="G619" s="101">
        <f>SUM(G620:G732)</f>
        <v>0</v>
      </c>
      <c r="I619" s="127"/>
    </row>
    <row r="620" spans="1:9" ht="78" customHeight="1">
      <c r="A620" s="148" t="s">
        <v>48</v>
      </c>
      <c r="B620" s="181" t="s">
        <v>191</v>
      </c>
      <c r="C620" s="71" t="s">
        <v>578</v>
      </c>
      <c r="D620" s="90" t="s">
        <v>68</v>
      </c>
      <c r="E620" s="167">
        <v>1</v>
      </c>
      <c r="F620" s="130"/>
      <c r="G620" s="316">
        <f>E620*F620</f>
        <v>0</v>
      </c>
      <c r="I620" s="127"/>
    </row>
    <row r="621" spans="1:9" ht="108">
      <c r="A621" s="58" t="s">
        <v>49</v>
      </c>
      <c r="B621" s="181" t="s">
        <v>191</v>
      </c>
      <c r="C621" s="77" t="s">
        <v>138</v>
      </c>
      <c r="D621" s="196" t="s">
        <v>71</v>
      </c>
      <c r="E621" s="62">
        <f>SUM(E622:E630)</f>
        <v>10</v>
      </c>
      <c r="F621" s="62"/>
      <c r="G621" s="78">
        <f>E621*F621</f>
        <v>0</v>
      </c>
      <c r="H621" s="133"/>
      <c r="I621" s="127"/>
    </row>
    <row r="622" spans="1:9" ht="14.25">
      <c r="A622" s="58"/>
      <c r="B622" s="204"/>
      <c r="C622" s="77" t="s">
        <v>489</v>
      </c>
      <c r="D622" s="129" t="s">
        <v>71</v>
      </c>
      <c r="E622" s="213">
        <v>1</v>
      </c>
      <c r="F622" s="62"/>
      <c r="G622" s="78"/>
      <c r="I622" s="127"/>
    </row>
    <row r="623" spans="1:9" ht="14.25">
      <c r="A623" s="58"/>
      <c r="B623" s="204"/>
      <c r="C623" s="77" t="s">
        <v>329</v>
      </c>
      <c r="D623" s="129" t="s">
        <v>71</v>
      </c>
      <c r="E623" s="178">
        <v>1</v>
      </c>
      <c r="F623" s="62"/>
      <c r="G623" s="78"/>
      <c r="I623" s="127"/>
    </row>
    <row r="624" spans="1:9" ht="14.25">
      <c r="A624" s="58"/>
      <c r="B624" s="204"/>
      <c r="C624" s="77" t="s">
        <v>490</v>
      </c>
      <c r="D624" s="129" t="s">
        <v>71</v>
      </c>
      <c r="E624" s="213">
        <v>1</v>
      </c>
      <c r="F624" s="62"/>
      <c r="G624" s="78"/>
      <c r="I624" s="127"/>
    </row>
    <row r="625" spans="1:19" s="196" customFormat="1" ht="15">
      <c r="A625" s="58"/>
      <c r="B625" s="204"/>
      <c r="C625" s="77" t="s">
        <v>491</v>
      </c>
      <c r="D625" s="129" t="s">
        <v>71</v>
      </c>
      <c r="E625" s="178">
        <v>1</v>
      </c>
      <c r="F625" s="62"/>
      <c r="G625" s="78"/>
      <c r="H625" s="199"/>
      <c r="I625" s="200"/>
      <c r="J625" s="201"/>
      <c r="K625" s="200"/>
      <c r="L625" s="202"/>
      <c r="M625" s="200"/>
      <c r="N625" s="200"/>
      <c r="O625" s="203"/>
      <c r="P625" s="201"/>
      <c r="Q625" s="202"/>
      <c r="R625" s="200"/>
      <c r="S625" s="200"/>
    </row>
    <row r="626" spans="1:19" s="196" customFormat="1" ht="15">
      <c r="A626" s="58"/>
      <c r="B626" s="204"/>
      <c r="C626" s="77" t="s">
        <v>393</v>
      </c>
      <c r="D626" s="129" t="s">
        <v>71</v>
      </c>
      <c r="E626" s="178">
        <v>2</v>
      </c>
      <c r="F626" s="62"/>
      <c r="G626" s="78"/>
      <c r="H626" s="199"/>
      <c r="I626" s="200"/>
      <c r="J626" s="201"/>
      <c r="K626" s="200"/>
      <c r="L626" s="202"/>
      <c r="M626" s="200"/>
      <c r="N626" s="200"/>
      <c r="O626" s="203"/>
      <c r="P626" s="201"/>
      <c r="Q626" s="202"/>
      <c r="R626" s="200"/>
      <c r="S626" s="200"/>
    </row>
    <row r="627" spans="1:19" s="196" customFormat="1" ht="15">
      <c r="A627" s="58"/>
      <c r="B627" s="204"/>
      <c r="C627" s="77" t="s">
        <v>492</v>
      </c>
      <c r="D627" s="129" t="s">
        <v>71</v>
      </c>
      <c r="E627" s="213">
        <v>1</v>
      </c>
      <c r="F627" s="62"/>
      <c r="G627" s="78"/>
      <c r="H627" s="199"/>
      <c r="I627" s="200"/>
      <c r="J627" s="201"/>
      <c r="K627" s="200"/>
      <c r="L627" s="202"/>
      <c r="M627" s="200"/>
      <c r="N627" s="200"/>
      <c r="O627" s="203"/>
      <c r="P627" s="201"/>
      <c r="Q627" s="202"/>
      <c r="R627" s="200"/>
      <c r="S627" s="200"/>
    </row>
    <row r="628" spans="1:19" s="196" customFormat="1" ht="15">
      <c r="A628" s="58"/>
      <c r="B628" s="204"/>
      <c r="C628" s="77" t="s">
        <v>369</v>
      </c>
      <c r="D628" s="129" t="s">
        <v>71</v>
      </c>
      <c r="E628" s="178">
        <v>1</v>
      </c>
      <c r="F628" s="62"/>
      <c r="G628" s="78"/>
      <c r="H628" s="199"/>
      <c r="I628" s="200"/>
      <c r="J628" s="201"/>
      <c r="K628" s="200"/>
      <c r="L628" s="202"/>
      <c r="M628" s="200"/>
      <c r="N628" s="200"/>
      <c r="O628" s="203"/>
      <c r="P628" s="201"/>
      <c r="Q628" s="202"/>
      <c r="R628" s="200"/>
      <c r="S628" s="200"/>
    </row>
    <row r="629" spans="1:19" s="196" customFormat="1" ht="15">
      <c r="A629" s="58"/>
      <c r="B629" s="204"/>
      <c r="C629" s="77" t="s">
        <v>453</v>
      </c>
      <c r="D629" s="129" t="s">
        <v>71</v>
      </c>
      <c r="E629" s="213">
        <v>1</v>
      </c>
      <c r="F629" s="62"/>
      <c r="G629" s="78"/>
      <c r="H629" s="199"/>
      <c r="I629" s="200"/>
      <c r="J629" s="201"/>
      <c r="K629" s="200"/>
      <c r="L629" s="202"/>
      <c r="M629" s="200"/>
      <c r="N629" s="200"/>
      <c r="O629" s="203"/>
      <c r="P629" s="201"/>
      <c r="Q629" s="202"/>
      <c r="R629" s="200"/>
      <c r="S629" s="200"/>
    </row>
    <row r="630" spans="1:19" s="196" customFormat="1" ht="15">
      <c r="A630" s="58"/>
      <c r="B630" s="204"/>
      <c r="C630" s="77" t="s">
        <v>493</v>
      </c>
      <c r="D630" s="129" t="s">
        <v>71</v>
      </c>
      <c r="E630" s="213">
        <v>1</v>
      </c>
      <c r="F630" s="62"/>
      <c r="G630" s="78"/>
      <c r="H630" s="199"/>
      <c r="I630" s="200"/>
      <c r="J630" s="201"/>
      <c r="K630" s="200"/>
      <c r="L630" s="202"/>
      <c r="M630" s="200"/>
      <c r="N630" s="200"/>
      <c r="O630" s="203"/>
      <c r="P630" s="201"/>
      <c r="Q630" s="202"/>
      <c r="R630" s="200"/>
      <c r="S630" s="200"/>
    </row>
    <row r="631" spans="1:19" s="196" customFormat="1" ht="15">
      <c r="A631" s="58"/>
      <c r="B631" s="204"/>
      <c r="C631" s="77"/>
      <c r="D631" s="129"/>
      <c r="E631" s="213"/>
      <c r="F631" s="62"/>
      <c r="G631" s="78"/>
      <c r="H631" s="199"/>
      <c r="I631" s="200"/>
      <c r="J631" s="201"/>
      <c r="K631" s="200"/>
      <c r="L631" s="202"/>
      <c r="M631" s="200"/>
      <c r="N631" s="200"/>
      <c r="O631" s="203"/>
      <c r="P631" s="201"/>
      <c r="Q631" s="202"/>
      <c r="R631" s="200"/>
      <c r="S631" s="200"/>
    </row>
    <row r="632" spans="1:19" s="196" customFormat="1" ht="36.75">
      <c r="A632" s="58" t="s">
        <v>50</v>
      </c>
      <c r="B632" s="181" t="s">
        <v>191</v>
      </c>
      <c r="C632" s="82" t="s">
        <v>527</v>
      </c>
      <c r="D632" s="129"/>
      <c r="E632" s="213"/>
      <c r="F632" s="62"/>
      <c r="G632" s="78"/>
      <c r="H632" s="199"/>
      <c r="I632" s="200"/>
      <c r="J632" s="201"/>
      <c r="K632" s="200"/>
      <c r="L632" s="202"/>
      <c r="M632" s="200"/>
      <c r="N632" s="200"/>
      <c r="O632" s="203"/>
      <c r="P632" s="201"/>
      <c r="Q632" s="202"/>
      <c r="R632" s="200"/>
      <c r="S632" s="200"/>
    </row>
    <row r="633" spans="1:19" s="196" customFormat="1" ht="15">
      <c r="A633" s="58"/>
      <c r="B633" s="204"/>
      <c r="C633" s="77" t="s">
        <v>525</v>
      </c>
      <c r="D633" s="129" t="s">
        <v>58</v>
      </c>
      <c r="E633" s="236">
        <v>0.9</v>
      </c>
      <c r="F633" s="70"/>
      <c r="G633" s="78">
        <f>E633*F633</f>
        <v>0</v>
      </c>
      <c r="H633" s="199"/>
      <c r="I633" s="200"/>
      <c r="J633" s="201"/>
      <c r="K633" s="200"/>
      <c r="L633" s="202"/>
      <c r="M633" s="200"/>
      <c r="N633" s="200"/>
      <c r="O633" s="203"/>
      <c r="P633" s="201"/>
      <c r="Q633" s="202"/>
      <c r="R633" s="200"/>
      <c r="S633" s="200"/>
    </row>
    <row r="634" spans="1:19" s="196" customFormat="1" ht="15">
      <c r="A634" s="58"/>
      <c r="B634" s="204"/>
      <c r="C634" s="77" t="s">
        <v>526</v>
      </c>
      <c r="D634" s="129" t="s">
        <v>58</v>
      </c>
      <c r="E634" s="237">
        <v>1.08</v>
      </c>
      <c r="F634" s="70"/>
      <c r="G634" s="78">
        <f>E634*F634</f>
        <v>0</v>
      </c>
      <c r="H634" s="199"/>
      <c r="I634" s="200"/>
      <c r="J634" s="201"/>
      <c r="K634" s="200"/>
      <c r="L634" s="202"/>
      <c r="M634" s="200"/>
      <c r="N634" s="200"/>
      <c r="O634" s="203"/>
      <c r="P634" s="201"/>
      <c r="Q634" s="202"/>
      <c r="R634" s="200"/>
      <c r="S634" s="200"/>
    </row>
    <row r="635" spans="1:19" s="196" customFormat="1" ht="15">
      <c r="A635" s="58"/>
      <c r="B635" s="204"/>
      <c r="C635" s="77"/>
      <c r="D635" s="129"/>
      <c r="E635" s="213"/>
      <c r="F635" s="70"/>
      <c r="G635" s="78"/>
      <c r="H635" s="199"/>
      <c r="I635" s="200"/>
      <c r="J635" s="201"/>
      <c r="K635" s="200"/>
      <c r="L635" s="202"/>
      <c r="M635" s="200"/>
      <c r="N635" s="200"/>
      <c r="O635" s="203"/>
      <c r="P635" s="201"/>
      <c r="Q635" s="202"/>
      <c r="R635" s="200"/>
      <c r="S635" s="200"/>
    </row>
    <row r="636" spans="1:19" s="196" customFormat="1" ht="60.75">
      <c r="A636" s="58" t="s">
        <v>18</v>
      </c>
      <c r="B636" s="181" t="s">
        <v>191</v>
      </c>
      <c r="C636" s="79" t="s">
        <v>139</v>
      </c>
      <c r="D636" s="196" t="s">
        <v>71</v>
      </c>
      <c r="E636" s="62">
        <f>SUM(E637:E645)</f>
        <v>10</v>
      </c>
      <c r="F636" s="62"/>
      <c r="G636" s="78">
        <f>E636*F636</f>
        <v>0</v>
      </c>
      <c r="H636" s="199"/>
      <c r="I636" s="200"/>
      <c r="J636" s="201"/>
      <c r="K636" s="200"/>
      <c r="L636" s="202"/>
      <c r="M636" s="200"/>
      <c r="N636" s="200"/>
      <c r="O636" s="203"/>
      <c r="P636" s="201"/>
      <c r="Q636" s="202"/>
      <c r="R636" s="200"/>
      <c r="S636" s="200"/>
    </row>
    <row r="637" spans="1:19" s="196" customFormat="1" ht="15">
      <c r="A637" s="58"/>
      <c r="B637" s="204"/>
      <c r="C637" s="77" t="s">
        <v>489</v>
      </c>
      <c r="D637" s="129" t="s">
        <v>71</v>
      </c>
      <c r="E637" s="213">
        <v>1</v>
      </c>
      <c r="H637" s="199"/>
      <c r="I637" s="200"/>
      <c r="J637" s="201"/>
      <c r="K637" s="200"/>
      <c r="L637" s="202"/>
      <c r="M637" s="200"/>
      <c r="N637" s="200"/>
      <c r="O637" s="203"/>
      <c r="P637" s="201"/>
      <c r="Q637" s="202"/>
      <c r="R637" s="200"/>
      <c r="S637" s="200"/>
    </row>
    <row r="638" spans="1:19" s="196" customFormat="1" ht="15">
      <c r="A638" s="58"/>
      <c r="B638" s="204"/>
      <c r="C638" s="77" t="s">
        <v>329</v>
      </c>
      <c r="D638" s="129" t="s">
        <v>71</v>
      </c>
      <c r="E638" s="178">
        <v>1</v>
      </c>
      <c r="H638" s="199"/>
      <c r="I638" s="200"/>
      <c r="J638" s="201"/>
      <c r="K638" s="200"/>
      <c r="L638" s="202"/>
      <c r="M638" s="200"/>
      <c r="N638" s="200"/>
      <c r="O638" s="203"/>
      <c r="P638" s="201"/>
      <c r="Q638" s="202"/>
      <c r="R638" s="200"/>
      <c r="S638" s="200"/>
    </row>
    <row r="639" spans="1:19" s="196" customFormat="1" ht="15">
      <c r="A639" s="58"/>
      <c r="B639" s="204"/>
      <c r="C639" s="77" t="s">
        <v>490</v>
      </c>
      <c r="D639" s="129" t="s">
        <v>71</v>
      </c>
      <c r="E639" s="213">
        <v>1</v>
      </c>
      <c r="H639" s="199"/>
      <c r="I639" s="200"/>
      <c r="J639" s="201"/>
      <c r="K639" s="200"/>
      <c r="L639" s="202"/>
      <c r="M639" s="200"/>
      <c r="N639" s="200"/>
      <c r="O639" s="203"/>
      <c r="P639" s="201"/>
      <c r="Q639" s="202"/>
      <c r="R639" s="200"/>
      <c r="S639" s="200"/>
    </row>
    <row r="640" spans="1:19" s="196" customFormat="1" ht="15">
      <c r="A640" s="58"/>
      <c r="B640" s="204"/>
      <c r="C640" s="77" t="s">
        <v>491</v>
      </c>
      <c r="D640" s="129" t="s">
        <v>71</v>
      </c>
      <c r="E640" s="178">
        <v>1</v>
      </c>
      <c r="H640" s="199"/>
      <c r="I640" s="200"/>
      <c r="J640" s="201"/>
      <c r="K640" s="200"/>
      <c r="L640" s="202"/>
      <c r="M640" s="200"/>
      <c r="N640" s="200"/>
      <c r="O640" s="203"/>
      <c r="P640" s="201"/>
      <c r="Q640" s="202"/>
      <c r="R640" s="200"/>
      <c r="S640" s="200"/>
    </row>
    <row r="641" spans="1:19" s="196" customFormat="1" ht="15">
      <c r="A641" s="58"/>
      <c r="B641" s="204"/>
      <c r="C641" s="77" t="s">
        <v>393</v>
      </c>
      <c r="D641" s="129" t="s">
        <v>71</v>
      </c>
      <c r="E641" s="213">
        <v>2</v>
      </c>
      <c r="F641" s="62"/>
      <c r="G641" s="78"/>
      <c r="H641" s="199"/>
      <c r="I641" s="200"/>
      <c r="J641" s="201"/>
      <c r="K641" s="200"/>
      <c r="L641" s="202"/>
      <c r="M641" s="200"/>
      <c r="N641" s="200"/>
      <c r="O641" s="203"/>
      <c r="P641" s="201"/>
      <c r="Q641" s="202"/>
      <c r="R641" s="200"/>
      <c r="S641" s="200"/>
    </row>
    <row r="642" spans="1:19" s="196" customFormat="1" ht="15">
      <c r="A642" s="58"/>
      <c r="B642" s="204"/>
      <c r="C642" s="77" t="s">
        <v>492</v>
      </c>
      <c r="D642" s="129" t="s">
        <v>71</v>
      </c>
      <c r="E642" s="178">
        <v>1</v>
      </c>
      <c r="F642" s="62"/>
      <c r="G642" s="78"/>
      <c r="H642" s="199"/>
      <c r="I642" s="200"/>
      <c r="J642" s="201"/>
      <c r="K642" s="200"/>
      <c r="L642" s="202"/>
      <c r="M642" s="200"/>
      <c r="N642" s="200"/>
      <c r="O642" s="203"/>
      <c r="P642" s="201"/>
      <c r="Q642" s="202"/>
      <c r="R642" s="200"/>
      <c r="S642" s="200"/>
    </row>
    <row r="643" spans="1:19" s="196" customFormat="1" ht="15">
      <c r="A643" s="58"/>
      <c r="B643" s="204"/>
      <c r="C643" s="77" t="s">
        <v>369</v>
      </c>
      <c r="D643" s="129" t="s">
        <v>71</v>
      </c>
      <c r="E643" s="213">
        <v>1</v>
      </c>
      <c r="F643" s="62"/>
      <c r="G643" s="78"/>
      <c r="H643" s="199"/>
      <c r="I643" s="200"/>
      <c r="J643" s="201"/>
      <c r="K643" s="200"/>
      <c r="L643" s="202"/>
      <c r="M643" s="200"/>
      <c r="N643" s="200"/>
      <c r="O643" s="203"/>
      <c r="P643" s="201"/>
      <c r="Q643" s="202"/>
      <c r="R643" s="200"/>
      <c r="S643" s="200"/>
    </row>
    <row r="644" spans="1:19" s="196" customFormat="1" ht="15">
      <c r="A644" s="58"/>
      <c r="B644" s="204"/>
      <c r="C644" s="77" t="s">
        <v>453</v>
      </c>
      <c r="D644" s="129" t="s">
        <v>71</v>
      </c>
      <c r="E644" s="178">
        <v>1</v>
      </c>
      <c r="F644" s="62"/>
      <c r="G644" s="78"/>
      <c r="H644" s="199"/>
      <c r="I644" s="200"/>
      <c r="J644" s="201"/>
      <c r="K644" s="200"/>
      <c r="L644" s="202"/>
      <c r="M644" s="200"/>
      <c r="N644" s="200"/>
      <c r="O644" s="203"/>
      <c r="P644" s="201"/>
      <c r="Q644" s="202"/>
      <c r="R644" s="200"/>
      <c r="S644" s="200"/>
    </row>
    <row r="645" spans="1:19" s="196" customFormat="1" ht="15">
      <c r="A645" s="58"/>
      <c r="B645" s="204"/>
      <c r="C645" s="77" t="s">
        <v>493</v>
      </c>
      <c r="D645" s="129" t="s">
        <v>71</v>
      </c>
      <c r="E645" s="213">
        <v>1</v>
      </c>
      <c r="F645" s="62"/>
      <c r="G645" s="78"/>
      <c r="H645" s="199"/>
      <c r="I645" s="200"/>
      <c r="J645" s="201"/>
      <c r="K645" s="200"/>
      <c r="L645" s="202"/>
      <c r="M645" s="200"/>
      <c r="N645" s="200"/>
      <c r="O645" s="203"/>
      <c r="P645" s="201"/>
      <c r="Q645" s="202"/>
      <c r="R645" s="200"/>
      <c r="S645" s="200"/>
    </row>
    <row r="646" spans="1:19" s="196" customFormat="1" ht="15">
      <c r="A646" s="58"/>
      <c r="B646" s="204"/>
      <c r="C646" s="79"/>
      <c r="E646" s="62"/>
      <c r="F646" s="62"/>
      <c r="G646" s="78"/>
      <c r="H646" s="199"/>
      <c r="I646" s="200"/>
      <c r="J646" s="201"/>
      <c r="K646" s="200"/>
      <c r="L646" s="202"/>
      <c r="M646" s="200"/>
      <c r="N646" s="200"/>
      <c r="O646" s="203"/>
      <c r="P646" s="201"/>
      <c r="Q646" s="202"/>
      <c r="R646" s="200"/>
      <c r="S646" s="200"/>
    </row>
    <row r="647" spans="1:19" s="196" customFormat="1" ht="60.75">
      <c r="A647" s="58" t="s">
        <v>19</v>
      </c>
      <c r="B647" s="181" t="s">
        <v>191</v>
      </c>
      <c r="C647" s="82" t="s">
        <v>140</v>
      </c>
      <c r="D647" s="196" t="s">
        <v>126</v>
      </c>
      <c r="E647" s="210">
        <f>SUM(E648:E656)</f>
        <v>13</v>
      </c>
      <c r="F647" s="63"/>
      <c r="G647" s="78">
        <f>E647*F647</f>
        <v>0</v>
      </c>
      <c r="H647" s="199"/>
      <c r="I647" s="200"/>
      <c r="J647" s="201"/>
      <c r="K647" s="200"/>
      <c r="L647" s="202"/>
      <c r="M647" s="200"/>
      <c r="N647" s="200"/>
      <c r="O647" s="203"/>
      <c r="P647" s="201"/>
      <c r="Q647" s="202"/>
      <c r="R647" s="200"/>
      <c r="S647" s="200"/>
    </row>
    <row r="648" spans="1:19" s="196" customFormat="1" ht="15">
      <c r="A648" s="58"/>
      <c r="B648" s="204"/>
      <c r="C648" s="77" t="s">
        <v>489</v>
      </c>
      <c r="D648" s="129" t="s">
        <v>71</v>
      </c>
      <c r="E648" s="213">
        <v>1</v>
      </c>
      <c r="F648" s="63"/>
      <c r="G648" s="78"/>
      <c r="H648" s="199"/>
      <c r="I648" s="200"/>
      <c r="J648" s="201"/>
      <c r="K648" s="200"/>
      <c r="L648" s="202"/>
      <c r="M648" s="200"/>
      <c r="N648" s="200"/>
      <c r="O648" s="203"/>
      <c r="P648" s="201"/>
      <c r="Q648" s="202"/>
      <c r="R648" s="200"/>
      <c r="S648" s="200"/>
    </row>
    <row r="649" spans="1:19" s="196" customFormat="1" ht="15">
      <c r="A649" s="58"/>
      <c r="B649" s="204"/>
      <c r="C649" s="77" t="s">
        <v>329</v>
      </c>
      <c r="D649" s="129" t="s">
        <v>71</v>
      </c>
      <c r="E649" s="178">
        <v>2</v>
      </c>
      <c r="F649" s="63"/>
      <c r="G649" s="78"/>
      <c r="H649" s="199"/>
      <c r="I649" s="200"/>
      <c r="J649" s="201"/>
      <c r="K649" s="200"/>
      <c r="L649" s="202"/>
      <c r="M649" s="200"/>
      <c r="N649" s="200"/>
      <c r="O649" s="203"/>
      <c r="P649" s="201"/>
      <c r="Q649" s="202"/>
      <c r="R649" s="200"/>
      <c r="S649" s="200"/>
    </row>
    <row r="650" spans="1:19" s="196" customFormat="1" ht="15">
      <c r="A650" s="58"/>
      <c r="B650" s="204"/>
      <c r="C650" s="77" t="s">
        <v>490</v>
      </c>
      <c r="D650" s="129" t="s">
        <v>71</v>
      </c>
      <c r="E650" s="213">
        <v>2</v>
      </c>
      <c r="F650" s="63"/>
      <c r="G650" s="78"/>
      <c r="H650" s="199"/>
      <c r="I650" s="200"/>
      <c r="J650" s="201"/>
      <c r="K650" s="200"/>
      <c r="L650" s="202"/>
      <c r="M650" s="200"/>
      <c r="N650" s="200"/>
      <c r="O650" s="203"/>
      <c r="P650" s="201"/>
      <c r="Q650" s="202"/>
      <c r="R650" s="200"/>
      <c r="S650" s="200"/>
    </row>
    <row r="651" spans="1:19" s="196" customFormat="1" ht="15">
      <c r="A651" s="58"/>
      <c r="B651" s="204"/>
      <c r="C651" s="77" t="s">
        <v>491</v>
      </c>
      <c r="D651" s="129" t="s">
        <v>71</v>
      </c>
      <c r="E651" s="178">
        <v>2</v>
      </c>
      <c r="F651" s="63"/>
      <c r="G651" s="78"/>
      <c r="H651" s="199"/>
      <c r="I651" s="200"/>
      <c r="J651" s="205"/>
      <c r="K651" s="201"/>
      <c r="L651" s="202"/>
      <c r="M651" s="200"/>
      <c r="N651" s="200"/>
      <c r="O651" s="206"/>
      <c r="P651" s="205"/>
      <c r="Q651" s="202"/>
      <c r="R651" s="200"/>
      <c r="S651" s="200"/>
    </row>
    <row r="652" spans="1:19" s="196" customFormat="1" ht="15">
      <c r="A652" s="58"/>
      <c r="B652" s="204"/>
      <c r="C652" s="77" t="s">
        <v>393</v>
      </c>
      <c r="D652" s="129" t="s">
        <v>71</v>
      </c>
      <c r="E652" s="213">
        <v>2</v>
      </c>
      <c r="F652" s="63"/>
      <c r="G652" s="78"/>
      <c r="H652" s="199"/>
      <c r="I652" s="200"/>
      <c r="J652" s="205"/>
      <c r="K652" s="201"/>
      <c r="L652" s="202"/>
      <c r="M652" s="200"/>
      <c r="N652" s="200"/>
      <c r="O652" s="206"/>
      <c r="P652" s="205"/>
      <c r="Q652" s="202"/>
      <c r="R652" s="200"/>
      <c r="S652" s="200"/>
    </row>
    <row r="653" spans="1:19" s="196" customFormat="1" ht="15">
      <c r="A653" s="58"/>
      <c r="B653" s="204"/>
      <c r="C653" s="77" t="s">
        <v>492</v>
      </c>
      <c r="D653" s="129" t="s">
        <v>71</v>
      </c>
      <c r="E653" s="178">
        <v>1</v>
      </c>
      <c r="F653" s="63"/>
      <c r="G653" s="78"/>
      <c r="H653" s="199"/>
      <c r="I653" s="200"/>
      <c r="J653" s="205"/>
      <c r="K653" s="201"/>
      <c r="L653" s="202"/>
      <c r="M653" s="200"/>
      <c r="N653" s="200"/>
      <c r="O653" s="206"/>
      <c r="P653" s="205"/>
      <c r="Q653" s="202"/>
      <c r="R653" s="200"/>
      <c r="S653" s="200"/>
    </row>
    <row r="654" spans="1:19" s="196" customFormat="1" ht="15">
      <c r="A654" s="58"/>
      <c r="B654" s="204"/>
      <c r="C654" s="77" t="s">
        <v>369</v>
      </c>
      <c r="D654" s="129" t="s">
        <v>71</v>
      </c>
      <c r="E654" s="213">
        <v>1</v>
      </c>
      <c r="F654" s="63"/>
      <c r="G654" s="78"/>
      <c r="H654" s="199"/>
      <c r="I654" s="200"/>
      <c r="J654" s="205"/>
      <c r="K654" s="201"/>
      <c r="L654" s="202"/>
      <c r="M654" s="200"/>
      <c r="N654" s="200"/>
      <c r="O654" s="206"/>
      <c r="P654" s="205"/>
      <c r="Q654" s="202"/>
      <c r="R654" s="200"/>
      <c r="S654" s="200"/>
    </row>
    <row r="655" spans="1:19" s="196" customFormat="1" ht="15">
      <c r="A655" s="58"/>
      <c r="B655" s="204"/>
      <c r="C655" s="77" t="s">
        <v>453</v>
      </c>
      <c r="D655" s="129" t="s">
        <v>71</v>
      </c>
      <c r="E655" s="178">
        <v>1</v>
      </c>
      <c r="F655" s="63"/>
      <c r="G655" s="78"/>
      <c r="H655" s="199"/>
      <c r="I655" s="200"/>
      <c r="J655" s="205"/>
      <c r="K655" s="201"/>
      <c r="L655" s="202"/>
      <c r="M655" s="200"/>
      <c r="N655" s="200"/>
      <c r="O655" s="206"/>
      <c r="P655" s="205"/>
      <c r="Q655" s="202"/>
      <c r="R655" s="200"/>
      <c r="S655" s="200"/>
    </row>
    <row r="656" spans="1:19" s="196" customFormat="1" ht="15">
      <c r="A656" s="58"/>
      <c r="B656" s="204"/>
      <c r="C656" s="77" t="s">
        <v>493</v>
      </c>
      <c r="D656" s="129" t="s">
        <v>71</v>
      </c>
      <c r="E656" s="213">
        <v>1</v>
      </c>
      <c r="F656" s="63"/>
      <c r="G656" s="78"/>
      <c r="H656" s="199"/>
      <c r="I656" s="200"/>
      <c r="J656" s="205"/>
      <c r="K656" s="201"/>
      <c r="L656" s="202"/>
      <c r="M656" s="200"/>
      <c r="N656" s="200"/>
      <c r="O656" s="206"/>
      <c r="P656" s="205"/>
      <c r="Q656" s="202"/>
      <c r="R656" s="200"/>
      <c r="S656" s="200"/>
    </row>
    <row r="657" spans="1:19" s="196" customFormat="1" ht="15">
      <c r="A657" s="58"/>
      <c r="B657" s="204"/>
      <c r="C657" s="195"/>
      <c r="D657" s="207"/>
      <c r="E657" s="62"/>
      <c r="F657" s="62"/>
      <c r="G657" s="78"/>
      <c r="H657" s="199"/>
      <c r="I657" s="200"/>
      <c r="J657" s="205"/>
      <c r="K657" s="201"/>
      <c r="L657" s="202"/>
      <c r="M657" s="200"/>
      <c r="N657" s="200"/>
      <c r="O657" s="206"/>
      <c r="P657" s="205"/>
      <c r="Q657" s="202"/>
      <c r="R657" s="200"/>
      <c r="S657" s="200"/>
    </row>
    <row r="658" spans="1:19" s="196" customFormat="1" ht="60.75">
      <c r="A658" s="58" t="s">
        <v>20</v>
      </c>
      <c r="B658" s="181" t="s">
        <v>191</v>
      </c>
      <c r="C658" s="82" t="s">
        <v>143</v>
      </c>
      <c r="D658" s="70" t="s">
        <v>71</v>
      </c>
      <c r="E658" s="62">
        <f>SUM(E659:E666)</f>
        <v>14</v>
      </c>
      <c r="F658" s="62"/>
      <c r="G658" s="78">
        <f>E658*F658</f>
        <v>0</v>
      </c>
      <c r="H658" s="199"/>
      <c r="I658" s="200"/>
      <c r="J658" s="205"/>
      <c r="K658" s="201"/>
      <c r="L658" s="202"/>
      <c r="M658" s="200"/>
      <c r="N658" s="200"/>
      <c r="O658" s="206"/>
      <c r="P658" s="205"/>
      <c r="Q658" s="202"/>
      <c r="R658" s="200"/>
      <c r="S658" s="200"/>
    </row>
    <row r="659" spans="1:19" s="196" customFormat="1" ht="15">
      <c r="A659" s="58"/>
      <c r="B659" s="59"/>
      <c r="C659" s="77" t="s">
        <v>329</v>
      </c>
      <c r="D659" s="129" t="s">
        <v>71</v>
      </c>
      <c r="E659" s="178">
        <v>2</v>
      </c>
      <c r="F659" s="62"/>
      <c r="G659" s="78"/>
      <c r="H659" s="199"/>
      <c r="I659" s="200"/>
      <c r="J659" s="205"/>
      <c r="K659" s="201"/>
      <c r="L659" s="202"/>
      <c r="M659" s="200"/>
      <c r="N659" s="200"/>
      <c r="O659" s="206"/>
      <c r="P659" s="205"/>
      <c r="Q659" s="202"/>
      <c r="R659" s="200"/>
      <c r="S659" s="200"/>
    </row>
    <row r="660" spans="1:19" s="196" customFormat="1" ht="15">
      <c r="A660" s="58"/>
      <c r="B660" s="59"/>
      <c r="C660" s="77" t="s">
        <v>490</v>
      </c>
      <c r="D660" s="129" t="s">
        <v>71</v>
      </c>
      <c r="E660" s="213">
        <v>2</v>
      </c>
      <c r="F660" s="62"/>
      <c r="G660" s="78"/>
      <c r="H660" s="199"/>
      <c r="I660" s="200"/>
      <c r="J660" s="201"/>
      <c r="K660" s="201"/>
      <c r="L660" s="202"/>
      <c r="M660" s="200"/>
      <c r="N660" s="200"/>
      <c r="O660" s="203"/>
      <c r="P660" s="201"/>
      <c r="Q660" s="202"/>
      <c r="R660" s="200"/>
      <c r="S660" s="200"/>
    </row>
    <row r="661" spans="1:19" s="196" customFormat="1" ht="15">
      <c r="A661" s="58"/>
      <c r="B661" s="59"/>
      <c r="C661" s="77" t="s">
        <v>491</v>
      </c>
      <c r="D661" s="129" t="s">
        <v>71</v>
      </c>
      <c r="E661" s="178">
        <v>3</v>
      </c>
      <c r="F661" s="62"/>
      <c r="G661" s="78"/>
      <c r="H661" s="208"/>
      <c r="I661" s="200"/>
      <c r="J661" s="201"/>
      <c r="K661" s="201"/>
      <c r="L661" s="202"/>
      <c r="M661" s="200"/>
      <c r="N661" s="200"/>
      <c r="O661" s="203"/>
      <c r="P661" s="201"/>
      <c r="Q661" s="202"/>
      <c r="R661" s="200"/>
      <c r="S661" s="200"/>
    </row>
    <row r="662" spans="1:19" s="196" customFormat="1" ht="15">
      <c r="A662" s="58"/>
      <c r="B662" s="59"/>
      <c r="C662" s="77" t="s">
        <v>393</v>
      </c>
      <c r="D662" s="129" t="s">
        <v>71</v>
      </c>
      <c r="E662" s="213">
        <v>1</v>
      </c>
      <c r="F662" s="62"/>
      <c r="G662" s="78"/>
      <c r="H662" s="208"/>
      <c r="I662" s="200"/>
      <c r="J662" s="201"/>
      <c r="K662" s="201"/>
      <c r="L662" s="202"/>
      <c r="M662" s="200"/>
      <c r="N662" s="200"/>
      <c r="O662" s="203"/>
      <c r="P662" s="201"/>
      <c r="Q662" s="202"/>
      <c r="R662" s="200"/>
      <c r="S662" s="200"/>
    </row>
    <row r="663" spans="1:19" s="196" customFormat="1" ht="15">
      <c r="A663" s="58"/>
      <c r="B663" s="59"/>
      <c r="C663" s="77" t="s">
        <v>492</v>
      </c>
      <c r="D663" s="129" t="s">
        <v>71</v>
      </c>
      <c r="E663" s="178">
        <v>2</v>
      </c>
      <c r="F663" s="62"/>
      <c r="G663" s="78"/>
      <c r="H663" s="208"/>
      <c r="I663" s="200"/>
      <c r="J663" s="201"/>
      <c r="K663" s="201"/>
      <c r="L663" s="202"/>
      <c r="M663" s="200"/>
      <c r="N663" s="200"/>
      <c r="O663" s="203"/>
      <c r="P663" s="201"/>
      <c r="Q663" s="202"/>
      <c r="R663" s="200"/>
      <c r="S663" s="200"/>
    </row>
    <row r="664" spans="1:19" s="196" customFormat="1" ht="15">
      <c r="A664" s="58"/>
      <c r="B664" s="59"/>
      <c r="C664" s="77" t="s">
        <v>369</v>
      </c>
      <c r="D664" s="129" t="s">
        <v>71</v>
      </c>
      <c r="E664" s="213">
        <v>1</v>
      </c>
      <c r="F664" s="62"/>
      <c r="G664" s="78"/>
      <c r="H664" s="208"/>
      <c r="I664" s="200"/>
      <c r="J664" s="201"/>
      <c r="K664" s="201"/>
      <c r="L664" s="202"/>
      <c r="M664" s="200"/>
      <c r="N664" s="200"/>
      <c r="O664" s="203"/>
      <c r="P664" s="201"/>
      <c r="Q664" s="202"/>
      <c r="R664" s="200"/>
      <c r="S664" s="200"/>
    </row>
    <row r="665" spans="1:19" s="196" customFormat="1" ht="15">
      <c r="A665" s="58"/>
      <c r="B665" s="59"/>
      <c r="C665" s="77" t="s">
        <v>453</v>
      </c>
      <c r="D665" s="129" t="s">
        <v>71</v>
      </c>
      <c r="E665" s="178">
        <v>2</v>
      </c>
      <c r="F665" s="62"/>
      <c r="G665" s="78"/>
      <c r="H665" s="208"/>
      <c r="I665" s="200"/>
      <c r="J665" s="201"/>
      <c r="K665" s="201"/>
      <c r="L665" s="202"/>
      <c r="M665" s="200"/>
      <c r="N665" s="200"/>
      <c r="O665" s="203"/>
      <c r="P665" s="201"/>
      <c r="Q665" s="202"/>
      <c r="R665" s="200"/>
      <c r="S665" s="200"/>
    </row>
    <row r="666" spans="1:19" s="196" customFormat="1" ht="15">
      <c r="A666" s="58"/>
      <c r="B666" s="59"/>
      <c r="C666" s="77" t="s">
        <v>493</v>
      </c>
      <c r="D666" s="129" t="s">
        <v>71</v>
      </c>
      <c r="E666" s="213">
        <v>1</v>
      </c>
      <c r="F666" s="62"/>
      <c r="G666" s="78"/>
      <c r="H666" s="208"/>
      <c r="I666" s="200"/>
      <c r="J666" s="201"/>
      <c r="K666" s="201"/>
      <c r="L666" s="202"/>
      <c r="M666" s="200"/>
      <c r="N666" s="200"/>
      <c r="O666" s="203"/>
      <c r="P666" s="201"/>
      <c r="Q666" s="202"/>
      <c r="R666" s="200"/>
      <c r="S666" s="200"/>
    </row>
    <row r="667" spans="1:19" s="196" customFormat="1" ht="15">
      <c r="A667" s="58"/>
      <c r="B667" s="59"/>
      <c r="C667" s="77"/>
      <c r="D667" s="129"/>
      <c r="E667" s="213"/>
      <c r="F667" s="62"/>
      <c r="G667" s="78"/>
      <c r="H667" s="208"/>
      <c r="I667" s="200"/>
      <c r="J667" s="201"/>
      <c r="K667" s="201"/>
      <c r="L667" s="202"/>
      <c r="M667" s="200"/>
      <c r="N667" s="200"/>
      <c r="O667" s="203"/>
      <c r="P667" s="201"/>
      <c r="Q667" s="202"/>
      <c r="R667" s="200"/>
      <c r="S667" s="200"/>
    </row>
    <row r="668" spans="1:19" s="196" customFormat="1" ht="84.75">
      <c r="A668" s="58" t="s">
        <v>21</v>
      </c>
      <c r="B668" s="181" t="s">
        <v>191</v>
      </c>
      <c r="C668" s="77" t="s">
        <v>144</v>
      </c>
      <c r="D668" s="70" t="s">
        <v>71</v>
      </c>
      <c r="E668" s="62">
        <f>SUM(E669:E677)</f>
        <v>15</v>
      </c>
      <c r="F668" s="62"/>
      <c r="G668" s="78">
        <f>E668*F668</f>
        <v>0</v>
      </c>
      <c r="H668" s="208"/>
      <c r="I668" s="200"/>
      <c r="J668" s="201"/>
      <c r="K668" s="201"/>
      <c r="L668" s="202"/>
      <c r="M668" s="200"/>
      <c r="N668" s="200"/>
      <c r="O668" s="203"/>
      <c r="P668" s="201"/>
      <c r="Q668" s="202"/>
      <c r="R668" s="200"/>
      <c r="S668" s="200"/>
    </row>
    <row r="669" spans="1:19" s="196" customFormat="1" ht="15">
      <c r="A669" s="58"/>
      <c r="B669" s="59"/>
      <c r="C669" s="77" t="s">
        <v>329</v>
      </c>
      <c r="D669" s="129" t="s">
        <v>71</v>
      </c>
      <c r="E669" s="213">
        <v>3</v>
      </c>
      <c r="F669" s="62"/>
      <c r="G669" s="78"/>
      <c r="H669" s="208"/>
      <c r="I669" s="200"/>
      <c r="J669" s="201"/>
      <c r="K669" s="201"/>
      <c r="L669" s="202"/>
      <c r="M669" s="200"/>
      <c r="N669" s="200"/>
      <c r="O669" s="203"/>
      <c r="P669" s="201"/>
      <c r="Q669" s="202"/>
      <c r="R669" s="200"/>
      <c r="S669" s="200"/>
    </row>
    <row r="670" spans="1:19" s="196" customFormat="1" ht="15">
      <c r="A670" s="58"/>
      <c r="B670" s="59"/>
      <c r="C670" s="77" t="s">
        <v>490</v>
      </c>
      <c r="D670" s="129" t="s">
        <v>71</v>
      </c>
      <c r="E670" s="178">
        <v>2</v>
      </c>
      <c r="F670" s="62"/>
      <c r="G670" s="78"/>
      <c r="H670" s="208"/>
      <c r="I670" s="200"/>
      <c r="J670" s="201"/>
      <c r="K670" s="201"/>
      <c r="L670" s="202"/>
      <c r="M670" s="200"/>
      <c r="N670" s="200"/>
      <c r="O670" s="203"/>
      <c r="P670" s="201"/>
      <c r="Q670" s="202"/>
      <c r="R670" s="200"/>
      <c r="S670" s="200"/>
    </row>
    <row r="671" spans="1:19" s="196" customFormat="1" ht="15">
      <c r="A671" s="58"/>
      <c r="B671" s="59"/>
      <c r="C671" s="77" t="s">
        <v>491</v>
      </c>
      <c r="D671" s="129" t="s">
        <v>71</v>
      </c>
      <c r="E671" s="213">
        <v>3</v>
      </c>
      <c r="F671" s="62"/>
      <c r="G671" s="78"/>
      <c r="H671" s="208"/>
      <c r="I671" s="200"/>
      <c r="J671" s="201"/>
      <c r="K671" s="201"/>
      <c r="L671" s="202"/>
      <c r="M671" s="200"/>
      <c r="N671" s="200"/>
      <c r="O671" s="203"/>
      <c r="P671" s="201"/>
      <c r="Q671" s="202"/>
      <c r="R671" s="200"/>
      <c r="S671" s="200"/>
    </row>
    <row r="672" spans="1:19" s="196" customFormat="1" ht="15">
      <c r="A672" s="58"/>
      <c r="B672" s="59"/>
      <c r="C672" s="77" t="s">
        <v>393</v>
      </c>
      <c r="D672" s="129" t="s">
        <v>71</v>
      </c>
      <c r="E672" s="178">
        <v>1</v>
      </c>
      <c r="F672" s="62"/>
      <c r="G672" s="78"/>
      <c r="H672" s="199"/>
      <c r="I672" s="200"/>
      <c r="J672" s="201"/>
      <c r="K672" s="201"/>
      <c r="L672" s="202"/>
      <c r="M672" s="200"/>
      <c r="N672" s="200"/>
      <c r="O672" s="203"/>
      <c r="P672" s="201"/>
      <c r="Q672" s="202"/>
      <c r="R672" s="200"/>
      <c r="S672" s="200"/>
    </row>
    <row r="673" spans="1:19" s="196" customFormat="1" ht="15">
      <c r="A673" s="58"/>
      <c r="B673" s="59"/>
      <c r="C673" s="77" t="s">
        <v>492</v>
      </c>
      <c r="D673" s="129" t="s">
        <v>71</v>
      </c>
      <c r="E673" s="213">
        <v>2</v>
      </c>
      <c r="F673" s="62"/>
      <c r="G673" s="78"/>
      <c r="H673" s="199"/>
      <c r="I673" s="200"/>
      <c r="J673" s="201"/>
      <c r="K673" s="201"/>
      <c r="L673" s="202"/>
      <c r="M673" s="200"/>
      <c r="N673" s="200"/>
      <c r="O673" s="203"/>
      <c r="P673" s="201"/>
      <c r="Q673" s="202"/>
      <c r="R673" s="200"/>
      <c r="S673" s="200"/>
    </row>
    <row r="674" spans="1:19" s="196" customFormat="1" ht="15">
      <c r="A674" s="58"/>
      <c r="B674" s="59"/>
      <c r="C674" s="77" t="s">
        <v>369</v>
      </c>
      <c r="D674" s="129" t="s">
        <v>71</v>
      </c>
      <c r="E674" s="178">
        <v>1</v>
      </c>
      <c r="F674" s="62"/>
      <c r="G674" s="78"/>
      <c r="H674" s="199"/>
      <c r="I674" s="200"/>
      <c r="J674" s="201"/>
      <c r="K674" s="201"/>
      <c r="L674" s="202"/>
      <c r="M674" s="200"/>
      <c r="N674" s="200"/>
      <c r="O674" s="203"/>
      <c r="P674" s="201"/>
      <c r="Q674" s="202"/>
      <c r="R674" s="200"/>
      <c r="S674" s="200"/>
    </row>
    <row r="675" spans="1:19" s="196" customFormat="1" ht="15">
      <c r="A675" s="58"/>
      <c r="B675" s="59"/>
      <c r="C675" s="77" t="s">
        <v>453</v>
      </c>
      <c r="D675" s="129" t="s">
        <v>71</v>
      </c>
      <c r="E675" s="213">
        <v>2</v>
      </c>
      <c r="F675" s="62"/>
      <c r="G675" s="78"/>
      <c r="H675" s="199"/>
      <c r="I675" s="200"/>
      <c r="J675" s="201"/>
      <c r="K675" s="201"/>
      <c r="L675" s="202"/>
      <c r="M675" s="200"/>
      <c r="N675" s="200"/>
      <c r="O675" s="203"/>
      <c r="P675" s="201"/>
      <c r="Q675" s="202"/>
      <c r="R675" s="200"/>
      <c r="S675" s="200"/>
    </row>
    <row r="676" spans="1:19" s="196" customFormat="1" ht="15">
      <c r="A676" s="58"/>
      <c r="B676" s="59"/>
      <c r="C676" s="77" t="s">
        <v>493</v>
      </c>
      <c r="D676" s="129" t="s">
        <v>71</v>
      </c>
      <c r="E676" s="178">
        <v>1</v>
      </c>
      <c r="F676" s="62"/>
      <c r="G676" s="78"/>
      <c r="H676" s="199"/>
      <c r="I676" s="200"/>
      <c r="J676" s="201"/>
      <c r="K676" s="201"/>
      <c r="L676" s="202"/>
      <c r="M676" s="200"/>
      <c r="N676" s="200"/>
      <c r="O676" s="203"/>
      <c r="P676" s="201"/>
      <c r="Q676" s="202"/>
      <c r="R676" s="200"/>
      <c r="S676" s="200"/>
    </row>
    <row r="677" spans="1:19" s="196" customFormat="1" ht="15">
      <c r="A677" s="58"/>
      <c r="B677" s="59"/>
      <c r="C677" s="77"/>
      <c r="D677" s="129"/>
      <c r="E677" s="213"/>
      <c r="F677" s="62"/>
      <c r="G677" s="78"/>
      <c r="H677" s="199"/>
      <c r="I677" s="200"/>
      <c r="J677" s="201"/>
      <c r="K677" s="201"/>
      <c r="L677" s="202"/>
      <c r="M677" s="200"/>
      <c r="N677" s="200"/>
      <c r="O677" s="203"/>
      <c r="P677" s="201"/>
      <c r="Q677" s="202"/>
      <c r="R677" s="200"/>
      <c r="S677" s="200"/>
    </row>
    <row r="678" spans="1:19" s="196" customFormat="1" ht="60.75">
      <c r="A678" s="58" t="s">
        <v>22</v>
      </c>
      <c r="B678" s="181" t="s">
        <v>191</v>
      </c>
      <c r="C678" s="77" t="s">
        <v>145</v>
      </c>
      <c r="D678" s="70" t="s">
        <v>71</v>
      </c>
      <c r="E678" s="62">
        <f>SUM(E679:E687)</f>
        <v>15</v>
      </c>
      <c r="F678" s="85"/>
      <c r="G678" s="78">
        <f>E678*F678</f>
        <v>0</v>
      </c>
      <c r="H678" s="199"/>
      <c r="I678" s="200"/>
      <c r="J678" s="201"/>
      <c r="K678" s="201"/>
      <c r="L678" s="202"/>
      <c r="M678" s="200"/>
      <c r="N678" s="200"/>
      <c r="O678" s="203"/>
      <c r="P678" s="201"/>
      <c r="Q678" s="202"/>
      <c r="R678" s="200"/>
      <c r="S678" s="200"/>
    </row>
    <row r="679" spans="1:19" s="196" customFormat="1" ht="15">
      <c r="A679" s="58"/>
      <c r="B679" s="59"/>
      <c r="C679" s="77" t="s">
        <v>489</v>
      </c>
      <c r="D679" s="129" t="s">
        <v>71</v>
      </c>
      <c r="E679" s="213">
        <v>0</v>
      </c>
      <c r="F679" s="85"/>
      <c r="G679" s="78"/>
      <c r="H679" s="199"/>
      <c r="I679" s="200"/>
      <c r="J679" s="201"/>
      <c r="K679" s="201"/>
      <c r="L679" s="202"/>
      <c r="M679" s="200"/>
      <c r="N679" s="200"/>
      <c r="O679" s="203"/>
      <c r="P679" s="201"/>
      <c r="Q679" s="202"/>
      <c r="R679" s="200"/>
      <c r="S679" s="200"/>
    </row>
    <row r="680" spans="1:19" s="196" customFormat="1" ht="15">
      <c r="A680" s="58"/>
      <c r="B680" s="59"/>
      <c r="C680" s="77" t="s">
        <v>329</v>
      </c>
      <c r="D680" s="129" t="s">
        <v>71</v>
      </c>
      <c r="E680" s="178">
        <v>4</v>
      </c>
      <c r="F680" s="85"/>
      <c r="G680" s="78"/>
      <c r="H680" s="199"/>
      <c r="I680" s="200"/>
      <c r="J680" s="201"/>
      <c r="K680" s="201"/>
      <c r="L680" s="202"/>
      <c r="M680" s="200"/>
      <c r="N680" s="200"/>
      <c r="O680" s="203"/>
      <c r="P680" s="201"/>
      <c r="Q680" s="202"/>
      <c r="R680" s="200"/>
      <c r="S680" s="200"/>
    </row>
    <row r="681" spans="1:19" s="196" customFormat="1" ht="15">
      <c r="A681" s="58"/>
      <c r="B681" s="59"/>
      <c r="C681" s="77" t="s">
        <v>490</v>
      </c>
      <c r="D681" s="129" t="s">
        <v>71</v>
      </c>
      <c r="E681" s="213">
        <v>0</v>
      </c>
      <c r="F681" s="85"/>
      <c r="G681" s="78"/>
      <c r="H681" s="199"/>
      <c r="I681" s="200"/>
      <c r="J681" s="201"/>
      <c r="K681" s="201"/>
      <c r="L681" s="202"/>
      <c r="M681" s="200"/>
      <c r="N681" s="200"/>
      <c r="O681" s="203"/>
      <c r="P681" s="201"/>
      <c r="Q681" s="202"/>
      <c r="R681" s="200"/>
      <c r="S681" s="200"/>
    </row>
    <row r="682" spans="1:19" s="196" customFormat="1" ht="15">
      <c r="A682" s="58"/>
      <c r="B682" s="59"/>
      <c r="C682" s="77" t="s">
        <v>491</v>
      </c>
      <c r="D682" s="129" t="s">
        <v>71</v>
      </c>
      <c r="E682" s="178">
        <v>4</v>
      </c>
      <c r="F682" s="85"/>
      <c r="G682" s="78"/>
      <c r="H682" s="199"/>
      <c r="I682" s="200"/>
      <c r="J682" s="201"/>
      <c r="K682" s="201"/>
      <c r="L682" s="202"/>
      <c r="M682" s="200"/>
      <c r="N682" s="200"/>
      <c r="O682" s="203"/>
      <c r="P682" s="201"/>
      <c r="Q682" s="202"/>
      <c r="R682" s="200"/>
      <c r="S682" s="200"/>
    </row>
    <row r="683" spans="1:19" s="196" customFormat="1" ht="15">
      <c r="A683" s="58"/>
      <c r="B683" s="59"/>
      <c r="C683" s="77" t="s">
        <v>393</v>
      </c>
      <c r="D683" s="129" t="s">
        <v>71</v>
      </c>
      <c r="E683" s="213">
        <v>3</v>
      </c>
      <c r="F683" s="85"/>
      <c r="G683" s="78"/>
      <c r="H683" s="199"/>
      <c r="I683" s="200"/>
      <c r="J683" s="201"/>
      <c r="K683" s="201"/>
      <c r="L683" s="202"/>
      <c r="M683" s="200"/>
      <c r="N683" s="200"/>
      <c r="O683" s="203"/>
      <c r="P683" s="201"/>
      <c r="Q683" s="202"/>
      <c r="R683" s="200"/>
      <c r="S683" s="200"/>
    </row>
    <row r="684" spans="1:19" s="196" customFormat="1" ht="15">
      <c r="A684" s="58"/>
      <c r="B684" s="59"/>
      <c r="C684" s="77" t="s">
        <v>492</v>
      </c>
      <c r="D684" s="129" t="s">
        <v>71</v>
      </c>
      <c r="E684" s="178">
        <v>0</v>
      </c>
      <c r="F684" s="85"/>
      <c r="G684" s="78"/>
      <c r="H684" s="199"/>
      <c r="I684" s="200"/>
      <c r="J684" s="201"/>
      <c r="K684" s="201"/>
      <c r="L684" s="202"/>
      <c r="M684" s="200"/>
      <c r="N684" s="200"/>
      <c r="O684" s="203"/>
      <c r="P684" s="201"/>
      <c r="Q684" s="202"/>
      <c r="R684" s="200"/>
      <c r="S684" s="200"/>
    </row>
    <row r="685" spans="1:19" s="196" customFormat="1" ht="15">
      <c r="A685" s="58"/>
      <c r="B685" s="59"/>
      <c r="C685" s="77" t="s">
        <v>369</v>
      </c>
      <c r="D685" s="129" t="s">
        <v>71</v>
      </c>
      <c r="E685" s="213">
        <v>2</v>
      </c>
      <c r="F685" s="85"/>
      <c r="G685" s="78"/>
      <c r="H685" s="199"/>
      <c r="I685" s="200"/>
      <c r="J685" s="201"/>
      <c r="K685" s="201"/>
      <c r="L685" s="202"/>
      <c r="M685" s="200"/>
      <c r="N685" s="200"/>
      <c r="O685" s="203"/>
      <c r="P685" s="201"/>
      <c r="Q685" s="202"/>
      <c r="R685" s="200"/>
      <c r="S685" s="200"/>
    </row>
    <row r="686" spans="1:19" s="196" customFormat="1" ht="15">
      <c r="A686" s="58"/>
      <c r="B686" s="59"/>
      <c r="C686" s="77" t="s">
        <v>453</v>
      </c>
      <c r="D686" s="129" t="s">
        <v>71</v>
      </c>
      <c r="E686" s="178">
        <v>0</v>
      </c>
      <c r="F686" s="85"/>
      <c r="G686" s="78"/>
      <c r="H686" s="199"/>
      <c r="I686" s="200"/>
      <c r="J686" s="201"/>
      <c r="K686" s="201"/>
      <c r="L686" s="202"/>
      <c r="M686" s="200"/>
      <c r="N686" s="200"/>
      <c r="O686" s="203"/>
      <c r="P686" s="201"/>
      <c r="Q686" s="202"/>
      <c r="R686" s="200"/>
      <c r="S686" s="200"/>
    </row>
    <row r="687" spans="1:19" s="196" customFormat="1" ht="15">
      <c r="A687" s="58"/>
      <c r="B687" s="59"/>
      <c r="C687" s="77" t="s">
        <v>493</v>
      </c>
      <c r="D687" s="129" t="s">
        <v>71</v>
      </c>
      <c r="E687" s="213">
        <v>2</v>
      </c>
      <c r="F687" s="85"/>
      <c r="G687" s="78"/>
      <c r="H687" s="199"/>
      <c r="I687" s="200"/>
      <c r="J687" s="201"/>
      <c r="K687" s="201"/>
      <c r="L687" s="202"/>
      <c r="M687" s="200"/>
      <c r="N687" s="200"/>
      <c r="O687" s="203"/>
      <c r="P687" s="201"/>
      <c r="Q687" s="202"/>
      <c r="R687" s="200"/>
      <c r="S687" s="200"/>
    </row>
    <row r="688" spans="1:19" s="196" customFormat="1" ht="15">
      <c r="A688" s="58"/>
      <c r="B688" s="59"/>
      <c r="C688" s="195"/>
      <c r="D688" s="70"/>
      <c r="E688" s="62"/>
      <c r="F688" s="62"/>
      <c r="G688" s="78"/>
      <c r="H688" s="199"/>
      <c r="I688" s="200"/>
      <c r="J688" s="201"/>
      <c r="K688" s="201"/>
      <c r="L688" s="202"/>
      <c r="M688" s="200"/>
      <c r="N688" s="200"/>
      <c r="O688" s="203"/>
      <c r="P688" s="201"/>
      <c r="Q688" s="202"/>
      <c r="R688" s="200"/>
      <c r="S688" s="200"/>
    </row>
    <row r="689" spans="1:19" s="196" customFormat="1" ht="36.75">
      <c r="A689" s="58" t="s">
        <v>23</v>
      </c>
      <c r="B689" s="181" t="s">
        <v>191</v>
      </c>
      <c r="C689" s="77" t="s">
        <v>146</v>
      </c>
      <c r="D689" s="70" t="s">
        <v>71</v>
      </c>
      <c r="E689" s="62">
        <f>SUM(E690:E699)</f>
        <v>10</v>
      </c>
      <c r="F689" s="85"/>
      <c r="G689" s="78">
        <f>E689*F689</f>
        <v>0</v>
      </c>
      <c r="H689" s="199"/>
      <c r="I689" s="200"/>
      <c r="J689" s="201"/>
      <c r="K689" s="201"/>
      <c r="L689" s="202"/>
      <c r="M689" s="200"/>
      <c r="N689" s="200"/>
      <c r="O689" s="203"/>
      <c r="P689" s="201"/>
      <c r="Q689" s="202"/>
      <c r="R689" s="200"/>
      <c r="S689" s="200"/>
    </row>
    <row r="690" spans="1:19" s="196" customFormat="1" ht="15">
      <c r="A690" s="58"/>
      <c r="B690" s="59"/>
      <c r="C690" s="77" t="s">
        <v>489</v>
      </c>
      <c r="D690" s="129" t="s">
        <v>71</v>
      </c>
      <c r="E690" s="213">
        <v>1</v>
      </c>
      <c r="F690" s="85"/>
      <c r="G690" s="78"/>
      <c r="H690" s="199"/>
      <c r="I690" s="200"/>
      <c r="J690" s="201"/>
      <c r="K690" s="201"/>
      <c r="L690" s="202"/>
      <c r="M690" s="200"/>
      <c r="N690" s="200"/>
      <c r="O690" s="203"/>
      <c r="P690" s="201"/>
      <c r="Q690" s="202"/>
      <c r="R690" s="200"/>
      <c r="S690" s="200"/>
    </row>
    <row r="691" spans="1:19" s="196" customFormat="1" ht="15">
      <c r="A691" s="58"/>
      <c r="B691" s="59"/>
      <c r="C691" s="77" t="s">
        <v>329</v>
      </c>
      <c r="D691" s="129" t="s">
        <v>71</v>
      </c>
      <c r="E691" s="178">
        <v>1</v>
      </c>
      <c r="F691" s="85"/>
      <c r="G691" s="78"/>
      <c r="H691" s="199"/>
      <c r="I691" s="200"/>
      <c r="J691" s="201"/>
      <c r="K691" s="201"/>
      <c r="L691" s="202"/>
      <c r="M691" s="200"/>
      <c r="N691" s="200"/>
      <c r="O691" s="203"/>
      <c r="P691" s="201"/>
      <c r="Q691" s="202"/>
      <c r="R691" s="200"/>
      <c r="S691" s="200"/>
    </row>
    <row r="692" spans="1:19" s="196" customFormat="1" ht="15">
      <c r="A692" s="58"/>
      <c r="B692" s="59"/>
      <c r="C692" s="77" t="s">
        <v>490</v>
      </c>
      <c r="D692" s="129" t="s">
        <v>71</v>
      </c>
      <c r="E692" s="213">
        <v>1</v>
      </c>
      <c r="F692" s="85"/>
      <c r="G692" s="78"/>
      <c r="H692" s="199"/>
      <c r="I692" s="200"/>
      <c r="J692" s="201"/>
      <c r="K692" s="201"/>
      <c r="L692" s="202"/>
      <c r="M692" s="200"/>
      <c r="N692" s="200"/>
      <c r="O692" s="203"/>
      <c r="P692" s="201"/>
      <c r="Q692" s="202"/>
      <c r="R692" s="200"/>
      <c r="S692" s="200"/>
    </row>
    <row r="693" spans="1:19" s="196" customFormat="1" ht="15">
      <c r="A693" s="58"/>
      <c r="B693" s="59"/>
      <c r="C693" s="77" t="s">
        <v>491</v>
      </c>
      <c r="D693" s="129" t="s">
        <v>71</v>
      </c>
      <c r="E693" s="178">
        <v>1</v>
      </c>
      <c r="F693" s="85"/>
      <c r="G693" s="78"/>
      <c r="H693" s="199"/>
      <c r="I693" s="200"/>
      <c r="J693" s="201"/>
      <c r="K693" s="201"/>
      <c r="L693" s="202"/>
      <c r="M693" s="200"/>
      <c r="N693" s="200"/>
      <c r="O693" s="203"/>
      <c r="P693" s="201"/>
      <c r="Q693" s="202"/>
      <c r="R693" s="200"/>
      <c r="S693" s="200"/>
    </row>
    <row r="694" spans="1:19" s="196" customFormat="1" ht="15">
      <c r="A694" s="58"/>
      <c r="B694" s="59"/>
      <c r="C694" s="77" t="s">
        <v>495</v>
      </c>
      <c r="D694" s="129" t="s">
        <v>71</v>
      </c>
      <c r="E694" s="178">
        <v>1</v>
      </c>
      <c r="F694" s="85"/>
      <c r="G694" s="78"/>
      <c r="H694" s="199"/>
      <c r="I694" s="200"/>
      <c r="J694" s="201"/>
      <c r="K694" s="201"/>
      <c r="L694" s="202"/>
      <c r="M694" s="200"/>
      <c r="N694" s="200"/>
      <c r="O694" s="203"/>
      <c r="P694" s="201"/>
      <c r="Q694" s="202"/>
      <c r="R694" s="200"/>
      <c r="S694" s="200"/>
    </row>
    <row r="695" spans="1:19" s="196" customFormat="1" ht="15">
      <c r="A695" s="58"/>
      <c r="B695" s="59"/>
      <c r="C695" s="77" t="s">
        <v>393</v>
      </c>
      <c r="D695" s="129" t="s">
        <v>71</v>
      </c>
      <c r="E695" s="213">
        <v>1</v>
      </c>
      <c r="F695" s="85"/>
      <c r="G695" s="78"/>
      <c r="H695" s="199"/>
      <c r="I695" s="200"/>
      <c r="J695" s="201"/>
      <c r="K695" s="201"/>
      <c r="L695" s="202"/>
      <c r="M695" s="200"/>
      <c r="N695" s="200"/>
      <c r="O695" s="203"/>
      <c r="P695" s="201"/>
      <c r="Q695" s="202"/>
      <c r="R695" s="200"/>
      <c r="S695" s="200"/>
    </row>
    <row r="696" spans="1:19" s="196" customFormat="1" ht="15">
      <c r="A696" s="58"/>
      <c r="B696" s="59"/>
      <c r="C696" s="77" t="s">
        <v>492</v>
      </c>
      <c r="D696" s="129" t="s">
        <v>71</v>
      </c>
      <c r="E696" s="178">
        <v>1</v>
      </c>
      <c r="F696" s="85"/>
      <c r="G696" s="78"/>
      <c r="H696" s="199"/>
      <c r="I696" s="200"/>
      <c r="J696" s="201"/>
      <c r="K696" s="201"/>
      <c r="L696" s="202"/>
      <c r="M696" s="200"/>
      <c r="N696" s="200"/>
      <c r="O696" s="203"/>
      <c r="P696" s="201"/>
      <c r="Q696" s="202"/>
      <c r="R696" s="200"/>
      <c r="S696" s="200"/>
    </row>
    <row r="697" spans="1:19" s="196" customFormat="1" ht="15">
      <c r="A697" s="58"/>
      <c r="B697" s="59"/>
      <c r="C697" s="77" t="s">
        <v>369</v>
      </c>
      <c r="D697" s="129" t="s">
        <v>71</v>
      </c>
      <c r="E697" s="213">
        <v>1</v>
      </c>
      <c r="F697" s="85"/>
      <c r="G697" s="78"/>
      <c r="H697" s="199"/>
      <c r="I697" s="200"/>
      <c r="J697" s="201"/>
      <c r="K697" s="201"/>
      <c r="L697" s="202"/>
      <c r="M697" s="200"/>
      <c r="N697" s="200"/>
      <c r="O697" s="203"/>
      <c r="P697" s="201"/>
      <c r="Q697" s="202"/>
      <c r="R697" s="200"/>
      <c r="S697" s="200"/>
    </row>
    <row r="698" spans="1:19" s="196" customFormat="1" ht="15">
      <c r="A698" s="58"/>
      <c r="B698" s="59"/>
      <c r="C698" s="77" t="s">
        <v>453</v>
      </c>
      <c r="D698" s="129" t="s">
        <v>71</v>
      </c>
      <c r="E698" s="178">
        <v>1</v>
      </c>
      <c r="F698" s="85"/>
      <c r="G698" s="78"/>
      <c r="H698" s="199"/>
      <c r="I698" s="200"/>
      <c r="J698" s="201"/>
      <c r="K698" s="201"/>
      <c r="L698" s="202"/>
      <c r="M698" s="200"/>
      <c r="N698" s="200"/>
      <c r="O698" s="203"/>
      <c r="P698" s="201"/>
      <c r="Q698" s="202"/>
      <c r="R698" s="200"/>
      <c r="S698" s="200"/>
    </row>
    <row r="699" spans="1:19" s="196" customFormat="1" ht="15">
      <c r="A699" s="58"/>
      <c r="B699" s="59"/>
      <c r="C699" s="77" t="s">
        <v>493</v>
      </c>
      <c r="D699" s="129" t="s">
        <v>71</v>
      </c>
      <c r="E699" s="213">
        <v>1</v>
      </c>
      <c r="F699" s="85"/>
      <c r="G699" s="78"/>
      <c r="H699" s="199"/>
      <c r="I699" s="200"/>
      <c r="J699" s="201"/>
      <c r="K699" s="201"/>
      <c r="L699" s="202"/>
      <c r="M699" s="200"/>
      <c r="N699" s="200"/>
      <c r="O699" s="203"/>
      <c r="P699" s="201"/>
      <c r="Q699" s="202"/>
      <c r="R699" s="200"/>
      <c r="S699" s="200"/>
    </row>
    <row r="700" spans="1:19" s="196" customFormat="1" ht="15">
      <c r="A700" s="58"/>
      <c r="B700" s="59"/>
      <c r="C700" s="195"/>
      <c r="D700" s="70"/>
      <c r="E700" s="62"/>
      <c r="F700" s="62"/>
      <c r="G700" s="78"/>
      <c r="H700" s="199"/>
      <c r="I700" s="200"/>
      <c r="J700" s="201"/>
      <c r="K700" s="201"/>
      <c r="L700" s="202"/>
      <c r="M700" s="200"/>
      <c r="N700" s="200"/>
      <c r="O700" s="203"/>
      <c r="P700" s="201"/>
      <c r="Q700" s="202"/>
      <c r="R700" s="200"/>
      <c r="S700" s="200"/>
    </row>
    <row r="701" spans="1:19" s="196" customFormat="1" ht="72.75">
      <c r="A701" s="58" t="s">
        <v>24</v>
      </c>
      <c r="B701" s="181" t="s">
        <v>191</v>
      </c>
      <c r="C701" s="60" t="s">
        <v>147</v>
      </c>
      <c r="D701" s="70" t="s">
        <v>71</v>
      </c>
      <c r="E701" s="62">
        <f>SUM(E702:E711)</f>
        <v>9</v>
      </c>
      <c r="F701" s="62"/>
      <c r="G701" s="78">
        <f>E701*F701</f>
        <v>0</v>
      </c>
      <c r="H701" s="199"/>
      <c r="I701" s="200"/>
      <c r="J701" s="201"/>
      <c r="K701" s="201"/>
      <c r="L701" s="202"/>
      <c r="M701" s="200"/>
      <c r="N701" s="200"/>
      <c r="O701" s="203"/>
      <c r="P701" s="201"/>
      <c r="Q701" s="202"/>
      <c r="R701" s="200"/>
      <c r="S701" s="200"/>
    </row>
    <row r="702" spans="1:19" s="196" customFormat="1" ht="15">
      <c r="A702" s="58"/>
      <c r="B702" s="59"/>
      <c r="C702" s="77" t="s">
        <v>489</v>
      </c>
      <c r="D702" s="129" t="s">
        <v>71</v>
      </c>
      <c r="E702" s="213">
        <v>0</v>
      </c>
      <c r="F702" s="197"/>
      <c r="G702" s="198"/>
      <c r="H702" s="199"/>
      <c r="I702" s="200"/>
      <c r="J702" s="201"/>
      <c r="K702" s="201"/>
      <c r="L702" s="202"/>
      <c r="M702" s="200"/>
      <c r="N702" s="200"/>
      <c r="O702" s="203"/>
      <c r="P702" s="201"/>
      <c r="Q702" s="202"/>
      <c r="R702" s="200"/>
      <c r="S702" s="200"/>
    </row>
    <row r="703" spans="1:19" s="196" customFormat="1" ht="15">
      <c r="A703" s="58"/>
      <c r="B703" s="59"/>
      <c r="C703" s="77" t="s">
        <v>329</v>
      </c>
      <c r="D703" s="129" t="s">
        <v>71</v>
      </c>
      <c r="E703" s="178">
        <v>3</v>
      </c>
      <c r="F703" s="197"/>
      <c r="G703" s="198"/>
      <c r="H703" s="199"/>
      <c r="I703" s="200"/>
      <c r="J703" s="201"/>
      <c r="K703" s="201"/>
      <c r="L703" s="202"/>
      <c r="M703" s="200"/>
      <c r="N703" s="200"/>
      <c r="O703" s="203"/>
      <c r="P703" s="201"/>
      <c r="Q703" s="202"/>
      <c r="R703" s="200"/>
      <c r="S703" s="200"/>
    </row>
    <row r="704" spans="1:19" s="196" customFormat="1" ht="15">
      <c r="A704" s="58"/>
      <c r="B704" s="59"/>
      <c r="C704" s="77" t="s">
        <v>490</v>
      </c>
      <c r="D704" s="129" t="s">
        <v>71</v>
      </c>
      <c r="E704" s="213">
        <v>0</v>
      </c>
      <c r="F704" s="197"/>
      <c r="G704" s="198"/>
      <c r="H704" s="199"/>
      <c r="I704" s="200"/>
      <c r="J704" s="201"/>
      <c r="K704" s="200"/>
      <c r="L704" s="202"/>
      <c r="M704" s="200"/>
      <c r="N704" s="200"/>
      <c r="O704" s="203"/>
      <c r="P704" s="201"/>
      <c r="Q704" s="202"/>
      <c r="R704" s="200"/>
      <c r="S704" s="200"/>
    </row>
    <row r="705" spans="1:19" s="196" customFormat="1" ht="15">
      <c r="A705" s="58"/>
      <c r="B705" s="59"/>
      <c r="C705" s="77" t="s">
        <v>491</v>
      </c>
      <c r="D705" s="129" t="s">
        <v>71</v>
      </c>
      <c r="E705" s="178">
        <v>3</v>
      </c>
      <c r="F705" s="197"/>
      <c r="G705" s="198"/>
      <c r="H705" s="199"/>
      <c r="I705" s="200"/>
      <c r="J705" s="201"/>
      <c r="K705" s="200"/>
      <c r="L705" s="202"/>
      <c r="M705" s="200"/>
      <c r="N705" s="200"/>
      <c r="O705" s="203"/>
      <c r="P705" s="201"/>
      <c r="Q705" s="202"/>
      <c r="R705" s="200"/>
      <c r="S705" s="200"/>
    </row>
    <row r="706" spans="1:19" s="196" customFormat="1" ht="15">
      <c r="A706" s="58"/>
      <c r="B706" s="59"/>
      <c r="C706" s="77" t="s">
        <v>494</v>
      </c>
      <c r="D706" s="129" t="s">
        <v>71</v>
      </c>
      <c r="E706" s="213">
        <v>0</v>
      </c>
      <c r="F706" s="197"/>
      <c r="G706" s="198"/>
      <c r="H706" s="199"/>
      <c r="I706" s="200"/>
      <c r="J706" s="201"/>
      <c r="K706" s="200"/>
      <c r="L706" s="202"/>
      <c r="M706" s="200"/>
      <c r="N706" s="200"/>
      <c r="O706" s="203"/>
      <c r="P706" s="201"/>
      <c r="Q706" s="202"/>
      <c r="R706" s="200"/>
      <c r="S706" s="200"/>
    </row>
    <row r="707" spans="1:19" s="196" customFormat="1" ht="15">
      <c r="A707" s="58"/>
      <c r="B707" s="59"/>
      <c r="C707" s="77" t="s">
        <v>393</v>
      </c>
      <c r="D707" s="129" t="s">
        <v>71</v>
      </c>
      <c r="E707" s="178">
        <v>1</v>
      </c>
      <c r="F707" s="209"/>
      <c r="G707" s="198"/>
      <c r="H707" s="199"/>
      <c r="I707" s="200"/>
      <c r="J707" s="201"/>
      <c r="K707" s="200"/>
      <c r="L707" s="202"/>
      <c r="M707" s="200"/>
      <c r="N707" s="200"/>
      <c r="O707" s="203"/>
      <c r="P707" s="201"/>
      <c r="Q707" s="202"/>
      <c r="R707" s="200"/>
      <c r="S707" s="200"/>
    </row>
    <row r="708" spans="1:19" s="196" customFormat="1" ht="15">
      <c r="A708" s="58"/>
      <c r="B708" s="59"/>
      <c r="C708" s="77" t="s">
        <v>492</v>
      </c>
      <c r="D708" s="129" t="s">
        <v>71</v>
      </c>
      <c r="E708" s="213">
        <v>0</v>
      </c>
      <c r="F708" s="197"/>
      <c r="G708" s="198"/>
      <c r="H708" s="199"/>
      <c r="I708" s="200"/>
      <c r="J708" s="201"/>
      <c r="K708" s="201"/>
      <c r="L708" s="202"/>
      <c r="M708" s="200"/>
      <c r="N708" s="200"/>
      <c r="O708" s="203"/>
      <c r="P708" s="201"/>
      <c r="Q708" s="202"/>
      <c r="R708" s="200"/>
      <c r="S708" s="200"/>
    </row>
    <row r="709" spans="1:19" s="196" customFormat="1" ht="15">
      <c r="A709" s="58"/>
      <c r="B709" s="59"/>
      <c r="C709" s="77" t="s">
        <v>369</v>
      </c>
      <c r="D709" s="129" t="s">
        <v>71</v>
      </c>
      <c r="E709" s="178">
        <v>1</v>
      </c>
      <c r="F709" s="197"/>
      <c r="G709" s="198"/>
      <c r="H709" s="199"/>
      <c r="I709" s="200"/>
      <c r="J709" s="201"/>
      <c r="K709" s="201"/>
      <c r="L709" s="202"/>
      <c r="M709" s="200"/>
      <c r="N709" s="200"/>
      <c r="O709" s="203"/>
      <c r="P709" s="201"/>
      <c r="Q709" s="202"/>
      <c r="R709" s="200"/>
      <c r="S709" s="200"/>
    </row>
    <row r="710" spans="1:19" s="196" customFormat="1" ht="15">
      <c r="A710" s="58"/>
      <c r="B710" s="59"/>
      <c r="C710" s="77" t="s">
        <v>453</v>
      </c>
      <c r="D710" s="129" t="s">
        <v>71</v>
      </c>
      <c r="E710" s="213">
        <v>0</v>
      </c>
      <c r="F710" s="197"/>
      <c r="G710" s="198"/>
      <c r="H710" s="199"/>
      <c r="I710" s="200"/>
      <c r="J710" s="201"/>
      <c r="K710" s="201"/>
      <c r="L710" s="202"/>
      <c r="M710" s="200"/>
      <c r="N710" s="200"/>
      <c r="O710" s="203"/>
      <c r="P710" s="201"/>
      <c r="Q710" s="202"/>
      <c r="R710" s="200"/>
      <c r="S710" s="200"/>
    </row>
    <row r="711" spans="1:19" s="196" customFormat="1" ht="15">
      <c r="A711" s="58"/>
      <c r="B711" s="59"/>
      <c r="C711" s="77" t="s">
        <v>493</v>
      </c>
      <c r="D711" s="129" t="s">
        <v>71</v>
      </c>
      <c r="E711" s="178">
        <v>1</v>
      </c>
      <c r="F711" s="197"/>
      <c r="G711" s="198"/>
      <c r="H711" s="199"/>
      <c r="I711" s="200"/>
      <c r="J711" s="201"/>
      <c r="K711" s="201"/>
      <c r="L711" s="202"/>
      <c r="M711" s="200"/>
      <c r="N711" s="200"/>
      <c r="O711" s="203"/>
      <c r="P711" s="201"/>
      <c r="Q711" s="202"/>
      <c r="R711" s="200"/>
      <c r="S711" s="200"/>
    </row>
    <row r="712" spans="1:19" s="196" customFormat="1" ht="15">
      <c r="A712" s="58"/>
      <c r="B712" s="59"/>
      <c r="C712" s="77"/>
      <c r="D712" s="70"/>
      <c r="E712" s="178"/>
      <c r="F712" s="197"/>
      <c r="G712" s="198"/>
      <c r="H712" s="199"/>
      <c r="I712" s="200"/>
      <c r="J712" s="201"/>
      <c r="K712" s="201"/>
      <c r="L712" s="202"/>
      <c r="M712" s="200"/>
      <c r="N712" s="200"/>
      <c r="O712" s="203"/>
      <c r="P712" s="201"/>
      <c r="Q712" s="202"/>
      <c r="R712" s="200"/>
      <c r="S712" s="200"/>
    </row>
    <row r="713" spans="1:19" s="196" customFormat="1" ht="48.75">
      <c r="A713" s="58" t="s">
        <v>25</v>
      </c>
      <c r="B713" s="181" t="s">
        <v>191</v>
      </c>
      <c r="C713" s="77" t="s">
        <v>577</v>
      </c>
      <c r="F713" s="78"/>
      <c r="H713" s="199"/>
      <c r="I713" s="200"/>
      <c r="J713" s="201"/>
      <c r="K713" s="201"/>
      <c r="L713" s="202"/>
      <c r="M713" s="200"/>
      <c r="N713" s="200"/>
      <c r="O713" s="203"/>
      <c r="P713" s="201"/>
      <c r="Q713" s="202"/>
      <c r="R713" s="200"/>
      <c r="S713" s="200"/>
    </row>
    <row r="714" spans="1:19" s="196" customFormat="1" ht="15">
      <c r="A714" s="58"/>
      <c r="B714" s="181"/>
      <c r="C714" s="77"/>
      <c r="D714" s="70" t="s">
        <v>71</v>
      </c>
      <c r="E714" s="62">
        <f>SUM(E715:E724)</f>
        <v>10</v>
      </c>
      <c r="F714" s="234"/>
      <c r="G714" s="78"/>
      <c r="H714" s="199"/>
      <c r="I714" s="200"/>
      <c r="J714" s="201"/>
      <c r="K714" s="201"/>
      <c r="L714" s="202"/>
      <c r="M714" s="200"/>
      <c r="N714" s="200"/>
      <c r="O714" s="203"/>
      <c r="P714" s="201"/>
      <c r="Q714" s="202"/>
      <c r="R714" s="200"/>
      <c r="S714" s="200"/>
    </row>
    <row r="715" spans="1:19" s="196" customFormat="1" ht="15">
      <c r="A715" s="58"/>
      <c r="B715" s="59"/>
      <c r="C715" s="77" t="s">
        <v>496</v>
      </c>
      <c r="D715" s="129" t="s">
        <v>71</v>
      </c>
      <c r="E715" s="213">
        <v>1</v>
      </c>
      <c r="F715" s="234"/>
      <c r="G715" s="78">
        <f>E715*F715</f>
        <v>0</v>
      </c>
      <c r="H715" s="199"/>
      <c r="I715" s="200"/>
      <c r="J715" s="201"/>
      <c r="K715" s="200"/>
      <c r="L715" s="202"/>
      <c r="M715" s="200"/>
      <c r="N715" s="200"/>
      <c r="O715" s="203"/>
      <c r="P715" s="201"/>
      <c r="Q715" s="202"/>
      <c r="R715" s="200"/>
      <c r="S715" s="200"/>
    </row>
    <row r="716" spans="1:19" s="196" customFormat="1" ht="15">
      <c r="A716" s="58"/>
      <c r="B716" s="59"/>
      <c r="C716" s="77" t="s">
        <v>503</v>
      </c>
      <c r="D716" s="129" t="s">
        <v>71</v>
      </c>
      <c r="E716" s="178">
        <v>1</v>
      </c>
      <c r="F716" s="234"/>
      <c r="G716" s="78">
        <f>E716*F716</f>
        <v>0</v>
      </c>
      <c r="H716" s="199"/>
      <c r="I716" s="200"/>
      <c r="J716" s="201"/>
      <c r="K716" s="200"/>
      <c r="L716" s="202"/>
      <c r="M716" s="200"/>
      <c r="N716" s="200"/>
      <c r="O716" s="203"/>
      <c r="P716" s="201"/>
      <c r="Q716" s="202"/>
      <c r="R716" s="200"/>
      <c r="S716" s="200"/>
    </row>
    <row r="717" spans="1:19" s="196" customFormat="1" ht="15">
      <c r="A717" s="58"/>
      <c r="B717" s="59"/>
      <c r="C717" s="77" t="s">
        <v>504</v>
      </c>
      <c r="D717" s="129" t="s">
        <v>71</v>
      </c>
      <c r="E717" s="213">
        <v>1</v>
      </c>
      <c r="F717" s="234"/>
      <c r="G717" s="78">
        <f>E717*F717</f>
        <v>0</v>
      </c>
      <c r="H717" s="199"/>
      <c r="I717" s="200"/>
      <c r="J717" s="201"/>
      <c r="K717" s="201"/>
      <c r="L717" s="202"/>
      <c r="M717" s="200"/>
      <c r="N717" s="200"/>
      <c r="O717" s="203"/>
      <c r="P717" s="201"/>
      <c r="Q717" s="202"/>
      <c r="R717" s="200"/>
      <c r="S717" s="200"/>
    </row>
    <row r="718" spans="1:19" s="196" customFormat="1" ht="15">
      <c r="A718" s="58"/>
      <c r="B718" s="59"/>
      <c r="C718" s="77" t="s">
        <v>502</v>
      </c>
      <c r="D718" s="129" t="s">
        <v>71</v>
      </c>
      <c r="E718" s="178">
        <v>1</v>
      </c>
      <c r="F718" s="234"/>
      <c r="G718" s="78">
        <f>E718*F718</f>
        <v>0</v>
      </c>
      <c r="H718" s="199"/>
      <c r="I718" s="200"/>
      <c r="J718" s="201"/>
      <c r="K718" s="201"/>
      <c r="L718" s="202"/>
      <c r="M718" s="200"/>
      <c r="N718" s="200"/>
      <c r="O718" s="203"/>
      <c r="P718" s="201"/>
      <c r="Q718" s="202"/>
      <c r="R718" s="200"/>
      <c r="S718" s="200"/>
    </row>
    <row r="719" spans="1:19" s="196" customFormat="1" ht="15">
      <c r="A719" s="58"/>
      <c r="B719" s="59"/>
      <c r="C719" s="77" t="s">
        <v>495</v>
      </c>
      <c r="D719" s="129" t="s">
        <v>71</v>
      </c>
      <c r="E719" s="213">
        <v>0</v>
      </c>
      <c r="F719" s="233"/>
      <c r="G719" s="198"/>
      <c r="H719" s="199"/>
      <c r="I719" s="200"/>
      <c r="J719" s="201"/>
      <c r="K719" s="201"/>
      <c r="L719" s="202"/>
      <c r="M719" s="200"/>
      <c r="N719" s="200"/>
      <c r="O719" s="203"/>
      <c r="P719" s="201"/>
      <c r="Q719" s="202"/>
      <c r="R719" s="200"/>
      <c r="S719" s="200"/>
    </row>
    <row r="720" spans="1:19" s="196" customFormat="1" ht="15">
      <c r="A720" s="58"/>
      <c r="B720" s="59"/>
      <c r="C720" s="77" t="s">
        <v>497</v>
      </c>
      <c r="D720" s="129" t="s">
        <v>71</v>
      </c>
      <c r="E720" s="178">
        <v>2</v>
      </c>
      <c r="F720" s="234"/>
      <c r="G720" s="78">
        <f>E720*F720</f>
        <v>0</v>
      </c>
      <c r="H720" s="201"/>
      <c r="I720" s="200"/>
      <c r="J720" s="201"/>
      <c r="K720" s="201"/>
      <c r="L720" s="202"/>
      <c r="M720" s="200"/>
      <c r="N720" s="200"/>
      <c r="O720" s="203"/>
      <c r="P720" s="201"/>
      <c r="Q720" s="202"/>
      <c r="R720" s="200"/>
      <c r="S720" s="200"/>
    </row>
    <row r="721" spans="1:19" s="196" customFormat="1" ht="15">
      <c r="A721" s="58"/>
      <c r="B721" s="59"/>
      <c r="C721" s="77" t="s">
        <v>498</v>
      </c>
      <c r="D721" s="129" t="s">
        <v>71</v>
      </c>
      <c r="E721" s="213">
        <v>1</v>
      </c>
      <c r="F721" s="234"/>
      <c r="G721" s="78">
        <f>E721*F721</f>
        <v>0</v>
      </c>
      <c r="H721" s="199"/>
      <c r="I721" s="200"/>
      <c r="J721" s="201"/>
      <c r="K721" s="201"/>
      <c r="L721" s="202"/>
      <c r="M721" s="200"/>
      <c r="N721" s="200"/>
      <c r="O721" s="203"/>
      <c r="P721" s="201"/>
      <c r="Q721" s="202"/>
      <c r="R721" s="200"/>
      <c r="S721" s="200"/>
    </row>
    <row r="722" spans="1:19" s="196" customFormat="1" ht="15">
      <c r="A722" s="58"/>
      <c r="B722" s="59"/>
      <c r="C722" s="77" t="s">
        <v>499</v>
      </c>
      <c r="D722" s="129" t="s">
        <v>71</v>
      </c>
      <c r="E722" s="178">
        <v>1</v>
      </c>
      <c r="F722" s="234"/>
      <c r="G722" s="78">
        <f>E722*F722</f>
        <v>0</v>
      </c>
      <c r="H722" s="199"/>
      <c r="I722" s="200"/>
      <c r="J722" s="205"/>
      <c r="K722" s="201"/>
      <c r="L722" s="202"/>
      <c r="M722" s="200"/>
      <c r="N722" s="200"/>
      <c r="O722" s="206"/>
      <c r="P722" s="205"/>
      <c r="Q722" s="202"/>
      <c r="R722" s="200"/>
      <c r="S722" s="200"/>
    </row>
    <row r="723" spans="1:19" s="196" customFormat="1" ht="15">
      <c r="A723" s="58"/>
      <c r="B723" s="59"/>
      <c r="C723" s="77" t="s">
        <v>500</v>
      </c>
      <c r="D723" s="129" t="s">
        <v>71</v>
      </c>
      <c r="E723" s="213">
        <v>1</v>
      </c>
      <c r="F723" s="234"/>
      <c r="G723" s="78">
        <f>E723*F723</f>
        <v>0</v>
      </c>
      <c r="H723" s="199"/>
      <c r="I723" s="200"/>
      <c r="J723" s="201"/>
      <c r="K723" s="200"/>
      <c r="L723" s="202"/>
      <c r="M723" s="200"/>
      <c r="N723" s="200"/>
      <c r="O723" s="203"/>
      <c r="P723" s="201"/>
      <c r="Q723" s="202"/>
      <c r="R723" s="200"/>
      <c r="S723" s="200"/>
    </row>
    <row r="724" spans="1:19" s="196" customFormat="1" ht="15">
      <c r="A724" s="58"/>
      <c r="B724" s="59"/>
      <c r="C724" s="77" t="s">
        <v>501</v>
      </c>
      <c r="D724" s="129" t="s">
        <v>71</v>
      </c>
      <c r="E724" s="213">
        <v>1</v>
      </c>
      <c r="F724" s="234"/>
      <c r="G724" s="78">
        <f>E724*F724</f>
        <v>0</v>
      </c>
      <c r="H724" s="199"/>
      <c r="I724" s="200"/>
      <c r="J724" s="201"/>
      <c r="K724" s="201"/>
      <c r="L724" s="202"/>
      <c r="M724" s="200"/>
      <c r="N724" s="200"/>
      <c r="O724" s="203"/>
      <c r="P724" s="201"/>
      <c r="Q724" s="202"/>
      <c r="R724" s="200"/>
      <c r="S724" s="200"/>
    </row>
    <row r="725" spans="1:19" s="196" customFormat="1" ht="15">
      <c r="A725" s="58"/>
      <c r="B725" s="59"/>
      <c r="C725" s="77"/>
      <c r="D725" s="129"/>
      <c r="E725" s="213"/>
      <c r="F725" s="234"/>
      <c r="G725" s="78"/>
      <c r="H725" s="199"/>
      <c r="I725" s="200"/>
      <c r="J725" s="201"/>
      <c r="K725" s="201"/>
      <c r="L725" s="202"/>
      <c r="M725" s="200"/>
      <c r="N725" s="200"/>
      <c r="O725" s="203"/>
      <c r="P725" s="201"/>
      <c r="Q725" s="202"/>
      <c r="R725" s="200"/>
      <c r="S725" s="200"/>
    </row>
    <row r="726" spans="1:19" s="196" customFormat="1" ht="24.75">
      <c r="A726" s="58" t="s">
        <v>26</v>
      </c>
      <c r="B726" s="181" t="s">
        <v>191</v>
      </c>
      <c r="C726" s="77" t="s">
        <v>586</v>
      </c>
      <c r="D726" s="129"/>
      <c r="E726" s="213"/>
      <c r="F726" s="78"/>
      <c r="G726" s="78"/>
      <c r="H726" s="199"/>
      <c r="I726" s="200"/>
      <c r="J726" s="201"/>
      <c r="K726" s="201"/>
      <c r="L726" s="202"/>
      <c r="M726" s="200"/>
      <c r="N726" s="200"/>
      <c r="O726" s="203"/>
      <c r="P726" s="201"/>
      <c r="Q726" s="202"/>
      <c r="R726" s="200"/>
      <c r="S726" s="200"/>
    </row>
    <row r="727" spans="1:19" s="196" customFormat="1" ht="15">
      <c r="A727" s="148"/>
      <c r="B727" s="79"/>
      <c r="C727" s="70" t="s">
        <v>584</v>
      </c>
      <c r="D727" s="317" t="s">
        <v>71</v>
      </c>
      <c r="E727" s="70">
        <v>3</v>
      </c>
      <c r="F727" s="70"/>
      <c r="G727" s="78">
        <f>E727*F727</f>
        <v>0</v>
      </c>
      <c r="H727" s="199"/>
      <c r="I727" s="200"/>
      <c r="J727" s="201"/>
      <c r="K727" s="201"/>
      <c r="L727" s="202"/>
      <c r="M727" s="200"/>
      <c r="N727" s="200"/>
      <c r="O727" s="203"/>
      <c r="P727" s="201"/>
      <c r="Q727" s="202"/>
      <c r="R727" s="200"/>
      <c r="S727" s="200"/>
    </row>
    <row r="728" spans="1:19" s="196" customFormat="1" ht="15">
      <c r="A728" s="148"/>
      <c r="B728" s="79"/>
      <c r="C728" s="70" t="s">
        <v>585</v>
      </c>
      <c r="D728" s="317" t="s">
        <v>71</v>
      </c>
      <c r="E728" s="70">
        <v>4</v>
      </c>
      <c r="F728" s="70"/>
      <c r="G728" s="78">
        <f>E728*F728</f>
        <v>0</v>
      </c>
      <c r="H728" s="199"/>
      <c r="I728" s="200"/>
      <c r="J728" s="201"/>
      <c r="K728" s="201"/>
      <c r="L728" s="202"/>
      <c r="M728" s="200"/>
      <c r="N728" s="200"/>
      <c r="O728" s="203"/>
      <c r="P728" s="201"/>
      <c r="Q728" s="202"/>
      <c r="R728" s="200"/>
      <c r="S728" s="200"/>
    </row>
    <row r="729" spans="1:19" s="196" customFormat="1" ht="15">
      <c r="A729" s="148"/>
      <c r="B729" s="79"/>
      <c r="H729" s="199"/>
      <c r="I729" s="200"/>
      <c r="J729" s="201"/>
      <c r="K729" s="201"/>
      <c r="L729" s="202"/>
      <c r="M729" s="200"/>
      <c r="N729" s="200"/>
      <c r="O729" s="203"/>
      <c r="P729" s="201"/>
      <c r="Q729" s="202"/>
      <c r="R729" s="200"/>
      <c r="S729" s="200"/>
    </row>
    <row r="730" spans="1:19" s="196" customFormat="1" ht="36.75">
      <c r="A730" s="148" t="s">
        <v>27</v>
      </c>
      <c r="B730" s="181" t="s">
        <v>191</v>
      </c>
      <c r="C730" s="185" t="s">
        <v>572</v>
      </c>
      <c r="D730" s="102"/>
      <c r="E730" s="169"/>
      <c r="F730" s="197"/>
      <c r="G730" s="198"/>
      <c r="H730" s="199"/>
      <c r="I730" s="200"/>
      <c r="J730" s="201"/>
      <c r="K730" s="201"/>
      <c r="L730" s="202"/>
      <c r="M730" s="200"/>
      <c r="N730" s="200"/>
      <c r="O730" s="203"/>
      <c r="P730" s="201"/>
      <c r="Q730" s="202"/>
      <c r="R730" s="200"/>
      <c r="S730" s="200"/>
    </row>
    <row r="731" spans="1:19" s="196" customFormat="1" ht="15">
      <c r="A731" s="148"/>
      <c r="B731" s="79"/>
      <c r="C731" s="186" t="s">
        <v>571</v>
      </c>
      <c r="D731" s="150" t="s">
        <v>68</v>
      </c>
      <c r="E731" s="164">
        <v>10</v>
      </c>
      <c r="F731" s="62"/>
      <c r="G731" s="78">
        <f>E731*F731</f>
        <v>0</v>
      </c>
      <c r="H731" s="199"/>
      <c r="I731" s="200"/>
      <c r="J731" s="201"/>
      <c r="K731" s="201"/>
      <c r="L731" s="202"/>
      <c r="M731" s="200"/>
      <c r="N731" s="200"/>
      <c r="O731" s="203"/>
      <c r="P731" s="201"/>
      <c r="Q731" s="202"/>
      <c r="R731" s="200"/>
      <c r="S731" s="200"/>
    </row>
    <row r="732" spans="1:9" ht="12">
      <c r="A732" s="148"/>
      <c r="B732" s="79"/>
      <c r="C732" s="275" t="s">
        <v>190</v>
      </c>
      <c r="D732" s="277" t="s">
        <v>51</v>
      </c>
      <c r="E732" s="295">
        <v>0.08</v>
      </c>
      <c r="F732" s="285"/>
      <c r="G732" s="240">
        <f>E732*F732</f>
        <v>0</v>
      </c>
      <c r="I732" s="127"/>
    </row>
    <row r="733" spans="1:9" ht="12">
      <c r="A733" s="148"/>
      <c r="B733" s="79"/>
      <c r="C733" s="184"/>
      <c r="D733" s="134"/>
      <c r="E733" s="164"/>
      <c r="G733" s="130"/>
      <c r="I733" s="127"/>
    </row>
    <row r="734" spans="1:9" ht="12">
      <c r="A734" s="148"/>
      <c r="B734" s="79"/>
      <c r="C734" s="184"/>
      <c r="D734" s="134"/>
      <c r="E734" s="169"/>
      <c r="F734" s="149"/>
      <c r="G734" s="101"/>
      <c r="I734" s="127"/>
    </row>
    <row r="735" spans="1:9" ht="12">
      <c r="A735" s="148"/>
      <c r="B735" s="79"/>
      <c r="C735" s="184"/>
      <c r="D735" s="134"/>
      <c r="E735" s="164"/>
      <c r="I735" s="127"/>
    </row>
    <row r="736" spans="1:9" ht="12">
      <c r="A736" s="148"/>
      <c r="B736" s="79"/>
      <c r="C736" s="184"/>
      <c r="D736" s="134"/>
      <c r="E736" s="164"/>
      <c r="I736" s="127"/>
    </row>
    <row r="737" spans="1:10" ht="12">
      <c r="A737" s="148"/>
      <c r="B737" s="79"/>
      <c r="C737" s="61"/>
      <c r="D737" s="102"/>
      <c r="E737" s="169"/>
      <c r="G737" s="130"/>
      <c r="I737" s="127"/>
      <c r="J737" s="143"/>
    </row>
    <row r="738" spans="1:9" ht="12">
      <c r="A738" s="148"/>
      <c r="B738" s="79"/>
      <c r="D738" s="104"/>
      <c r="E738" s="164"/>
      <c r="G738" s="130"/>
      <c r="I738" s="127"/>
    </row>
    <row r="739" spans="1:9" ht="12">
      <c r="A739" s="148"/>
      <c r="B739" s="79"/>
      <c r="D739" s="104"/>
      <c r="E739" s="164"/>
      <c r="G739" s="130"/>
      <c r="I739" s="127"/>
    </row>
    <row r="740" spans="1:9" ht="12">
      <c r="A740" s="148"/>
      <c r="B740" s="152"/>
      <c r="C740" s="56"/>
      <c r="D740" s="146"/>
      <c r="E740" s="169"/>
      <c r="G740" s="130"/>
      <c r="I740" s="127"/>
    </row>
    <row r="741" spans="1:9" ht="12">
      <c r="A741" s="148"/>
      <c r="B741" s="152"/>
      <c r="C741" s="183"/>
      <c r="D741" s="147"/>
      <c r="E741" s="164"/>
      <c r="F741" s="149"/>
      <c r="G741" s="101"/>
      <c r="I741" s="127"/>
    </row>
    <row r="742" spans="2:9" ht="12">
      <c r="B742" s="153"/>
      <c r="C742" s="66"/>
      <c r="D742" s="154"/>
      <c r="E742" s="163"/>
      <c r="I742" s="127"/>
    </row>
    <row r="743" spans="2:9" ht="12">
      <c r="B743" s="153"/>
      <c r="C743" s="66"/>
      <c r="D743" s="155"/>
      <c r="E743" s="163"/>
      <c r="I743" s="127"/>
    </row>
    <row r="744" spans="2:9" ht="12">
      <c r="B744" s="153"/>
      <c r="C744" s="183"/>
      <c r="D744" s="155"/>
      <c r="E744" s="163"/>
      <c r="F744" s="46"/>
      <c r="G744" s="137"/>
      <c r="I744" s="127"/>
    </row>
    <row r="745" spans="2:9" ht="12">
      <c r="B745" s="153"/>
      <c r="C745" s="183"/>
      <c r="D745" s="155"/>
      <c r="E745" s="163"/>
      <c r="I745" s="127"/>
    </row>
    <row r="746" spans="2:9" ht="12">
      <c r="B746" s="153"/>
      <c r="C746" s="184"/>
      <c r="D746" s="155"/>
      <c r="E746" s="163"/>
      <c r="F746" s="132"/>
      <c r="G746" s="130"/>
      <c r="I746" s="127"/>
    </row>
    <row r="747" spans="2:9" ht="12">
      <c r="B747" s="153"/>
      <c r="C747" s="184"/>
      <c r="D747" s="155"/>
      <c r="E747" s="163"/>
      <c r="F747" s="132"/>
      <c r="G747" s="130"/>
      <c r="I747" s="127"/>
    </row>
    <row r="748" spans="2:9" ht="12">
      <c r="B748" s="153"/>
      <c r="C748" s="184"/>
      <c r="D748" s="155"/>
      <c r="E748" s="163"/>
      <c r="F748" s="132"/>
      <c r="G748" s="130"/>
      <c r="I748" s="127"/>
    </row>
    <row r="749" spans="2:9" ht="12">
      <c r="B749" s="153"/>
      <c r="C749" s="184"/>
      <c r="D749" s="155"/>
      <c r="E749" s="163"/>
      <c r="F749" s="132"/>
      <c r="G749" s="130"/>
      <c r="I749" s="127"/>
    </row>
    <row r="750" spans="2:9" ht="12">
      <c r="B750" s="153"/>
      <c r="C750" s="184"/>
      <c r="D750" s="155"/>
      <c r="E750" s="165"/>
      <c r="F750" s="132"/>
      <c r="G750" s="130"/>
      <c r="I750" s="127"/>
    </row>
    <row r="751" spans="2:9" ht="12">
      <c r="B751" s="153"/>
      <c r="C751" s="184"/>
      <c r="D751" s="155"/>
      <c r="E751" s="165"/>
      <c r="F751" s="132"/>
      <c r="G751" s="130"/>
      <c r="I751" s="127"/>
    </row>
    <row r="752" spans="2:9" ht="12">
      <c r="B752" s="153"/>
      <c r="C752" s="184"/>
      <c r="D752" s="155"/>
      <c r="E752" s="163"/>
      <c r="F752" s="132"/>
      <c r="G752" s="130"/>
      <c r="I752" s="127"/>
    </row>
    <row r="753" spans="2:9" ht="12">
      <c r="B753" s="153"/>
      <c r="C753" s="187"/>
      <c r="D753" s="103"/>
      <c r="E753" s="164"/>
      <c r="F753" s="132"/>
      <c r="G753" s="130"/>
      <c r="I753" s="127"/>
    </row>
    <row r="754" spans="2:9" ht="36" customHeight="1">
      <c r="B754" s="124"/>
      <c r="C754" s="82"/>
      <c r="D754" s="103"/>
      <c r="E754" s="169"/>
      <c r="F754" s="132"/>
      <c r="G754" s="130"/>
      <c r="I754" s="127"/>
    </row>
    <row r="755" spans="2:9" ht="12">
      <c r="B755" s="124"/>
      <c r="C755" s="82"/>
      <c r="D755" s="103"/>
      <c r="E755" s="169"/>
      <c r="F755" s="132"/>
      <c r="G755" s="130"/>
      <c r="I755" s="127"/>
    </row>
    <row r="756" spans="2:9" ht="12">
      <c r="B756" s="124"/>
      <c r="C756" s="82"/>
      <c r="D756" s="103"/>
      <c r="E756" s="169"/>
      <c r="F756" s="132"/>
      <c r="G756" s="130"/>
      <c r="I756" s="127"/>
    </row>
    <row r="757" spans="2:9" ht="12">
      <c r="B757" s="124"/>
      <c r="C757" s="82"/>
      <c r="D757" s="103"/>
      <c r="E757" s="169"/>
      <c r="I757" s="127"/>
    </row>
    <row r="758" spans="2:9" ht="12">
      <c r="B758" s="124"/>
      <c r="C758" s="82"/>
      <c r="D758" s="103"/>
      <c r="E758" s="169"/>
      <c r="G758" s="101"/>
      <c r="I758" s="127"/>
    </row>
    <row r="759" spans="2:9" ht="12">
      <c r="B759" s="124"/>
      <c r="C759" s="82"/>
      <c r="D759" s="103"/>
      <c r="E759" s="169"/>
      <c r="G759" s="101"/>
      <c r="I759" s="127"/>
    </row>
    <row r="760" spans="2:9" ht="12">
      <c r="B760" s="124"/>
      <c r="C760" s="82"/>
      <c r="D760" s="103"/>
      <c r="E760" s="169"/>
      <c r="G760" s="101"/>
      <c r="I760" s="127"/>
    </row>
    <row r="761" spans="2:9" ht="12">
      <c r="B761" s="124"/>
      <c r="C761" s="82"/>
      <c r="D761" s="103"/>
      <c r="E761" s="169"/>
      <c r="G761" s="101"/>
      <c r="I761" s="127"/>
    </row>
    <row r="762" spans="2:9" ht="12">
      <c r="B762" s="124"/>
      <c r="C762" s="82"/>
      <c r="D762" s="103"/>
      <c r="E762" s="169"/>
      <c r="G762" s="101"/>
      <c r="I762" s="127"/>
    </row>
    <row r="763" spans="2:9" ht="12">
      <c r="B763" s="124"/>
      <c r="C763" s="82"/>
      <c r="D763" s="103"/>
      <c r="E763" s="169"/>
      <c r="G763" s="101"/>
      <c r="I763" s="127"/>
    </row>
    <row r="764" spans="2:9" ht="12">
      <c r="B764" s="124"/>
      <c r="C764" s="82"/>
      <c r="D764" s="103"/>
      <c r="E764" s="169"/>
      <c r="G764" s="101"/>
      <c r="I764" s="127"/>
    </row>
    <row r="765" spans="2:9" ht="12">
      <c r="B765" s="124"/>
      <c r="C765" s="82"/>
      <c r="D765" s="103"/>
      <c r="E765" s="169"/>
      <c r="G765" s="101"/>
      <c r="I765" s="127"/>
    </row>
    <row r="766" spans="2:9" ht="12">
      <c r="B766" s="124"/>
      <c r="C766" s="82"/>
      <c r="D766" s="103"/>
      <c r="E766" s="169"/>
      <c r="G766" s="101"/>
      <c r="I766" s="127"/>
    </row>
    <row r="767" spans="2:9" ht="12">
      <c r="B767" s="124"/>
      <c r="C767" s="82"/>
      <c r="D767" s="103"/>
      <c r="E767" s="169"/>
      <c r="G767" s="101"/>
      <c r="I767" s="127"/>
    </row>
    <row r="768" spans="2:9" ht="12">
      <c r="B768" s="124"/>
      <c r="C768" s="82"/>
      <c r="D768" s="103"/>
      <c r="E768" s="169"/>
      <c r="G768" s="101"/>
      <c r="I768" s="127"/>
    </row>
    <row r="769" spans="2:9" ht="12">
      <c r="B769" s="124"/>
      <c r="C769" s="82"/>
      <c r="D769" s="103"/>
      <c r="E769" s="169"/>
      <c r="G769" s="101"/>
      <c r="I769" s="127"/>
    </row>
    <row r="770" spans="2:9" ht="12">
      <c r="B770" s="124"/>
      <c r="C770" s="82"/>
      <c r="D770" s="103"/>
      <c r="E770" s="169"/>
      <c r="G770" s="101"/>
      <c r="I770" s="127"/>
    </row>
    <row r="771" spans="3:9" ht="12">
      <c r="C771" s="82"/>
      <c r="D771" s="103"/>
      <c r="E771" s="169"/>
      <c r="G771" s="101"/>
      <c r="I771" s="127"/>
    </row>
    <row r="772" spans="3:9" ht="12">
      <c r="C772" s="82"/>
      <c r="D772" s="103"/>
      <c r="E772" s="169"/>
      <c r="G772" s="101"/>
      <c r="I772" s="127"/>
    </row>
    <row r="773" spans="3:9" ht="12">
      <c r="C773" s="82"/>
      <c r="D773" s="103"/>
      <c r="E773" s="169"/>
      <c r="G773" s="101"/>
      <c r="I773" s="127"/>
    </row>
    <row r="774" spans="3:9" ht="12">
      <c r="C774" s="82"/>
      <c r="D774" s="103"/>
      <c r="E774" s="169"/>
      <c r="G774" s="101"/>
      <c r="I774" s="127"/>
    </row>
    <row r="775" spans="3:9" ht="12">
      <c r="C775" s="82"/>
      <c r="D775" s="103"/>
      <c r="E775" s="169"/>
      <c r="G775" s="101"/>
      <c r="I775" s="127"/>
    </row>
    <row r="776" spans="3:9" ht="12">
      <c r="C776" s="82"/>
      <c r="D776" s="103"/>
      <c r="E776" s="169"/>
      <c r="G776" s="101"/>
      <c r="I776" s="127"/>
    </row>
    <row r="777" spans="3:9" ht="12">
      <c r="C777" s="82"/>
      <c r="D777" s="103"/>
      <c r="E777" s="169"/>
      <c r="G777" s="101"/>
      <c r="I777" s="127"/>
    </row>
    <row r="778" spans="3:9" ht="12">
      <c r="C778" s="82"/>
      <c r="D778" s="103"/>
      <c r="E778" s="169"/>
      <c r="G778" s="101"/>
      <c r="I778" s="127"/>
    </row>
    <row r="779" spans="3:9" ht="12">
      <c r="C779" s="82"/>
      <c r="D779" s="103"/>
      <c r="E779" s="169"/>
      <c r="G779" s="101"/>
      <c r="I779" s="127"/>
    </row>
    <row r="780" spans="3:9" ht="12">
      <c r="C780" s="82"/>
      <c r="D780" s="103"/>
      <c r="E780" s="169"/>
      <c r="G780" s="101"/>
      <c r="I780" s="127"/>
    </row>
    <row r="781" spans="3:9" ht="12">
      <c r="C781" s="82"/>
      <c r="D781" s="103"/>
      <c r="E781" s="169"/>
      <c r="G781" s="101"/>
      <c r="I781" s="127"/>
    </row>
    <row r="782" spans="3:9" ht="12">
      <c r="C782" s="82"/>
      <c r="D782" s="103"/>
      <c r="E782" s="169"/>
      <c r="G782" s="101"/>
      <c r="I782" s="127"/>
    </row>
    <row r="783" spans="3:9" ht="12">
      <c r="C783" s="82"/>
      <c r="D783" s="103"/>
      <c r="E783" s="169"/>
      <c r="G783" s="101"/>
      <c r="I783" s="127"/>
    </row>
    <row r="784" spans="3:9" ht="12">
      <c r="C784" s="82"/>
      <c r="D784" s="103"/>
      <c r="E784" s="169"/>
      <c r="G784" s="101"/>
      <c r="I784" s="127"/>
    </row>
    <row r="785" spans="3:9" ht="12">
      <c r="C785" s="82"/>
      <c r="D785" s="103"/>
      <c r="E785" s="169"/>
      <c r="G785" s="101"/>
      <c r="I785" s="127"/>
    </row>
    <row r="786" spans="3:9" ht="12">
      <c r="C786" s="82"/>
      <c r="D786" s="103"/>
      <c r="E786" s="169"/>
      <c r="G786" s="101"/>
      <c r="I786" s="127"/>
    </row>
    <row r="787" spans="3:9" ht="12">
      <c r="C787" s="82"/>
      <c r="D787" s="103"/>
      <c r="E787" s="169"/>
      <c r="G787" s="101"/>
      <c r="I787" s="127"/>
    </row>
    <row r="788" spans="3:9" ht="12">
      <c r="C788" s="82"/>
      <c r="D788" s="103"/>
      <c r="E788" s="169"/>
      <c r="G788" s="101"/>
      <c r="I788" s="127"/>
    </row>
    <row r="789" spans="3:9" ht="12">
      <c r="C789" s="82"/>
      <c r="D789" s="103"/>
      <c r="E789" s="169"/>
      <c r="G789" s="101"/>
      <c r="I789" s="127"/>
    </row>
    <row r="790" spans="3:9" ht="12">
      <c r="C790" s="82"/>
      <c r="D790" s="103"/>
      <c r="E790" s="169"/>
      <c r="G790" s="101"/>
      <c r="I790" s="127"/>
    </row>
    <row r="791" spans="3:9" ht="12">
      <c r="C791" s="82"/>
      <c r="D791" s="103"/>
      <c r="E791" s="169"/>
      <c r="G791" s="101"/>
      <c r="I791" s="127"/>
    </row>
    <row r="792" spans="3:9" ht="12">
      <c r="C792" s="82"/>
      <c r="D792" s="103"/>
      <c r="E792" s="169"/>
      <c r="G792" s="101"/>
      <c r="I792" s="127"/>
    </row>
    <row r="793" spans="3:9" ht="12">
      <c r="C793" s="82"/>
      <c r="D793" s="103"/>
      <c r="E793" s="169"/>
      <c r="G793" s="101"/>
      <c r="I793" s="127"/>
    </row>
    <row r="794" spans="3:9" ht="12">
      <c r="C794" s="82"/>
      <c r="D794" s="103"/>
      <c r="E794" s="169"/>
      <c r="G794" s="101"/>
      <c r="I794" s="127"/>
    </row>
    <row r="795" spans="3:9" ht="12">
      <c r="C795" s="82"/>
      <c r="D795" s="103"/>
      <c r="E795" s="169"/>
      <c r="G795" s="101"/>
      <c r="I795" s="127"/>
    </row>
    <row r="796" spans="3:9" ht="12">
      <c r="C796" s="82"/>
      <c r="D796" s="103"/>
      <c r="E796" s="169"/>
      <c r="G796" s="101"/>
      <c r="I796" s="127"/>
    </row>
    <row r="797" spans="3:9" ht="12">
      <c r="C797" s="82"/>
      <c r="D797" s="103"/>
      <c r="E797" s="169"/>
      <c r="G797" s="101"/>
      <c r="I797" s="127"/>
    </row>
    <row r="798" spans="3:9" ht="12">
      <c r="C798" s="82"/>
      <c r="D798" s="103"/>
      <c r="E798" s="169"/>
      <c r="G798" s="101"/>
      <c r="I798" s="127"/>
    </row>
    <row r="799" spans="3:9" ht="12">
      <c r="C799" s="82"/>
      <c r="D799" s="103"/>
      <c r="E799" s="169"/>
      <c r="G799" s="101"/>
      <c r="I799" s="127"/>
    </row>
    <row r="800" spans="3:9" ht="12">
      <c r="C800" s="82"/>
      <c r="D800" s="103"/>
      <c r="E800" s="169"/>
      <c r="G800" s="101"/>
      <c r="I800" s="127"/>
    </row>
    <row r="801" spans="3:9" ht="12">
      <c r="C801" s="82"/>
      <c r="D801" s="103"/>
      <c r="E801" s="169"/>
      <c r="G801" s="101"/>
      <c r="I801" s="127"/>
    </row>
    <row r="802" spans="3:9" ht="12">
      <c r="C802" s="82"/>
      <c r="D802" s="103"/>
      <c r="E802" s="169"/>
      <c r="G802" s="101"/>
      <c r="I802" s="127"/>
    </row>
    <row r="803" spans="3:9" ht="12">
      <c r="C803" s="82"/>
      <c r="D803" s="103"/>
      <c r="E803" s="169"/>
      <c r="G803" s="101"/>
      <c r="I803" s="127"/>
    </row>
    <row r="804" spans="3:9" ht="12">
      <c r="C804" s="82"/>
      <c r="D804" s="103"/>
      <c r="E804" s="169"/>
      <c r="G804" s="101"/>
      <c r="I804" s="127"/>
    </row>
    <row r="805" spans="3:9" ht="12">
      <c r="C805" s="82"/>
      <c r="D805" s="103"/>
      <c r="E805" s="169"/>
      <c r="G805" s="101"/>
      <c r="I805" s="127"/>
    </row>
    <row r="806" spans="3:9" ht="12">
      <c r="C806" s="82"/>
      <c r="D806" s="103"/>
      <c r="E806" s="169"/>
      <c r="G806" s="101"/>
      <c r="I806" s="127"/>
    </row>
    <row r="807" spans="3:9" ht="12">
      <c r="C807" s="82"/>
      <c r="D807" s="103"/>
      <c r="E807" s="169"/>
      <c r="G807" s="101"/>
      <c r="I807" s="127"/>
    </row>
    <row r="808" spans="3:9" ht="12">
      <c r="C808" s="82"/>
      <c r="D808" s="103"/>
      <c r="E808" s="169"/>
      <c r="G808" s="101"/>
      <c r="I808" s="127"/>
    </row>
    <row r="809" spans="3:9" ht="12">
      <c r="C809" s="82"/>
      <c r="D809" s="103"/>
      <c r="E809" s="169"/>
      <c r="G809" s="101"/>
      <c r="I809" s="127"/>
    </row>
    <row r="810" spans="3:9" ht="12">
      <c r="C810" s="82"/>
      <c r="D810" s="103"/>
      <c r="E810" s="169"/>
      <c r="G810" s="101"/>
      <c r="I810" s="127"/>
    </row>
    <row r="811" spans="3:9" ht="12">
      <c r="C811" s="82"/>
      <c r="D811" s="103"/>
      <c r="E811" s="169"/>
      <c r="G811" s="101"/>
      <c r="I811" s="127"/>
    </row>
    <row r="812" spans="7:9" ht="12">
      <c r="G812" s="101"/>
      <c r="I812" s="127"/>
    </row>
    <row r="813" spans="7:9" ht="12">
      <c r="G813" s="101"/>
      <c r="I813" s="127"/>
    </row>
    <row r="814" spans="7:9" ht="12">
      <c r="G814" s="101"/>
      <c r="I814" s="127"/>
    </row>
    <row r="815" spans="7:9" ht="12">
      <c r="G815" s="101"/>
      <c r="I815" s="127"/>
    </row>
  </sheetData>
  <sheetProtection/>
  <printOptions/>
  <pageMargins left="0.29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skala</cp:lastModifiedBy>
  <cp:lastPrinted>2020-04-16T13:46:21Z</cp:lastPrinted>
  <dcterms:created xsi:type="dcterms:W3CDTF">2009-05-01T16:07:16Z</dcterms:created>
  <dcterms:modified xsi:type="dcterms:W3CDTF">2020-04-24T07:35:41Z</dcterms:modified>
  <cp:category/>
  <cp:version/>
  <cp:contentType/>
  <cp:contentStatus/>
</cp:coreProperties>
</file>