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301"/>
  <workbookPr defaultThemeVersion="166925"/>
  <bookViews>
    <workbookView xWindow="65416" yWindow="65416" windowWidth="15600" windowHeight="11760" activeTab="1"/>
  </bookViews>
  <sheets>
    <sheet name="Krycí list rozpočtu" sheetId="1" r:id="rId1"/>
    <sheet name="Stavební rozpočet" sheetId="2" r:id="rId2"/>
  </sheets>
  <definedNames/>
  <calcPr calcId="191029"/>
  <extLst/>
</workbook>
</file>

<file path=xl/sharedStrings.xml><?xml version="1.0" encoding="utf-8"?>
<sst xmlns="http://schemas.openxmlformats.org/spreadsheetml/2006/main" count="520" uniqueCount="267">
  <si>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</si>
  <si>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</si>
  <si>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</si>
  <si>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</si>
  <si>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</si>
  <si>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</si>
  <si>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</si>
  <si>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</si>
  <si>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</si>
  <si>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</si>
  <si>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</si>
  <si>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</si>
  <si>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</si>
  <si>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</si>
  <si>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</si>
  <si>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</si>
  <si>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</si>
  <si>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</si>
  <si>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</si>
  <si>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</si>
  <si>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</si>
  <si>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</si>
  <si>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</si>
  <si>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</si>
  <si>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</si>
  <si>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</si>
  <si>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</si>
  <si>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</si>
  <si>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</si>
  <si>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</si>
  <si>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</si>
  <si>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</si>
  <si>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</si>
  <si>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</si>
  <si>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</si>
  <si>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</si>
  <si>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</si>
  <si>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</si>
  <si>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</si>
  <si>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</si>
  <si>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</si>
  <si>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</si>
  <si>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</si>
  <si>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</si>
  <si>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</si>
  <si>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</si>
  <si>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</si>
  <si>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</si>
  <si>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</si>
  <si>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</si>
  <si>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</si>
  <si>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</si>
  <si>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</si>
  <si>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</si>
  <si>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</si>
  <si>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</si>
  <si>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33</t>
  </si>
  <si>
    <t>Slepý stavební rozpočet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</si>
  <si>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</si>
  <si>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</si>
  <si>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</si>
  <si>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</si>
  <si>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</si>
  <si>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</si>
  <si>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</si>
  <si>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</si>
  <si>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</si>
  <si>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</si>
  <si>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</si>
  <si>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</si>
  <si>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</si>
  <si>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</si>
  <si>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</si>
  <si>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</si>
  <si>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</si>
  <si>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</si>
  <si>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</si>
  <si>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</si>
  <si>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</si>
  <si>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</si>
  <si>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</si>
  <si>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</si>
  <si>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</si>
  <si>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</si>
  <si>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</si>
  <si>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</si>
  <si>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</si>
  <si>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</si>
  <si>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</si>
  <si>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</si>
  <si>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</si>
  <si>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</si>
  <si>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Kód</t>
  </si>
  <si>
    <t>0</t>
  </si>
  <si>
    <t>OV</t>
  </si>
  <si>
    <t>SL 1</t>
  </si>
  <si>
    <t>111201101R00</t>
  </si>
  <si>
    <t>112201101R00</t>
  </si>
  <si>
    <t>111101101R00</t>
  </si>
  <si>
    <t>113152112R00</t>
  </si>
  <si>
    <t>113109420R00</t>
  </si>
  <si>
    <t>111209111R00</t>
  </si>
  <si>
    <t>112101151R00</t>
  </si>
  <si>
    <t>113201011RAA</t>
  </si>
  <si>
    <t>121100001RAA</t>
  </si>
  <si>
    <t>131100010RAB</t>
  </si>
  <si>
    <t>132200010RA0</t>
  </si>
  <si>
    <t>122201109R00</t>
  </si>
  <si>
    <t>162201102R00</t>
  </si>
  <si>
    <t>174100010RAA</t>
  </si>
  <si>
    <t>184102120R00</t>
  </si>
  <si>
    <t>181101102R00</t>
  </si>
  <si>
    <t>45</t>
  </si>
  <si>
    <t>457541112R00</t>
  </si>
  <si>
    <t>59</t>
  </si>
  <si>
    <t>591100020RAA</t>
  </si>
  <si>
    <t>83</t>
  </si>
  <si>
    <t>831350113RAB</t>
  </si>
  <si>
    <t>831230110RAA</t>
  </si>
  <si>
    <t>91</t>
  </si>
  <si>
    <t>916531111RT4</t>
  </si>
  <si>
    <t>918101111R00</t>
  </si>
  <si>
    <t>916531111R00</t>
  </si>
  <si>
    <t>917862111RU2</t>
  </si>
  <si>
    <t>917931111R0X</t>
  </si>
  <si>
    <t>95</t>
  </si>
  <si>
    <t>953932324R00</t>
  </si>
  <si>
    <t>M21</t>
  </si>
  <si>
    <t>210901061RT3</t>
  </si>
  <si>
    <t>M46</t>
  </si>
  <si>
    <t>460620006RT1</t>
  </si>
  <si>
    <t>59217020</t>
  </si>
  <si>
    <t>59228263</t>
  </si>
  <si>
    <t>Stellplatz Vrchbělá</t>
  </si>
  <si>
    <t>Novostavba parkovací plochy pro karavany</t>
  </si>
  <si>
    <t>Vrchbělá, Bělá pod Bezdězem</t>
  </si>
  <si>
    <t>Zkrácený popis</t>
  </si>
  <si>
    <t>Rozměry</t>
  </si>
  <si>
    <t>Nezařazeno</t>
  </si>
  <si>
    <t>Všeobecné konstrukce a práce</t>
  </si>
  <si>
    <t>P-102 střední základní odtoková jímka se samočistícím systémem, včetně osazení</t>
  </si>
  <si>
    <t>1   </t>
  </si>
  <si>
    <t>S-210-P sloupek pro výpust odpadní vody a chem. WC s kohoutem pitné vody, včetně napojení</t>
  </si>
  <si>
    <t>Poli 98 E-508 - sloupek elektrický, včetně napojení</t>
  </si>
  <si>
    <t>3   </t>
  </si>
  <si>
    <t>Přípravné a přidružené práce</t>
  </si>
  <si>
    <t>Odstranění křovin i s kořeny na ploše do 1000 m2</t>
  </si>
  <si>
    <t>60   </t>
  </si>
  <si>
    <t>Odstranění pařezů pod úrovní, o průměru 10 - 30 cm</t>
  </si>
  <si>
    <t>7   </t>
  </si>
  <si>
    <t>Odstranění travin, rákosu na ploše do 0,1 ha</t>
  </si>
  <si>
    <t>(1174*1,1-640-153)/10000   </t>
  </si>
  <si>
    <t>Odstranění podkladu z kameniva drceného</t>
  </si>
  <si>
    <t>250*0,25   </t>
  </si>
  <si>
    <t>Odstranění podkladu pl.nad 50 m2, beton, tl. 20 cm</t>
  </si>
  <si>
    <t>250   </t>
  </si>
  <si>
    <t>Spálení proutí, klestu, pro jakoukoliv dřevinu</t>
  </si>
  <si>
    <t>Kácení stromů listnatých průměru 20 cm, svah 1:1</t>
  </si>
  <si>
    <t>Vytrhání obrubníků silničních</t>
  </si>
  <si>
    <t>15,5   </t>
  </si>
  <si>
    <t>Odkopávky a prokopávky</t>
  </si>
  <si>
    <t>Sejmutí ornice, naložení, odvoz a uložení</t>
  </si>
  <si>
    <t>(1174-520-153)*0,1   </t>
  </si>
  <si>
    <t>Hloubení nezapažených jam v hornině1-4</t>
  </si>
  <si>
    <t>1174*0,4-(673*0,4)   </t>
  </si>
  <si>
    <t>Hloubení nezapaž. rýh šířky do 60 cm v hornině 1-4</t>
  </si>
  <si>
    <t>75*0,25*0,7   elektro</t>
  </si>
  <si>
    <t>Příplatek za lepivost - odkopávky v hor. 3</t>
  </si>
  <si>
    <t>Vodorovné přemístění výkopku z hor.1-4 do 150 m</t>
  </si>
  <si>
    <t>Zásyp jam, rýh a šachet sypaninou</t>
  </si>
  <si>
    <t>Povrchové úpravy terénu</t>
  </si>
  <si>
    <t>Výsadba dřevin s balem D do 10 cm, na svahu 1:2, včetně dodávky keřů</t>
  </si>
  <si>
    <t>280   </t>
  </si>
  <si>
    <t>Úprava pláně v zářezech v hor. 1-4, se zhutněním</t>
  </si>
  <si>
    <t>1174-153   </t>
  </si>
  <si>
    <t>Podkladní a vedlejší konstrukce (kromě vozovek a železničního svršku)</t>
  </si>
  <si>
    <t>Filtrační vrstvy z nezhutněné štěrkodrti 0-125 mm</t>
  </si>
  <si>
    <t>0,25*1174-0,25*386-153*0,25   </t>
  </si>
  <si>
    <t>Kryty pozemních komunikací, letišť a ploch dlážděných (předlažby)</t>
  </si>
  <si>
    <t>Chodník z dlažby zámkové, podklad štěrkodrť</t>
  </si>
  <si>
    <t>252+94+40   </t>
  </si>
  <si>
    <t>Potrubí z trub kameninových</t>
  </si>
  <si>
    <t>Kanalizační přípojka z trub PVC, D 160 mm, včetně napojení na st. šachtu</t>
  </si>
  <si>
    <t>23   kanalizace</t>
  </si>
  <si>
    <t>Vodovodní přípojka z trub polyetylénových D 40-63, včetně napojení na stáv. rozvod</t>
  </si>
  <si>
    <t>15   voda</t>
  </si>
  <si>
    <t>Doplňující konstrukce a práce na pozemních komunikacích a zpevněných plochách</t>
  </si>
  <si>
    <t>Osazení záhon.obrubníků do lože z C12/15 bez opěry</t>
  </si>
  <si>
    <t>160,82*1,05   </t>
  </si>
  <si>
    <t>18*6*1,05   </t>
  </si>
  <si>
    <t>0,85*3*1,05   </t>
  </si>
  <si>
    <t>Lože pod obrubníky nebo obruby dlažeb z C 12/15</t>
  </si>
  <si>
    <t>160,82*0,3*0,2   </t>
  </si>
  <si>
    <t>18*6*0,3*0,2   </t>
  </si>
  <si>
    <t>0,85*3*0,3*0,2   </t>
  </si>
  <si>
    <t>111,5*0,4*0,3   </t>
  </si>
  <si>
    <t>15,5*0,4*0,3   </t>
  </si>
  <si>
    <t>Osazení obrubníků nájezdových do lože z C12/15</t>
  </si>
  <si>
    <t>15,5*1,05   nájezdový</t>
  </si>
  <si>
    <t>Osazení stojat. obrub.bet. s opěrou,lože z C 12/15</t>
  </si>
  <si>
    <t>111,5*1,05   </t>
  </si>
  <si>
    <t>Osazení zatravňovacích tvárnic - lože štěrkodrť</t>
  </si>
  <si>
    <t>50,63*8*4,2*1,05   </t>
  </si>
  <si>
    <t>3,88*3*4,2*1,05   </t>
  </si>
  <si>
    <t>Různé dokončovací konstrukce a práce na pozemních stavbách</t>
  </si>
  <si>
    <t>Rošt AquaDrain Flex š.150 mřížka, nerez, prodlouž</t>
  </si>
  <si>
    <t>4   </t>
  </si>
  <si>
    <t>Elektromontáže</t>
  </si>
  <si>
    <t>Kabel silový AYKY 1kV 3 x 25 mm2, včetně napojení do stávajícího pilíře</t>
  </si>
  <si>
    <t>75   elektro</t>
  </si>
  <si>
    <t>Zemní práce při montážích</t>
  </si>
  <si>
    <t>Osetí povrchu trávou</t>
  </si>
  <si>
    <t>Obrubník nájezdový betonový 148,5x145x1000 mm</t>
  </si>
  <si>
    <t>15,5*1,05   </t>
  </si>
  <si>
    <t>Tvárnice zatravňovací  600x400x80 mm</t>
  </si>
  <si>
    <t>Doba výstavby:</t>
  </si>
  <si>
    <t>Zpracováno dne:</t>
  </si>
  <si>
    <t>MJ</t>
  </si>
  <si>
    <t>kus</t>
  </si>
  <si>
    <t>m2</t>
  </si>
  <si>
    <t>ha</t>
  </si>
  <si>
    <t>m3</t>
  </si>
  <si>
    <t>m</t>
  </si>
  <si>
    <t>Množství</t>
  </si>
  <si>
    <t>Cena/MJ</t>
  </si>
  <si>
    <t>(Kč)</t>
  </si>
  <si>
    <t> </t>
  </si>
  <si>
    <t>Náklady (Kč)</t>
  </si>
  <si>
    <t>Dodávka</t>
  </si>
  <si>
    <t>Celkem:</t>
  </si>
  <si>
    <t>Celkem</t>
  </si>
  <si>
    <t>Cenová</t>
  </si>
  <si>
    <t>soustava</t>
  </si>
  <si>
    <t>RTS 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</si>
  <si>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</si>
  <si>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</si>
  <si>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</si>
  <si>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</si>
  <si>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</si>
  <si>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</si>
  <si>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</si>
  <si>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</si>
  <si>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</si>
  <si>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</si>
  <si>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11_</t>
  </si>
  <si>
    <t>12_</t>
  </si>
  <si>
    <t>18_</t>
  </si>
  <si>
    <t>45_</t>
  </si>
  <si>
    <t>59_</t>
  </si>
  <si>
    <t>83_</t>
  </si>
  <si>
    <t>91_</t>
  </si>
  <si>
    <t>95_</t>
  </si>
  <si>
    <t>M21_</t>
  </si>
  <si>
    <t>M46_</t>
  </si>
  <si>
    <t>Z99999_</t>
  </si>
  <si>
    <t>_0_</t>
  </si>
  <si>
    <t>_1_</t>
  </si>
  <si>
    <t>_4_</t>
  </si>
  <si>
    <t>_5_</t>
  </si>
  <si>
    <t>_8_</t>
  </si>
  <si>
    <t>_9_</t>
  </si>
  <si>
    <t>_Z_</t>
  </si>
  <si>
    <t>_</t>
  </si>
  <si>
    <t>MAT</t>
  </si>
  <si>
    <t>WORK</t>
  </si>
  <si>
    <t>CELK</t>
  </si>
  <si>
    <t>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</si>
</sst>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4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indexed="56"/>
      <name val="Arial"/>
      <family val="2"/>
    </font>
    <font>
      <i/>
      <sz val="10"/>
      <color indexed="6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</cellStyleXfs>
  <cellXfs count="149">
    <xf numFmtId="0" fontId="1" fillId="0" borderId="0" xfId="0" applyFont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49" fontId="3" fillId="2" borderId="2" xfId="0" applyNumberFormat="1" applyFont="1" applyFill="1" applyBorder="1" applyAlignment="1" applyProtection="1">
      <alignment horizontal="center" vertical="center"/>
      <protection/>
    </xf>
    <xf numFmtId="49" fontId="4" fillId="0" borderId="3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49" fontId="6" fillId="0" borderId="7" xfId="0" applyNumberFormat="1" applyFont="1" applyFill="1" applyBorder="1" applyAlignment="1" applyProtection="1">
      <alignment horizontal="left" vertical="center"/>
      <protection/>
    </xf>
    <xf numFmtId="49" fontId="5" fillId="0" borderId="2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49" fontId="5" fillId="0" borderId="2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" fontId="4" fillId="2" borderId="16" xfId="0" applyNumberFormat="1" applyFont="1" applyFill="1" applyBorder="1" applyAlignment="1" applyProtection="1">
      <alignment horizontal="right" vertical="center"/>
      <protection/>
    </xf>
    <xf numFmtId="49" fontId="9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0" fillId="3" borderId="7" xfId="0" applyNumberFormat="1" applyFont="1" applyFill="1" applyBorder="1" applyAlignment="1" applyProtection="1">
      <alignment horizontal="left" vertical="center"/>
      <protection/>
    </xf>
    <xf numFmtId="49" fontId="11" fillId="4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14" fillId="3" borderId="7" xfId="0" applyNumberFormat="1" applyFont="1" applyFill="1" applyBorder="1" applyAlignment="1" applyProtection="1">
      <alignment horizontal="left" vertical="center"/>
      <protection/>
    </xf>
    <xf numFmtId="49" fontId="15" fillId="4" borderId="0" xfId="0" applyNumberFormat="1" applyFont="1" applyFill="1" applyBorder="1" applyAlignment="1" applyProtection="1">
      <alignment horizontal="left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6" fillId="0" borderId="1" xfId="0" applyNumberFormat="1" applyFont="1" applyFill="1" applyBorder="1" applyAlignment="1" applyProtection="1">
      <alignment horizontal="right" vertical="center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2" xfId="0" applyNumberFormat="1" applyFont="1" applyFill="1" applyBorder="1" applyAlignment="1" applyProtection="1">
      <alignment horizontal="center" vertical="center"/>
      <protection/>
    </xf>
    <xf numFmtId="49" fontId="10" fillId="3" borderId="7" xfId="0" applyNumberFormat="1" applyFont="1" applyFill="1" applyBorder="1" applyAlignment="1" applyProtection="1">
      <alignment horizontal="left" vertical="center"/>
      <protection locked="0"/>
    </xf>
    <xf numFmtId="49" fontId="11" fillId="4" borderId="0" xfId="0" applyNumberFormat="1" applyFont="1" applyFill="1" applyBorder="1" applyAlignment="1" applyProtection="1">
      <alignment horizontal="left" vertical="center"/>
      <protection locked="0"/>
    </xf>
    <xf numFmtId="4" fontId="12" fillId="5" borderId="0" xfId="0" applyNumberFormat="1" applyFont="1" applyFill="1" applyBorder="1" applyAlignment="1" applyProtection="1">
      <alignment horizontal="right" vertical="center"/>
      <protection locked="0"/>
    </xf>
    <xf numFmtId="0" fontId="1" fillId="5" borderId="0" xfId="0" applyNumberFormat="1" applyFont="1" applyFill="1" applyBorder="1" applyAlignment="1" applyProtection="1">
      <alignment vertical="center"/>
      <protection locked="0"/>
    </xf>
    <xf numFmtId="4" fontId="13" fillId="5" borderId="0" xfId="0" applyNumberFormat="1" applyFont="1" applyFill="1" applyBorder="1" applyAlignment="1" applyProtection="1">
      <alignment horizontal="right" vertical="center"/>
      <protection locked="0"/>
    </xf>
    <xf numFmtId="0" fontId="1" fillId="5" borderId="1" xfId="0" applyNumberFormat="1" applyFont="1" applyFill="1" applyBorder="1" applyAlignment="1" applyProtection="1">
      <alignment vertical="center"/>
      <protection locked="0"/>
    </xf>
    <xf numFmtId="49" fontId="9" fillId="0" borderId="23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24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14" fillId="3" borderId="7" xfId="0" applyNumberFormat="1" applyFont="1" applyFill="1" applyBorder="1" applyAlignment="1" applyProtection="1">
      <alignment horizontal="right" vertical="center"/>
      <protection/>
    </xf>
    <xf numFmtId="49" fontId="15" fillId="4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14" fillId="3" borderId="7" xfId="0" applyNumberFormat="1" applyFont="1" applyFill="1" applyBorder="1" applyAlignment="1" applyProtection="1">
      <alignment horizontal="right" vertical="center"/>
      <protection/>
    </xf>
    <xf numFmtId="4" fontId="15" fillId="4" borderId="0" xfId="0" applyNumberFormat="1" applyFont="1" applyFill="1" applyBorder="1" applyAlignment="1" applyProtection="1">
      <alignment horizontal="right" vertical="center"/>
      <protection/>
    </xf>
    <xf numFmtId="4" fontId="9" fillId="0" borderId="5" xfId="0" applyNumberFormat="1" applyFont="1" applyFill="1" applyBorder="1" applyAlignment="1" applyProtection="1">
      <alignment horizontal="right" vertical="center"/>
      <protection/>
    </xf>
    <xf numFmtId="49" fontId="12" fillId="6" borderId="27" xfId="0" applyNumberFormat="1" applyFont="1" applyFill="1" applyBorder="1" applyAlignment="1" applyProtection="1">
      <alignment horizontal="right" vertical="center"/>
      <protection/>
    </xf>
    <xf numFmtId="0" fontId="0" fillId="6" borderId="27" xfId="20" applyNumberFormat="1" applyFill="1" applyBorder="1" applyAlignment="1" applyProtection="1">
      <alignment/>
      <protection/>
    </xf>
    <xf numFmtId="0" fontId="0" fillId="6" borderId="28" xfId="20" applyNumberFormat="1" applyFill="1" applyBorder="1" applyAlignment="1" applyProtection="1">
      <alignment/>
      <protection/>
    </xf>
    <xf numFmtId="49" fontId="12" fillId="6" borderId="29" xfId="0" applyNumberFormat="1" applyFont="1" applyFill="1" applyBorder="1" applyAlignment="1" applyProtection="1">
      <alignment horizontal="left" vertical="center"/>
      <protection/>
    </xf>
    <xf numFmtId="0" fontId="0" fillId="6" borderId="30" xfId="20" applyNumberFormat="1" applyFill="1" applyBorder="1" applyAlignment="1" applyProtection="1">
      <alignment/>
      <protection/>
    </xf>
    <xf numFmtId="4" fontId="12" fillId="6" borderId="29" xfId="0" applyNumberFormat="1" applyFont="1" applyFill="1" applyBorder="1" applyAlignment="1" applyProtection="1">
      <alignment horizontal="right" vertical="center"/>
      <protection/>
    </xf>
    <xf numFmtId="4" fontId="16" fillId="6" borderId="30" xfId="0" applyNumberFormat="1" applyFont="1" applyFill="1" applyBorder="1" applyAlignment="1" applyProtection="1">
      <alignment horizontal="right" vertical="center"/>
      <protection/>
    </xf>
    <xf numFmtId="0" fontId="0" fillId="6" borderId="29" xfId="20" applyNumberFormat="1" applyFill="1" applyBorder="1" applyAlignment="1" applyProtection="1">
      <alignment/>
      <protection/>
    </xf>
    <xf numFmtId="4" fontId="16" fillId="6" borderId="29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49" fontId="5" fillId="0" borderId="32" xfId="0" applyNumberFormat="1" applyFont="1" applyFill="1" applyBorder="1" applyAlignment="1" applyProtection="1">
      <alignment horizontal="left" vertical="center"/>
      <protection/>
    </xf>
    <xf numFmtId="0" fontId="5" fillId="0" borderId="33" xfId="0" applyNumberFormat="1" applyFont="1" applyFill="1" applyBorder="1" applyAlignment="1" applyProtection="1">
      <alignment horizontal="left" vertical="center"/>
      <protection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49" fontId="4" fillId="2" borderId="13" xfId="0" applyNumberFormat="1" applyFont="1" applyFill="1" applyBorder="1" applyAlignment="1" applyProtection="1">
      <alignment horizontal="left" vertical="center"/>
      <protection/>
    </xf>
    <xf numFmtId="0" fontId="4" fillId="2" borderId="35" xfId="0" applyNumberFormat="1" applyFont="1" applyFill="1" applyBorder="1" applyAlignment="1" applyProtection="1">
      <alignment horizontal="left" vertical="center"/>
      <protection/>
    </xf>
    <xf numFmtId="49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37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9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9" fillId="0" borderId="5" xfId="0" applyNumberFormat="1" applyFont="1" applyFill="1" applyBorder="1" applyAlignment="1" applyProtection="1">
      <alignment horizontal="left" vertical="center"/>
      <protection/>
    </xf>
    <xf numFmtId="49" fontId="15" fillId="4" borderId="0" xfId="0" applyNumberFormat="1" applyFont="1" applyFill="1" applyBorder="1" applyAlignment="1" applyProtection="1">
      <alignment horizontal="left" vertical="center"/>
      <protection/>
    </xf>
    <xf numFmtId="0" fontId="15" fillId="4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1" xfId="0" applyNumberFormat="1" applyFont="1" applyFill="1" applyBorder="1" applyAlignment="1" applyProtection="1">
      <alignment horizontal="left" vertical="center"/>
      <protection/>
    </xf>
    <xf numFmtId="0" fontId="16" fillId="0" borderId="1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12" fillId="6" borderId="27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49" fontId="16" fillId="6" borderId="27" xfId="0" applyNumberFormat="1" applyFont="1" applyFill="1" applyBorder="1" applyAlignment="1" applyProtection="1">
      <alignment horizontal="left" vertical="center"/>
      <protection/>
    </xf>
    <xf numFmtId="0" fontId="16" fillId="0" borderId="29" xfId="0" applyNumberFormat="1" applyFont="1" applyFill="1" applyBorder="1" applyAlignment="1" applyProtection="1">
      <alignment horizontal="left" vertical="center"/>
      <protection/>
    </xf>
    <xf numFmtId="49" fontId="16" fillId="6" borderId="28" xfId="0" applyNumberFormat="1" applyFont="1" applyFill="1" applyBorder="1" applyAlignment="1" applyProtection="1">
      <alignment horizontal="left" vertical="center"/>
      <protection/>
    </xf>
    <xf numFmtId="0" fontId="16" fillId="0" borderId="30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7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49" fontId="14" fillId="3" borderId="7" xfId="0" applyNumberFormat="1" applyFont="1" applyFill="1" applyBorder="1" applyAlignment="1" applyProtection="1">
      <alignment horizontal="left" vertical="center"/>
      <protection/>
    </xf>
    <xf numFmtId="0" fontId="14" fillId="3" borderId="7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5" borderId="0" xfId="0" applyNumberFormat="1" applyFont="1" applyFill="1" applyBorder="1" applyAlignment="1" applyProtection="1">
      <alignment horizontal="left" vertical="center" wrapText="1"/>
      <protection/>
    </xf>
    <xf numFmtId="0" fontId="1" fillId="5" borderId="33" xfId="0" applyNumberFormat="1" applyFont="1" applyFill="1" applyBorder="1" applyAlignment="1" applyProtection="1">
      <alignment horizontal="left" vertical="center"/>
      <protection/>
    </xf>
    <xf numFmtId="49" fontId="1" fillId="5" borderId="0" xfId="0" applyNumberFormat="1" applyFont="1" applyFill="1" applyBorder="1" applyAlignment="1" applyProtection="1">
      <alignment horizontal="left" vertical="center"/>
      <protection locked="0"/>
    </xf>
    <xf numFmtId="0" fontId="1" fillId="5" borderId="0" xfId="0" applyNumberFormat="1" applyFont="1" applyFill="1" applyBorder="1" applyAlignment="1" applyProtection="1">
      <alignment horizontal="left" vertical="center"/>
      <protection locked="0"/>
    </xf>
    <xf numFmtId="0" fontId="1" fillId="5" borderId="12" xfId="0" applyNumberFormat="1" applyFont="1" applyFill="1" applyBorder="1" applyAlignment="1" applyProtection="1">
      <alignment horizontal="left" vertical="center"/>
      <protection locked="0"/>
    </xf>
    <xf numFmtId="0" fontId="1" fillId="5" borderId="33" xfId="0" applyNumberFormat="1" applyFont="1" applyFill="1" applyBorder="1" applyAlignment="1" applyProtection="1">
      <alignment horizontal="left" vertical="center"/>
      <protection locked="0"/>
    </xf>
    <xf numFmtId="0" fontId="1" fillId="5" borderId="45" xfId="0" applyNumberFormat="1" applyFont="1" applyFill="1" applyBorder="1" applyAlignment="1" applyProtection="1">
      <alignment horizontal="left" vertical="center"/>
      <protection locked="0"/>
    </xf>
    <xf numFmtId="0" fontId="1" fillId="5" borderId="0" xfId="0" applyNumberFormat="1" applyFont="1" applyFill="1" applyBorder="1" applyAlignment="1" applyProtection="1">
      <alignment horizontal="left" vertical="center"/>
      <protection/>
    </xf>
    <xf numFmtId="49" fontId="8" fillId="0" borderId="1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02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205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 topLeftCell="A1">
      <selection activeCell="F4" sqref="F4:G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68"/>
      <c r="B1" s="1"/>
      <c r="C1" s="99" t="s">
        <v>22</v>
      </c>
      <c r="D1" s="100"/>
      <c r="E1" s="100"/>
      <c r="F1" s="100"/>
      <c r="G1" s="100"/>
      <c r="H1" s="100"/>
      <c r="I1" s="100"/>
    </row>
    <row r="2" spans="1:10" ht="12.75">
      <c r="A2" s="101" t="s">
        <v>0</v>
      </c>
      <c r="B2" s="102"/>
      <c r="C2" s="103" t="str">
        <f>'Stavební rozpočet'!C2</f>
        <v>Stellplatz Vrchbělá</v>
      </c>
      <c r="D2" s="104"/>
      <c r="E2" s="106" t="s">
        <v>32</v>
      </c>
      <c r="F2" s="106" t="str">
        <f>'Stavební rozpočet'!I2</f>
        <v> </v>
      </c>
      <c r="G2" s="102"/>
      <c r="H2" s="106" t="s">
        <v>52</v>
      </c>
      <c r="I2" s="107"/>
      <c r="J2" s="18"/>
    </row>
    <row r="3" spans="1:10" ht="12.75">
      <c r="A3" s="96"/>
      <c r="B3" s="70"/>
      <c r="C3" s="105"/>
      <c r="D3" s="105"/>
      <c r="E3" s="70"/>
      <c r="F3" s="70"/>
      <c r="G3" s="70"/>
      <c r="H3" s="70"/>
      <c r="I3" s="98"/>
      <c r="J3" s="18"/>
    </row>
    <row r="4" spans="1:10" ht="12.75">
      <c r="A4" s="90" t="s">
        <v>1</v>
      </c>
      <c r="B4" s="70"/>
      <c r="C4" s="69" t="str">
        <f>'Stavební rozpočet'!C4</f>
        <v>Novostavba parkovací plochy pro karavany</v>
      </c>
      <c r="D4" s="70"/>
      <c r="E4" s="69" t="s">
        <v>33</v>
      </c>
      <c r="F4" s="69">
        <f>'Stavební rozpočet'!I4</f>
        <v>0</v>
      </c>
      <c r="G4" s="70"/>
      <c r="H4" s="69" t="s">
        <v>52</v>
      </c>
      <c r="I4" s="97"/>
      <c r="J4" s="18"/>
    </row>
    <row r="5" spans="1:10" ht="12.75">
      <c r="A5" s="96"/>
      <c r="B5" s="70"/>
      <c r="C5" s="70"/>
      <c r="D5" s="70"/>
      <c r="E5" s="70"/>
      <c r="F5" s="70"/>
      <c r="G5" s="70"/>
      <c r="H5" s="70"/>
      <c r="I5" s="98"/>
      <c r="J5" s="18"/>
    </row>
    <row r="6" spans="1:10" ht="12.75">
      <c r="A6" s="90" t="s">
        <v>2</v>
      </c>
      <c r="B6" s="70"/>
      <c r="C6" s="69" t="str">
        <f>'Stavební rozpočet'!C6</f>
        <v>Vrchbělá, Bělá pod Bezdězem</v>
      </c>
      <c r="D6" s="70"/>
      <c r="E6" s="69" t="s">
        <v>34</v>
      </c>
      <c r="F6" s="69">
        <f>'Stavební rozpočet'!I6</f>
        <v>0</v>
      </c>
      <c r="G6" s="70"/>
      <c r="H6" s="69" t="s">
        <v>52</v>
      </c>
      <c r="I6" s="97"/>
      <c r="J6" s="18"/>
    </row>
    <row r="7" spans="1:10" ht="12.75">
      <c r="A7" s="96"/>
      <c r="B7" s="70"/>
      <c r="C7" s="70"/>
      <c r="D7" s="70"/>
      <c r="E7" s="70"/>
      <c r="F7" s="70"/>
      <c r="G7" s="70"/>
      <c r="H7" s="70"/>
      <c r="I7" s="98"/>
      <c r="J7" s="18"/>
    </row>
    <row r="8" spans="1:10" ht="12.75">
      <c r="A8" s="90" t="s">
        <v>3</v>
      </c>
      <c r="B8" s="70"/>
      <c r="C8" s="69" t="str">
        <f>'Stavební rozpočet'!F4</f>
        <v>01.10.2020</v>
      </c>
      <c r="D8" s="70"/>
      <c r="E8" s="69" t="s">
        <v>35</v>
      </c>
      <c r="F8" s="69" t="str">
        <f>'Stavební rozpočet'!F6</f>
        <v xml:space="preserve"> </v>
      </c>
      <c r="G8" s="70"/>
      <c r="H8" s="93" t="s">
        <v>53</v>
      </c>
      <c r="I8" s="97" t="s">
        <v>56</v>
      </c>
      <c r="J8" s="18"/>
    </row>
    <row r="9" spans="1:10" ht="12.75">
      <c r="A9" s="96"/>
      <c r="B9" s="70"/>
      <c r="C9" s="70"/>
      <c r="D9" s="70"/>
      <c r="E9" s="70"/>
      <c r="F9" s="70"/>
      <c r="G9" s="70"/>
      <c r="H9" s="70"/>
      <c r="I9" s="98"/>
      <c r="J9" s="18"/>
    </row>
    <row r="10" spans="1:10" ht="12.75">
      <c r="A10" s="90" t="s">
        <v>4</v>
      </c>
      <c r="B10" s="70"/>
      <c r="C10" s="69" t="str">
        <f>'Stavební rozpočet'!C8</f>
        <v xml:space="preserve"> </v>
      </c>
      <c r="D10" s="70"/>
      <c r="E10" s="69" t="s">
        <v>36</v>
      </c>
      <c r="F10" s="69" t="str">
        <f>'Stavební rozpočet'!I8</f>
        <v> </v>
      </c>
      <c r="G10" s="70"/>
      <c r="H10" s="93" t="s">
        <v>54</v>
      </c>
      <c r="I10" s="94">
        <f>'Stavební rozpočet'!F8</f>
        <v>0</v>
      </c>
      <c r="J10" s="18"/>
    </row>
    <row r="11" spans="1:10" ht="12.75">
      <c r="A11" s="91"/>
      <c r="B11" s="92"/>
      <c r="C11" s="92"/>
      <c r="D11" s="92"/>
      <c r="E11" s="92"/>
      <c r="F11" s="92"/>
      <c r="G11" s="92"/>
      <c r="H11" s="92"/>
      <c r="I11" s="95"/>
      <c r="J11" s="18"/>
    </row>
    <row r="12" spans="1:9" ht="23.45" customHeight="1">
      <c r="A12" s="86" t="s">
        <v>5</v>
      </c>
      <c r="B12" s="87"/>
      <c r="C12" s="87"/>
      <c r="D12" s="87"/>
      <c r="E12" s="87"/>
      <c r="F12" s="87"/>
      <c r="G12" s="87"/>
      <c r="H12" s="87"/>
      <c r="I12" s="87"/>
    </row>
    <row r="13" spans="1:10" ht="26.45" customHeight="1">
      <c r="A13" s="2" t="s">
        <v>6</v>
      </c>
      <c r="B13" s="88" t="s">
        <v>19</v>
      </c>
      <c r="C13" s="89"/>
      <c r="D13" s="2" t="s">
        <v>23</v>
      </c>
      <c r="E13" s="88" t="s">
        <v>37</v>
      </c>
      <c r="F13" s="89"/>
      <c r="G13" s="2" t="s">
        <v>38</v>
      </c>
      <c r="H13" s="88" t="s">
        <v>55</v>
      </c>
      <c r="I13" s="89"/>
      <c r="J13" s="18"/>
    </row>
    <row r="14" spans="1:10" ht="15.2" customHeight="1">
      <c r="A14" s="3" t="s">
        <v>7</v>
      </c>
      <c r="B14" s="8" t="s">
        <v>20</v>
      </c>
      <c r="C14" s="12">
        <f>SUM('Stavební rozpočet'!AB12:AB98)</f>
        <v>0</v>
      </c>
      <c r="D14" s="84" t="s">
        <v>24</v>
      </c>
      <c r="E14" s="85"/>
      <c r="F14" s="12">
        <v>0</v>
      </c>
      <c r="G14" s="84" t="s">
        <v>39</v>
      </c>
      <c r="H14" s="85"/>
      <c r="I14" s="12">
        <v>0</v>
      </c>
      <c r="J14" s="18"/>
    </row>
    <row r="15" spans="1:10" ht="15.2" customHeight="1">
      <c r="A15" s="4"/>
      <c r="B15" s="8" t="s">
        <v>21</v>
      </c>
      <c r="C15" s="12">
        <f>SUM('Stavební rozpočet'!AC12:AC98)</f>
        <v>0</v>
      </c>
      <c r="D15" s="84" t="s">
        <v>25</v>
      </c>
      <c r="E15" s="85"/>
      <c r="F15" s="12">
        <v>0</v>
      </c>
      <c r="G15" s="84" t="s">
        <v>40</v>
      </c>
      <c r="H15" s="85"/>
      <c r="I15" s="12">
        <v>0</v>
      </c>
      <c r="J15" s="18"/>
    </row>
    <row r="16" spans="1:10" ht="15.2" customHeight="1">
      <c r="A16" s="3" t="s">
        <v>8</v>
      </c>
      <c r="B16" s="8" t="s">
        <v>20</v>
      </c>
      <c r="C16" s="12">
        <f>SUM('Stavební rozpočet'!AD12:AD98)</f>
        <v>0</v>
      </c>
      <c r="D16" s="84" t="s">
        <v>26</v>
      </c>
      <c r="E16" s="85"/>
      <c r="F16" s="12">
        <v>0</v>
      </c>
      <c r="G16" s="84" t="s">
        <v>41</v>
      </c>
      <c r="H16" s="85"/>
      <c r="I16" s="12">
        <v>0</v>
      </c>
      <c r="J16" s="18"/>
    </row>
    <row r="17" spans="1:10" ht="15.2" customHeight="1">
      <c r="A17" s="4"/>
      <c r="B17" s="8" t="s">
        <v>21</v>
      </c>
      <c r="C17" s="12">
        <f>SUM('Stavební rozpočet'!AE12:AE98)</f>
        <v>0</v>
      </c>
      <c r="D17" s="84"/>
      <c r="E17" s="85"/>
      <c r="F17" s="13"/>
      <c r="G17" s="84" t="s">
        <v>42</v>
      </c>
      <c r="H17" s="85"/>
      <c r="I17" s="12">
        <v>0</v>
      </c>
      <c r="J17" s="18"/>
    </row>
    <row r="18" spans="1:10" ht="15.2" customHeight="1">
      <c r="A18" s="3" t="s">
        <v>9</v>
      </c>
      <c r="B18" s="8" t="s">
        <v>20</v>
      </c>
      <c r="C18" s="12">
        <f>SUM('Stavební rozpočet'!AF12:AF98)</f>
        <v>0</v>
      </c>
      <c r="D18" s="84"/>
      <c r="E18" s="85"/>
      <c r="F18" s="13"/>
      <c r="G18" s="84" t="s">
        <v>43</v>
      </c>
      <c r="H18" s="85"/>
      <c r="I18" s="12">
        <v>0</v>
      </c>
      <c r="J18" s="18"/>
    </row>
    <row r="19" spans="1:10" ht="15.2" customHeight="1">
      <c r="A19" s="4"/>
      <c r="B19" s="8" t="s">
        <v>21</v>
      </c>
      <c r="C19" s="12">
        <f>SUM('Stavební rozpočet'!AG12:AG98)</f>
        <v>0</v>
      </c>
      <c r="D19" s="84"/>
      <c r="E19" s="85"/>
      <c r="F19" s="13"/>
      <c r="G19" s="84" t="s">
        <v>44</v>
      </c>
      <c r="H19" s="85"/>
      <c r="I19" s="12">
        <v>0</v>
      </c>
      <c r="J19" s="18"/>
    </row>
    <row r="20" spans="1:10" ht="15.2" customHeight="1">
      <c r="A20" s="82" t="s">
        <v>10</v>
      </c>
      <c r="B20" s="83"/>
      <c r="C20" s="12">
        <f>SUM('Stavební rozpočet'!AH12:AH98)</f>
        <v>0</v>
      </c>
      <c r="D20" s="84"/>
      <c r="E20" s="85"/>
      <c r="F20" s="13"/>
      <c r="G20" s="84"/>
      <c r="H20" s="85"/>
      <c r="I20" s="13"/>
      <c r="J20" s="18"/>
    </row>
    <row r="21" spans="1:10" ht="15.2" customHeight="1">
      <c r="A21" s="82" t="s">
        <v>11</v>
      </c>
      <c r="B21" s="83"/>
      <c r="C21" s="12">
        <f>SUM('Stavební rozpočet'!Z12:Z98)</f>
        <v>0</v>
      </c>
      <c r="D21" s="84"/>
      <c r="E21" s="85"/>
      <c r="F21" s="13"/>
      <c r="G21" s="84"/>
      <c r="H21" s="85"/>
      <c r="I21" s="13"/>
      <c r="J21" s="18"/>
    </row>
    <row r="22" spans="1:10" ht="16.7" customHeight="1">
      <c r="A22" s="82" t="s">
        <v>12</v>
      </c>
      <c r="B22" s="83"/>
      <c r="C22" s="12">
        <f>SUM(C14:C21)</f>
        <v>0</v>
      </c>
      <c r="D22" s="82" t="s">
        <v>27</v>
      </c>
      <c r="E22" s="83"/>
      <c r="F22" s="12">
        <f>SUM(F14:F21)</f>
        <v>0</v>
      </c>
      <c r="G22" s="82" t="s">
        <v>45</v>
      </c>
      <c r="H22" s="83"/>
      <c r="I22" s="12">
        <f>SUM(I14:I21)</f>
        <v>0</v>
      </c>
      <c r="J22" s="18"/>
    </row>
    <row r="23" spans="1:10" ht="15.2" customHeight="1">
      <c r="A23" s="5"/>
      <c r="B23" s="5"/>
      <c r="C23" s="10"/>
      <c r="D23" s="82" t="s">
        <v>28</v>
      </c>
      <c r="E23" s="83"/>
      <c r="F23" s="14">
        <v>0</v>
      </c>
      <c r="G23" s="82" t="s">
        <v>46</v>
      </c>
      <c r="H23" s="83"/>
      <c r="I23" s="12">
        <v>0</v>
      </c>
      <c r="J23" s="18"/>
    </row>
    <row r="24" spans="4:9" ht="15.2" customHeight="1">
      <c r="D24" s="5"/>
      <c r="E24" s="5"/>
      <c r="F24" s="15"/>
      <c r="G24" s="82" t="s">
        <v>47</v>
      </c>
      <c r="H24" s="83"/>
      <c r="I24" s="17"/>
    </row>
    <row r="25" spans="6:10" ht="15.2" customHeight="1">
      <c r="F25" s="16"/>
      <c r="G25" s="82" t="s">
        <v>48</v>
      </c>
      <c r="H25" s="83"/>
      <c r="I25" s="12">
        <v>0</v>
      </c>
      <c r="J25" s="18"/>
    </row>
    <row r="26" spans="1:9" ht="12.75">
      <c r="A26" s="1"/>
      <c r="B26" s="1"/>
      <c r="C26" s="1"/>
      <c r="G26" s="5"/>
      <c r="H26" s="5"/>
      <c r="I26" s="5"/>
    </row>
    <row r="27" spans="1:9" ht="15.2" customHeight="1">
      <c r="A27" s="77" t="s">
        <v>13</v>
      </c>
      <c r="B27" s="78"/>
      <c r="C27" s="20">
        <f>SUM('Stavební rozpočet'!AJ12:AJ98)</f>
        <v>0</v>
      </c>
      <c r="D27" s="11"/>
      <c r="E27" s="1"/>
      <c r="F27" s="1"/>
      <c r="G27" s="1"/>
      <c r="H27" s="1"/>
      <c r="I27" s="1"/>
    </row>
    <row r="28" spans="1:10" ht="15.2" customHeight="1">
      <c r="A28" s="77" t="s">
        <v>14</v>
      </c>
      <c r="B28" s="78"/>
      <c r="C28" s="20">
        <f>SUM('Stavební rozpočet'!AK12:AK98)</f>
        <v>0</v>
      </c>
      <c r="D28" s="77" t="s">
        <v>29</v>
      </c>
      <c r="E28" s="78"/>
      <c r="F28" s="20">
        <f>ROUND(C28*(15/100),2)</f>
        <v>0</v>
      </c>
      <c r="G28" s="77" t="s">
        <v>49</v>
      </c>
      <c r="H28" s="78"/>
      <c r="I28" s="20">
        <f>SUM(C27:C29)</f>
        <v>0</v>
      </c>
      <c r="J28" s="18"/>
    </row>
    <row r="29" spans="1:10" ht="15.2" customHeight="1">
      <c r="A29" s="77" t="s">
        <v>15</v>
      </c>
      <c r="B29" s="78"/>
      <c r="C29" s="20">
        <f>SUM('Stavební rozpočet'!AL12:AL98)+(F22+I22+F23+I23+I24+I25)</f>
        <v>0</v>
      </c>
      <c r="D29" s="77" t="s">
        <v>30</v>
      </c>
      <c r="E29" s="78"/>
      <c r="F29" s="20">
        <f>ROUND(C29*(21/100),2)</f>
        <v>0</v>
      </c>
      <c r="G29" s="77" t="s">
        <v>50</v>
      </c>
      <c r="H29" s="78"/>
      <c r="I29" s="20">
        <f>SUM(F28:F29)+I28</f>
        <v>0</v>
      </c>
      <c r="J29" s="18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10" ht="14.45" customHeight="1">
      <c r="A31" s="79" t="s">
        <v>16</v>
      </c>
      <c r="B31" s="80"/>
      <c r="C31" s="81"/>
      <c r="D31" s="79" t="s">
        <v>31</v>
      </c>
      <c r="E31" s="80"/>
      <c r="F31" s="81"/>
      <c r="G31" s="79" t="s">
        <v>51</v>
      </c>
      <c r="H31" s="80"/>
      <c r="I31" s="81"/>
      <c r="J31" s="19"/>
    </row>
    <row r="32" spans="1:10" ht="14.45" customHeight="1">
      <c r="A32" s="71"/>
      <c r="B32" s="72"/>
      <c r="C32" s="73"/>
      <c r="D32" s="71"/>
      <c r="E32" s="72"/>
      <c r="F32" s="73"/>
      <c r="G32" s="71"/>
      <c r="H32" s="72"/>
      <c r="I32" s="73"/>
      <c r="J32" s="19"/>
    </row>
    <row r="33" spans="1:10" ht="14.45" customHeight="1">
      <c r="A33" s="71"/>
      <c r="B33" s="72"/>
      <c r="C33" s="73"/>
      <c r="D33" s="71"/>
      <c r="E33" s="72"/>
      <c r="F33" s="73"/>
      <c r="G33" s="71"/>
      <c r="H33" s="72"/>
      <c r="I33" s="73"/>
      <c r="J33" s="19"/>
    </row>
    <row r="34" spans="1:10" ht="14.45" customHeight="1">
      <c r="A34" s="71"/>
      <c r="B34" s="72"/>
      <c r="C34" s="73"/>
      <c r="D34" s="71"/>
      <c r="E34" s="72"/>
      <c r="F34" s="73"/>
      <c r="G34" s="71"/>
      <c r="H34" s="72"/>
      <c r="I34" s="73"/>
      <c r="J34" s="19"/>
    </row>
    <row r="35" spans="1:10" ht="14.45" customHeight="1">
      <c r="A35" s="74" t="s">
        <v>17</v>
      </c>
      <c r="B35" s="75"/>
      <c r="C35" s="76"/>
      <c r="D35" s="74" t="s">
        <v>17</v>
      </c>
      <c r="E35" s="75"/>
      <c r="F35" s="76"/>
      <c r="G35" s="74" t="s">
        <v>17</v>
      </c>
      <c r="H35" s="75"/>
      <c r="I35" s="76"/>
      <c r="J35" s="19"/>
    </row>
    <row r="36" spans="1:9" ht="11.25" customHeight="1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9" ht="12.75">
      <c r="A37" s="69"/>
      <c r="B37" s="70"/>
      <c r="C37" s="70"/>
      <c r="D37" s="70"/>
      <c r="E37" s="70"/>
      <c r="F37" s="70"/>
      <c r="G37" s="70"/>
      <c r="H37" s="70"/>
      <c r="I37" s="70"/>
    </row>
  </sheetData>
  <sheetProtection sheet="1" objects="1" scenarios="1"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01"/>
  <sheetViews>
    <sheetView tabSelected="1" workbookViewId="0" topLeftCell="A1">
      <pane ySplit="11" topLeftCell="A12" activePane="bottomLeft" state="frozen"/>
      <selection pane="bottomLeft" activeCell="H20" sqref="H20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78.8515625" style="0" customWidth="1"/>
    <col min="6" max="6" width="4.2812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customWidth="1"/>
    <col min="25" max="62" width="12.140625" style="0" hidden="1" customWidth="1"/>
  </cols>
  <sheetData>
    <row r="1" spans="1:12" ht="72.95" customHeight="1">
      <c r="A1" s="146" t="s">
        <v>57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3" ht="12.75">
      <c r="A2" s="101" t="s">
        <v>0</v>
      </c>
      <c r="B2" s="102"/>
      <c r="C2" s="103" t="s">
        <v>133</v>
      </c>
      <c r="D2" s="147" t="s">
        <v>215</v>
      </c>
      <c r="E2" s="102"/>
      <c r="F2" s="147" t="s">
        <v>59</v>
      </c>
      <c r="G2" s="102"/>
      <c r="H2" s="106" t="s">
        <v>32</v>
      </c>
      <c r="I2" s="147" t="s">
        <v>226</v>
      </c>
      <c r="J2" s="102"/>
      <c r="K2" s="102"/>
      <c r="L2" s="148"/>
      <c r="M2" s="18"/>
    </row>
    <row r="3" spans="1:13" ht="12.75">
      <c r="A3" s="96"/>
      <c r="B3" s="70"/>
      <c r="C3" s="105"/>
      <c r="D3" s="70"/>
      <c r="E3" s="70"/>
      <c r="F3" s="70"/>
      <c r="G3" s="70"/>
      <c r="H3" s="70"/>
      <c r="I3" s="70"/>
      <c r="J3" s="70"/>
      <c r="K3" s="70"/>
      <c r="L3" s="98"/>
      <c r="M3" s="18"/>
    </row>
    <row r="4" spans="1:13" ht="12.75">
      <c r="A4" s="90" t="s">
        <v>1</v>
      </c>
      <c r="B4" s="70"/>
      <c r="C4" s="69" t="s">
        <v>134</v>
      </c>
      <c r="D4" s="93" t="s">
        <v>3</v>
      </c>
      <c r="E4" s="70"/>
      <c r="F4" s="93" t="s">
        <v>266</v>
      </c>
      <c r="G4" s="70"/>
      <c r="H4" s="69" t="s">
        <v>33</v>
      </c>
      <c r="I4" s="93"/>
      <c r="J4" s="70"/>
      <c r="K4" s="70"/>
      <c r="L4" s="98"/>
      <c r="M4" s="18"/>
    </row>
    <row r="5" spans="1:13" ht="12.75">
      <c r="A5" s="96"/>
      <c r="B5" s="70"/>
      <c r="C5" s="70"/>
      <c r="D5" s="70"/>
      <c r="E5" s="70"/>
      <c r="F5" s="70"/>
      <c r="G5" s="70"/>
      <c r="H5" s="70"/>
      <c r="I5" s="70"/>
      <c r="J5" s="70"/>
      <c r="K5" s="70"/>
      <c r="L5" s="98"/>
      <c r="M5" s="18"/>
    </row>
    <row r="6" spans="1:13" ht="12.75">
      <c r="A6" s="90" t="s">
        <v>2</v>
      </c>
      <c r="B6" s="70"/>
      <c r="C6" s="69" t="s">
        <v>135</v>
      </c>
      <c r="D6" s="93" t="s">
        <v>35</v>
      </c>
      <c r="E6" s="70"/>
      <c r="F6" s="93" t="s">
        <v>59</v>
      </c>
      <c r="G6" s="70"/>
      <c r="H6" s="138" t="s">
        <v>34</v>
      </c>
      <c r="I6" s="140"/>
      <c r="J6" s="70"/>
      <c r="K6" s="141"/>
      <c r="L6" s="142"/>
      <c r="M6" s="18"/>
    </row>
    <row r="7" spans="1:13" ht="12.75">
      <c r="A7" s="96"/>
      <c r="B7" s="70"/>
      <c r="C7" s="70"/>
      <c r="D7" s="70"/>
      <c r="E7" s="70"/>
      <c r="F7" s="70"/>
      <c r="G7" s="70"/>
      <c r="H7" s="145"/>
      <c r="I7" s="141"/>
      <c r="J7" s="70"/>
      <c r="K7" s="141"/>
      <c r="L7" s="142"/>
      <c r="M7" s="18"/>
    </row>
    <row r="8" spans="1:13" ht="12.75">
      <c r="A8" s="90" t="s">
        <v>4</v>
      </c>
      <c r="B8" s="70"/>
      <c r="C8" s="69" t="s">
        <v>59</v>
      </c>
      <c r="D8" s="93" t="s">
        <v>216</v>
      </c>
      <c r="E8" s="70"/>
      <c r="F8" s="93"/>
      <c r="G8" s="70"/>
      <c r="H8" s="138" t="s">
        <v>36</v>
      </c>
      <c r="I8" s="140" t="s">
        <v>226</v>
      </c>
      <c r="J8" s="70"/>
      <c r="K8" s="141"/>
      <c r="L8" s="142"/>
      <c r="M8" s="18"/>
    </row>
    <row r="9" spans="1:13" ht="12.75">
      <c r="A9" s="136"/>
      <c r="B9" s="137"/>
      <c r="C9" s="137"/>
      <c r="D9" s="137"/>
      <c r="E9" s="137"/>
      <c r="F9" s="137"/>
      <c r="G9" s="137"/>
      <c r="H9" s="139"/>
      <c r="I9" s="143"/>
      <c r="J9" s="137"/>
      <c r="K9" s="143"/>
      <c r="L9" s="144"/>
      <c r="M9" s="18"/>
    </row>
    <row r="10" spans="1:13" ht="12.75">
      <c r="A10" s="21" t="s">
        <v>58</v>
      </c>
      <c r="B10" s="28" t="s">
        <v>92</v>
      </c>
      <c r="C10" s="125" t="s">
        <v>136</v>
      </c>
      <c r="D10" s="126"/>
      <c r="E10" s="127"/>
      <c r="F10" s="28" t="s">
        <v>217</v>
      </c>
      <c r="G10" s="32" t="s">
        <v>223</v>
      </c>
      <c r="H10" s="37" t="s">
        <v>224</v>
      </c>
      <c r="I10" s="128" t="s">
        <v>227</v>
      </c>
      <c r="J10" s="129"/>
      <c r="K10" s="130"/>
      <c r="L10" s="48" t="s">
        <v>231</v>
      </c>
      <c r="M10" s="19"/>
    </row>
    <row r="11" spans="1:62" ht="12.75">
      <c r="A11" s="22" t="s">
        <v>59</v>
      </c>
      <c r="B11" s="29" t="s">
        <v>59</v>
      </c>
      <c r="C11" s="131" t="s">
        <v>137</v>
      </c>
      <c r="D11" s="132"/>
      <c r="E11" s="133"/>
      <c r="F11" s="29" t="s">
        <v>59</v>
      </c>
      <c r="G11" s="29" t="s">
        <v>59</v>
      </c>
      <c r="H11" s="38" t="s">
        <v>225</v>
      </c>
      <c r="I11" s="45" t="s">
        <v>228</v>
      </c>
      <c r="J11" s="46" t="s">
        <v>21</v>
      </c>
      <c r="K11" s="47" t="s">
        <v>230</v>
      </c>
      <c r="L11" s="49" t="s">
        <v>232</v>
      </c>
      <c r="M11" s="19"/>
      <c r="Z11" s="51" t="s">
        <v>234</v>
      </c>
      <c r="AA11" s="51" t="s">
        <v>235</v>
      </c>
      <c r="AB11" s="51" t="s">
        <v>236</v>
      </c>
      <c r="AC11" s="51" t="s">
        <v>237</v>
      </c>
      <c r="AD11" s="51" t="s">
        <v>238</v>
      </c>
      <c r="AE11" s="51" t="s">
        <v>239</v>
      </c>
      <c r="AF11" s="51" t="s">
        <v>240</v>
      </c>
      <c r="AG11" s="51" t="s">
        <v>241</v>
      </c>
      <c r="AH11" s="51" t="s">
        <v>242</v>
      </c>
      <c r="BH11" s="51" t="s">
        <v>263</v>
      </c>
      <c r="BI11" s="51" t="s">
        <v>264</v>
      </c>
      <c r="BJ11" s="51" t="s">
        <v>265</v>
      </c>
    </row>
    <row r="12" spans="1:12" ht="12.75">
      <c r="A12" s="23"/>
      <c r="B12" s="30"/>
      <c r="C12" s="134" t="s">
        <v>138</v>
      </c>
      <c r="D12" s="135"/>
      <c r="E12" s="135"/>
      <c r="F12" s="23" t="s">
        <v>59</v>
      </c>
      <c r="G12" s="23" t="s">
        <v>59</v>
      </c>
      <c r="H12" s="39" t="s">
        <v>59</v>
      </c>
      <c r="I12" s="56">
        <f>I13+I20+I37+I50+I55+I58+I61+I66+I84+I87+I90+I93</f>
        <v>0</v>
      </c>
      <c r="J12" s="56">
        <f>J13+J20+J37+J50+J55+J58+J61+J66+J84+J87+J90+J93</f>
        <v>0</v>
      </c>
      <c r="K12" s="56">
        <f>K13+K20+K37+K50+K55+K58+K61+K66+K84+K87+K90+K93</f>
        <v>0</v>
      </c>
      <c r="L12" s="50"/>
    </row>
    <row r="13" spans="1:47" ht="12.75">
      <c r="A13" s="24"/>
      <c r="B13" s="31" t="s">
        <v>93</v>
      </c>
      <c r="C13" s="109" t="s">
        <v>139</v>
      </c>
      <c r="D13" s="110"/>
      <c r="E13" s="110"/>
      <c r="F13" s="24" t="s">
        <v>59</v>
      </c>
      <c r="G13" s="24" t="s">
        <v>59</v>
      </c>
      <c r="H13" s="40" t="s">
        <v>59</v>
      </c>
      <c r="I13" s="57">
        <f>SUM(I14:I18)</f>
        <v>0</v>
      </c>
      <c r="J13" s="57">
        <f>SUM(J14:J18)</f>
        <v>0</v>
      </c>
      <c r="K13" s="57">
        <f>SUM(K14:K18)</f>
        <v>0</v>
      </c>
      <c r="L13" s="51"/>
      <c r="AI13" s="51"/>
      <c r="AS13" s="57">
        <f>SUM(AJ14:AJ18)</f>
        <v>0</v>
      </c>
      <c r="AT13" s="57">
        <f>SUM(AK14:AK18)</f>
        <v>0</v>
      </c>
      <c r="AU13" s="57">
        <f>SUM(AL14:AL18)</f>
        <v>0</v>
      </c>
    </row>
    <row r="14" spans="1:62" ht="12.75">
      <c r="A14" s="25" t="s">
        <v>60</v>
      </c>
      <c r="B14" s="25" t="s">
        <v>94</v>
      </c>
      <c r="C14" s="117" t="s">
        <v>140</v>
      </c>
      <c r="D14" s="118"/>
      <c r="E14" s="118"/>
      <c r="F14" s="25" t="s">
        <v>218</v>
      </c>
      <c r="G14" s="33">
        <v>1</v>
      </c>
      <c r="H14" s="41">
        <v>0</v>
      </c>
      <c r="I14" s="33">
        <f>G14*AO14</f>
        <v>0</v>
      </c>
      <c r="J14" s="33">
        <f>G14*AP14</f>
        <v>0</v>
      </c>
      <c r="K14" s="33">
        <f>G14*H14</f>
        <v>0</v>
      </c>
      <c r="L14" s="52" t="s">
        <v>233</v>
      </c>
      <c r="Z14" s="54">
        <f>IF(AQ14="5",BJ14,0)</f>
        <v>0</v>
      </c>
      <c r="AB14" s="54">
        <f>IF(AQ14="1",BH14,0)</f>
        <v>0</v>
      </c>
      <c r="AC14" s="54">
        <f>IF(AQ14="1",BI14,0)</f>
        <v>0</v>
      </c>
      <c r="AD14" s="54">
        <f>IF(AQ14="7",BH14,0)</f>
        <v>0</v>
      </c>
      <c r="AE14" s="54">
        <f>IF(AQ14="7",BI14,0)</f>
        <v>0</v>
      </c>
      <c r="AF14" s="54">
        <f>IF(AQ14="2",BH14,0)</f>
        <v>0</v>
      </c>
      <c r="AG14" s="54">
        <f>IF(AQ14="2",BI14,0)</f>
        <v>0</v>
      </c>
      <c r="AH14" s="54">
        <f>IF(AQ14="0",BJ14,0)</f>
        <v>0</v>
      </c>
      <c r="AI14" s="51"/>
      <c r="AJ14" s="33">
        <f>IF(AN14=0,K14,0)</f>
        <v>0</v>
      </c>
      <c r="AK14" s="33">
        <f>IF(AN14=15,K14,0)</f>
        <v>0</v>
      </c>
      <c r="AL14" s="33">
        <f>IF(AN14=21,K14,0)</f>
        <v>0</v>
      </c>
      <c r="AN14" s="54">
        <v>21</v>
      </c>
      <c r="AO14" s="54">
        <f>H14*0.945060602956225</f>
        <v>0</v>
      </c>
      <c r="AP14" s="54">
        <f>H14*(1-0.945060602956225)</f>
        <v>0</v>
      </c>
      <c r="AQ14" s="52" t="s">
        <v>60</v>
      </c>
      <c r="AV14" s="54">
        <f>AW14+AX14</f>
        <v>0</v>
      </c>
      <c r="AW14" s="54">
        <f>G14*AO14</f>
        <v>0</v>
      </c>
      <c r="AX14" s="54">
        <f>G14*AP14</f>
        <v>0</v>
      </c>
      <c r="AY14" s="55" t="s">
        <v>243</v>
      </c>
      <c r="AZ14" s="55" t="s">
        <v>255</v>
      </c>
      <c r="BA14" s="51" t="s">
        <v>262</v>
      </c>
      <c r="BC14" s="54">
        <f>AW14+AX14</f>
        <v>0</v>
      </c>
      <c r="BD14" s="54">
        <f>H14/(100-BE14)*100</f>
        <v>0</v>
      </c>
      <c r="BE14" s="54">
        <v>0</v>
      </c>
      <c r="BF14" s="54">
        <f>14</f>
        <v>14</v>
      </c>
      <c r="BH14" s="33">
        <f>G14*AO14</f>
        <v>0</v>
      </c>
      <c r="BI14" s="33">
        <f>G14*AP14</f>
        <v>0</v>
      </c>
      <c r="BJ14" s="33">
        <f>G14*H14</f>
        <v>0</v>
      </c>
    </row>
    <row r="15" spans="3:8" ht="12.75">
      <c r="C15" s="113" t="s">
        <v>141</v>
      </c>
      <c r="D15" s="114"/>
      <c r="E15" s="114"/>
      <c r="G15" s="34">
        <v>1</v>
      </c>
      <c r="H15" s="42"/>
    </row>
    <row r="16" spans="1:62" ht="12.75">
      <c r="A16" s="25" t="s">
        <v>61</v>
      </c>
      <c r="B16" s="25" t="s">
        <v>95</v>
      </c>
      <c r="C16" s="117" t="s">
        <v>142</v>
      </c>
      <c r="D16" s="118"/>
      <c r="E16" s="118"/>
      <c r="F16" s="25" t="s">
        <v>218</v>
      </c>
      <c r="G16" s="33">
        <v>1</v>
      </c>
      <c r="H16" s="41">
        <v>0</v>
      </c>
      <c r="I16" s="33">
        <f>G16*AO16</f>
        <v>0</v>
      </c>
      <c r="J16" s="33">
        <f>G16*AP16</f>
        <v>0</v>
      </c>
      <c r="K16" s="33">
        <f>G16*H16</f>
        <v>0</v>
      </c>
      <c r="L16" s="52" t="s">
        <v>233</v>
      </c>
      <c r="Z16" s="54">
        <f>IF(AQ16="5",BJ16,0)</f>
        <v>0</v>
      </c>
      <c r="AB16" s="54">
        <f>IF(AQ16="1",BH16,0)</f>
        <v>0</v>
      </c>
      <c r="AC16" s="54">
        <f>IF(AQ16="1",BI16,0)</f>
        <v>0</v>
      </c>
      <c r="AD16" s="54">
        <f>IF(AQ16="7",BH16,0)</f>
        <v>0</v>
      </c>
      <c r="AE16" s="54">
        <f>IF(AQ16="7",BI16,0)</f>
        <v>0</v>
      </c>
      <c r="AF16" s="54">
        <f>IF(AQ16="2",BH16,0)</f>
        <v>0</v>
      </c>
      <c r="AG16" s="54">
        <f>IF(AQ16="2",BI16,0)</f>
        <v>0</v>
      </c>
      <c r="AH16" s="54">
        <f>IF(AQ16="0",BJ16,0)</f>
        <v>0</v>
      </c>
      <c r="AI16" s="51"/>
      <c r="AJ16" s="33">
        <f>IF(AN16=0,K16,0)</f>
        <v>0</v>
      </c>
      <c r="AK16" s="33">
        <f>IF(AN16=15,K16,0)</f>
        <v>0</v>
      </c>
      <c r="AL16" s="33">
        <f>IF(AN16=21,K16,0)</f>
        <v>0</v>
      </c>
      <c r="AN16" s="54">
        <v>21</v>
      </c>
      <c r="AO16" s="54">
        <f>H16*0.914664100400109</f>
        <v>0</v>
      </c>
      <c r="AP16" s="54">
        <f>H16*(1-0.914664100400109)</f>
        <v>0</v>
      </c>
      <c r="AQ16" s="52" t="s">
        <v>60</v>
      </c>
      <c r="AV16" s="54">
        <f>AW16+AX16</f>
        <v>0</v>
      </c>
      <c r="AW16" s="54">
        <f>G16*AO16</f>
        <v>0</v>
      </c>
      <c r="AX16" s="54">
        <f>G16*AP16</f>
        <v>0</v>
      </c>
      <c r="AY16" s="55" t="s">
        <v>243</v>
      </c>
      <c r="AZ16" s="55" t="s">
        <v>255</v>
      </c>
      <c r="BA16" s="51" t="s">
        <v>262</v>
      </c>
      <c r="BC16" s="54">
        <f>AW16+AX16</f>
        <v>0</v>
      </c>
      <c r="BD16" s="54">
        <f>H16/(100-BE16)*100</f>
        <v>0</v>
      </c>
      <c r="BE16" s="54">
        <v>0</v>
      </c>
      <c r="BF16" s="54">
        <f>16</f>
        <v>16</v>
      </c>
      <c r="BH16" s="33">
        <f>G16*AO16</f>
        <v>0</v>
      </c>
      <c r="BI16" s="33">
        <f>G16*AP16</f>
        <v>0</v>
      </c>
      <c r="BJ16" s="33">
        <f>G16*H16</f>
        <v>0</v>
      </c>
    </row>
    <row r="17" spans="3:8" ht="12.75">
      <c r="C17" s="113" t="s">
        <v>141</v>
      </c>
      <c r="D17" s="114"/>
      <c r="E17" s="114"/>
      <c r="G17" s="34">
        <v>1</v>
      </c>
      <c r="H17" s="42"/>
    </row>
    <row r="18" spans="1:62" ht="12.75">
      <c r="A18" s="25" t="s">
        <v>62</v>
      </c>
      <c r="B18" s="25" t="s">
        <v>95</v>
      </c>
      <c r="C18" s="117" t="s">
        <v>143</v>
      </c>
      <c r="D18" s="118"/>
      <c r="E18" s="118"/>
      <c r="F18" s="25" t="s">
        <v>218</v>
      </c>
      <c r="G18" s="33">
        <v>3</v>
      </c>
      <c r="H18" s="41">
        <v>0</v>
      </c>
      <c r="I18" s="33">
        <f>G18*AO18</f>
        <v>0</v>
      </c>
      <c r="J18" s="33">
        <f>G18*AP18</f>
        <v>0</v>
      </c>
      <c r="K18" s="33">
        <f>G18*H18</f>
        <v>0</v>
      </c>
      <c r="L18" s="52" t="s">
        <v>233</v>
      </c>
      <c r="Z18" s="54">
        <f>IF(AQ18="5",BJ18,0)</f>
        <v>0</v>
      </c>
      <c r="AB18" s="54">
        <f>IF(AQ18="1",BH18,0)</f>
        <v>0</v>
      </c>
      <c r="AC18" s="54">
        <f>IF(AQ18="1",BI18,0)</f>
        <v>0</v>
      </c>
      <c r="AD18" s="54">
        <f>IF(AQ18="7",BH18,0)</f>
        <v>0</v>
      </c>
      <c r="AE18" s="54">
        <f>IF(AQ18="7",BI18,0)</f>
        <v>0</v>
      </c>
      <c r="AF18" s="54">
        <f>IF(AQ18="2",BH18,0)</f>
        <v>0</v>
      </c>
      <c r="AG18" s="54">
        <f>IF(AQ18="2",BI18,0)</f>
        <v>0</v>
      </c>
      <c r="AH18" s="54">
        <f>IF(AQ18="0",BJ18,0)</f>
        <v>0</v>
      </c>
      <c r="AI18" s="51"/>
      <c r="AJ18" s="33">
        <f>IF(AN18=0,K18,0)</f>
        <v>0</v>
      </c>
      <c r="AK18" s="33">
        <f>IF(AN18=15,K18,0)</f>
        <v>0</v>
      </c>
      <c r="AL18" s="33">
        <f>IF(AN18=21,K18,0)</f>
        <v>0</v>
      </c>
      <c r="AN18" s="54">
        <v>21</v>
      </c>
      <c r="AO18" s="54">
        <f>H18*0.783480354043579</f>
        <v>0</v>
      </c>
      <c r="AP18" s="54">
        <f>H18*(1-0.783480354043579)</f>
        <v>0</v>
      </c>
      <c r="AQ18" s="52" t="s">
        <v>60</v>
      </c>
      <c r="AV18" s="54">
        <f>AW18+AX18</f>
        <v>0</v>
      </c>
      <c r="AW18" s="54">
        <f>G18*AO18</f>
        <v>0</v>
      </c>
      <c r="AX18" s="54">
        <f>G18*AP18</f>
        <v>0</v>
      </c>
      <c r="AY18" s="55" t="s">
        <v>243</v>
      </c>
      <c r="AZ18" s="55" t="s">
        <v>255</v>
      </c>
      <c r="BA18" s="51" t="s">
        <v>262</v>
      </c>
      <c r="BC18" s="54">
        <f>AW18+AX18</f>
        <v>0</v>
      </c>
      <c r="BD18" s="54">
        <f>H18/(100-BE18)*100</f>
        <v>0</v>
      </c>
      <c r="BE18" s="54">
        <v>0</v>
      </c>
      <c r="BF18" s="54">
        <f>18</f>
        <v>18</v>
      </c>
      <c r="BH18" s="33">
        <f>G18*AO18</f>
        <v>0</v>
      </c>
      <c r="BI18" s="33">
        <f>G18*AP18</f>
        <v>0</v>
      </c>
      <c r="BJ18" s="33">
        <f>G18*H18</f>
        <v>0</v>
      </c>
    </row>
    <row r="19" spans="3:8" ht="12.75">
      <c r="C19" s="113" t="s">
        <v>144</v>
      </c>
      <c r="D19" s="114"/>
      <c r="E19" s="114"/>
      <c r="G19" s="34">
        <v>3</v>
      </c>
      <c r="H19" s="42"/>
    </row>
    <row r="20" spans="1:47" ht="12.75">
      <c r="A20" s="24"/>
      <c r="B20" s="31" t="s">
        <v>70</v>
      </c>
      <c r="C20" s="109" t="s">
        <v>145</v>
      </c>
      <c r="D20" s="110"/>
      <c r="E20" s="110"/>
      <c r="F20" s="24" t="s">
        <v>59</v>
      </c>
      <c r="G20" s="24" t="s">
        <v>59</v>
      </c>
      <c r="H20" s="40" t="s">
        <v>59</v>
      </c>
      <c r="I20" s="57">
        <f>SUM(I21:I35)</f>
        <v>0</v>
      </c>
      <c r="J20" s="57">
        <f>SUM(J21:J35)</f>
        <v>0</v>
      </c>
      <c r="K20" s="57">
        <f>SUM(K21:K35)</f>
        <v>0</v>
      </c>
      <c r="L20" s="51"/>
      <c r="AI20" s="51"/>
      <c r="AS20" s="57">
        <f>SUM(AJ21:AJ35)</f>
        <v>0</v>
      </c>
      <c r="AT20" s="57">
        <f>SUM(AK21:AK35)</f>
        <v>0</v>
      </c>
      <c r="AU20" s="57">
        <f>SUM(AL21:AL35)</f>
        <v>0</v>
      </c>
    </row>
    <row r="21" spans="1:62" ht="12.75">
      <c r="A21" s="25" t="s">
        <v>63</v>
      </c>
      <c r="B21" s="25" t="s">
        <v>96</v>
      </c>
      <c r="C21" s="117" t="s">
        <v>146</v>
      </c>
      <c r="D21" s="118"/>
      <c r="E21" s="118"/>
      <c r="F21" s="25" t="s">
        <v>219</v>
      </c>
      <c r="G21" s="33">
        <v>60</v>
      </c>
      <c r="H21" s="41">
        <v>0</v>
      </c>
      <c r="I21" s="33">
        <f>G21*AO21</f>
        <v>0</v>
      </c>
      <c r="J21" s="33">
        <f>G21*AP21</f>
        <v>0</v>
      </c>
      <c r="K21" s="33">
        <f>G21*H21</f>
        <v>0</v>
      </c>
      <c r="L21" s="52" t="s">
        <v>233</v>
      </c>
      <c r="Z21" s="54">
        <f>IF(AQ21="5",BJ21,0)</f>
        <v>0</v>
      </c>
      <c r="AB21" s="54">
        <f>IF(AQ21="1",BH21,0)</f>
        <v>0</v>
      </c>
      <c r="AC21" s="54">
        <f>IF(AQ21="1",BI21,0)</f>
        <v>0</v>
      </c>
      <c r="AD21" s="54">
        <f>IF(AQ21="7",BH21,0)</f>
        <v>0</v>
      </c>
      <c r="AE21" s="54">
        <f>IF(AQ21="7",BI21,0)</f>
        <v>0</v>
      </c>
      <c r="AF21" s="54">
        <f>IF(AQ21="2",BH21,0)</f>
        <v>0</v>
      </c>
      <c r="AG21" s="54">
        <f>IF(AQ21="2",BI21,0)</f>
        <v>0</v>
      </c>
      <c r="AH21" s="54">
        <f>IF(AQ21="0",BJ21,0)</f>
        <v>0</v>
      </c>
      <c r="AI21" s="51"/>
      <c r="AJ21" s="33">
        <f>IF(AN21=0,K21,0)</f>
        <v>0</v>
      </c>
      <c r="AK21" s="33">
        <f>IF(AN21=15,K21,0)</f>
        <v>0</v>
      </c>
      <c r="AL21" s="33">
        <f>IF(AN21=21,K21,0)</f>
        <v>0</v>
      </c>
      <c r="AN21" s="54">
        <v>21</v>
      </c>
      <c r="AO21" s="54">
        <f>H21*0</f>
        <v>0</v>
      </c>
      <c r="AP21" s="54">
        <f>H21*(1-0)</f>
        <v>0</v>
      </c>
      <c r="AQ21" s="52" t="s">
        <v>60</v>
      </c>
      <c r="AV21" s="54">
        <f>AW21+AX21</f>
        <v>0</v>
      </c>
      <c r="AW21" s="54">
        <f>G21*AO21</f>
        <v>0</v>
      </c>
      <c r="AX21" s="54">
        <f>G21*AP21</f>
        <v>0</v>
      </c>
      <c r="AY21" s="55" t="s">
        <v>244</v>
      </c>
      <c r="AZ21" s="55" t="s">
        <v>256</v>
      </c>
      <c r="BA21" s="51" t="s">
        <v>262</v>
      </c>
      <c r="BC21" s="54">
        <f>AW21+AX21</f>
        <v>0</v>
      </c>
      <c r="BD21" s="54">
        <f>H21/(100-BE21)*100</f>
        <v>0</v>
      </c>
      <c r="BE21" s="54">
        <v>0</v>
      </c>
      <c r="BF21" s="54">
        <f>21</f>
        <v>21</v>
      </c>
      <c r="BH21" s="33">
        <f>G21*AO21</f>
        <v>0</v>
      </c>
      <c r="BI21" s="33">
        <f>G21*AP21</f>
        <v>0</v>
      </c>
      <c r="BJ21" s="33">
        <f>G21*H21</f>
        <v>0</v>
      </c>
    </row>
    <row r="22" spans="3:8" ht="12.75">
      <c r="C22" s="113" t="s">
        <v>147</v>
      </c>
      <c r="D22" s="114"/>
      <c r="E22" s="114"/>
      <c r="G22" s="34">
        <v>60</v>
      </c>
      <c r="H22" s="42"/>
    </row>
    <row r="23" spans="1:62" ht="12.75">
      <c r="A23" s="25" t="s">
        <v>64</v>
      </c>
      <c r="B23" s="25" t="s">
        <v>97</v>
      </c>
      <c r="C23" s="117" t="s">
        <v>148</v>
      </c>
      <c r="D23" s="118"/>
      <c r="E23" s="118"/>
      <c r="F23" s="25" t="s">
        <v>218</v>
      </c>
      <c r="G23" s="33">
        <v>7</v>
      </c>
      <c r="H23" s="41">
        <v>0</v>
      </c>
      <c r="I23" s="33">
        <f>G23*AO23</f>
        <v>0</v>
      </c>
      <c r="J23" s="33">
        <f>G23*AP23</f>
        <v>0</v>
      </c>
      <c r="K23" s="33">
        <f>G23*H23</f>
        <v>0</v>
      </c>
      <c r="L23" s="52" t="s">
        <v>233</v>
      </c>
      <c r="Z23" s="54">
        <f>IF(AQ23="5",BJ23,0)</f>
        <v>0</v>
      </c>
      <c r="AB23" s="54">
        <f>IF(AQ23="1",BH23,0)</f>
        <v>0</v>
      </c>
      <c r="AC23" s="54">
        <f>IF(AQ23="1",BI23,0)</f>
        <v>0</v>
      </c>
      <c r="AD23" s="54">
        <f>IF(AQ23="7",BH23,0)</f>
        <v>0</v>
      </c>
      <c r="AE23" s="54">
        <f>IF(AQ23="7",BI23,0)</f>
        <v>0</v>
      </c>
      <c r="AF23" s="54">
        <f>IF(AQ23="2",BH23,0)</f>
        <v>0</v>
      </c>
      <c r="AG23" s="54">
        <f>IF(AQ23="2",BI23,0)</f>
        <v>0</v>
      </c>
      <c r="AH23" s="54">
        <f>IF(AQ23="0",BJ23,0)</f>
        <v>0</v>
      </c>
      <c r="AI23" s="51"/>
      <c r="AJ23" s="33">
        <f>IF(AN23=0,K23,0)</f>
        <v>0</v>
      </c>
      <c r="AK23" s="33">
        <f>IF(AN23=15,K23,0)</f>
        <v>0</v>
      </c>
      <c r="AL23" s="33">
        <f>IF(AN23=21,K23,0)</f>
        <v>0</v>
      </c>
      <c r="AN23" s="54">
        <v>21</v>
      </c>
      <c r="AO23" s="54">
        <f>H23*0.00676567656765676</f>
        <v>0</v>
      </c>
      <c r="AP23" s="54">
        <f>H23*(1-0.00676567656765676)</f>
        <v>0</v>
      </c>
      <c r="AQ23" s="52" t="s">
        <v>60</v>
      </c>
      <c r="AV23" s="54">
        <f>AW23+AX23</f>
        <v>0</v>
      </c>
      <c r="AW23" s="54">
        <f>G23*AO23</f>
        <v>0</v>
      </c>
      <c r="AX23" s="54">
        <f>G23*AP23</f>
        <v>0</v>
      </c>
      <c r="AY23" s="55" t="s">
        <v>244</v>
      </c>
      <c r="AZ23" s="55" t="s">
        <v>256</v>
      </c>
      <c r="BA23" s="51" t="s">
        <v>262</v>
      </c>
      <c r="BC23" s="54">
        <f>AW23+AX23</f>
        <v>0</v>
      </c>
      <c r="BD23" s="54">
        <f>H23/(100-BE23)*100</f>
        <v>0</v>
      </c>
      <c r="BE23" s="54">
        <v>0</v>
      </c>
      <c r="BF23" s="54">
        <f>23</f>
        <v>23</v>
      </c>
      <c r="BH23" s="33">
        <f>G23*AO23</f>
        <v>0</v>
      </c>
      <c r="BI23" s="33">
        <f>G23*AP23</f>
        <v>0</v>
      </c>
      <c r="BJ23" s="33">
        <f>G23*H23</f>
        <v>0</v>
      </c>
    </row>
    <row r="24" spans="3:8" ht="12.75">
      <c r="C24" s="113" t="s">
        <v>149</v>
      </c>
      <c r="D24" s="114"/>
      <c r="E24" s="114"/>
      <c r="G24" s="34">
        <v>7</v>
      </c>
      <c r="H24" s="42"/>
    </row>
    <row r="25" spans="1:62" ht="12.75">
      <c r="A25" s="25" t="s">
        <v>65</v>
      </c>
      <c r="B25" s="25" t="s">
        <v>98</v>
      </c>
      <c r="C25" s="117" t="s">
        <v>150</v>
      </c>
      <c r="D25" s="118"/>
      <c r="E25" s="118"/>
      <c r="F25" s="25" t="s">
        <v>220</v>
      </c>
      <c r="G25" s="33">
        <v>0.04984</v>
      </c>
      <c r="H25" s="41">
        <v>0</v>
      </c>
      <c r="I25" s="33">
        <f>G25*AO25</f>
        <v>0</v>
      </c>
      <c r="J25" s="33">
        <f>G25*AP25</f>
        <v>0</v>
      </c>
      <c r="K25" s="33">
        <f>G25*H25</f>
        <v>0</v>
      </c>
      <c r="L25" s="52" t="s">
        <v>233</v>
      </c>
      <c r="Z25" s="54">
        <f>IF(AQ25="5",BJ25,0)</f>
        <v>0</v>
      </c>
      <c r="AB25" s="54">
        <f>IF(AQ25="1",BH25,0)</f>
        <v>0</v>
      </c>
      <c r="AC25" s="54">
        <f>IF(AQ25="1",BI25,0)</f>
        <v>0</v>
      </c>
      <c r="AD25" s="54">
        <f>IF(AQ25="7",BH25,0)</f>
        <v>0</v>
      </c>
      <c r="AE25" s="54">
        <f>IF(AQ25="7",BI25,0)</f>
        <v>0</v>
      </c>
      <c r="AF25" s="54">
        <f>IF(AQ25="2",BH25,0)</f>
        <v>0</v>
      </c>
      <c r="AG25" s="54">
        <f>IF(AQ25="2",BI25,0)</f>
        <v>0</v>
      </c>
      <c r="AH25" s="54">
        <f>IF(AQ25="0",BJ25,0)</f>
        <v>0</v>
      </c>
      <c r="AI25" s="51"/>
      <c r="AJ25" s="33">
        <f>IF(AN25=0,K25,0)</f>
        <v>0</v>
      </c>
      <c r="AK25" s="33">
        <f>IF(AN25=15,K25,0)</f>
        <v>0</v>
      </c>
      <c r="AL25" s="33">
        <f>IF(AN25=21,K25,0)</f>
        <v>0</v>
      </c>
      <c r="AN25" s="54">
        <v>21</v>
      </c>
      <c r="AO25" s="54">
        <f>H25*0</f>
        <v>0</v>
      </c>
      <c r="AP25" s="54">
        <f>H25*(1-0)</f>
        <v>0</v>
      </c>
      <c r="AQ25" s="52" t="s">
        <v>60</v>
      </c>
      <c r="AV25" s="54">
        <f>AW25+AX25</f>
        <v>0</v>
      </c>
      <c r="AW25" s="54">
        <f>G25*AO25</f>
        <v>0</v>
      </c>
      <c r="AX25" s="54">
        <f>G25*AP25</f>
        <v>0</v>
      </c>
      <c r="AY25" s="55" t="s">
        <v>244</v>
      </c>
      <c r="AZ25" s="55" t="s">
        <v>256</v>
      </c>
      <c r="BA25" s="51" t="s">
        <v>262</v>
      </c>
      <c r="BC25" s="54">
        <f>AW25+AX25</f>
        <v>0</v>
      </c>
      <c r="BD25" s="54">
        <f>H25/(100-BE25)*100</f>
        <v>0</v>
      </c>
      <c r="BE25" s="54">
        <v>0</v>
      </c>
      <c r="BF25" s="54">
        <f>25</f>
        <v>25</v>
      </c>
      <c r="BH25" s="33">
        <f>G25*AO25</f>
        <v>0</v>
      </c>
      <c r="BI25" s="33">
        <f>G25*AP25</f>
        <v>0</v>
      </c>
      <c r="BJ25" s="33">
        <f>G25*H25</f>
        <v>0</v>
      </c>
    </row>
    <row r="26" spans="3:8" ht="12.75">
      <c r="C26" s="113" t="s">
        <v>151</v>
      </c>
      <c r="D26" s="114"/>
      <c r="E26" s="114"/>
      <c r="G26" s="34">
        <v>0.04984</v>
      </c>
      <c r="H26" s="42"/>
    </row>
    <row r="27" spans="1:62" ht="12.75">
      <c r="A27" s="25" t="s">
        <v>66</v>
      </c>
      <c r="B27" s="25" t="s">
        <v>99</v>
      </c>
      <c r="C27" s="117" t="s">
        <v>152</v>
      </c>
      <c r="D27" s="118"/>
      <c r="E27" s="118"/>
      <c r="F27" s="25" t="s">
        <v>221</v>
      </c>
      <c r="G27" s="33">
        <v>62.5</v>
      </c>
      <c r="H27" s="41">
        <v>0</v>
      </c>
      <c r="I27" s="33">
        <f>G27*AO27</f>
        <v>0</v>
      </c>
      <c r="J27" s="33">
        <f>G27*AP27</f>
        <v>0</v>
      </c>
      <c r="K27" s="33">
        <f>G27*H27</f>
        <v>0</v>
      </c>
      <c r="L27" s="52" t="s">
        <v>233</v>
      </c>
      <c r="Z27" s="54">
        <f>IF(AQ27="5",BJ27,0)</f>
        <v>0</v>
      </c>
      <c r="AB27" s="54">
        <f>IF(AQ27="1",BH27,0)</f>
        <v>0</v>
      </c>
      <c r="AC27" s="54">
        <f>IF(AQ27="1",BI27,0)</f>
        <v>0</v>
      </c>
      <c r="AD27" s="54">
        <f>IF(AQ27="7",BH27,0)</f>
        <v>0</v>
      </c>
      <c r="AE27" s="54">
        <f>IF(AQ27="7",BI27,0)</f>
        <v>0</v>
      </c>
      <c r="AF27" s="54">
        <f>IF(AQ27="2",BH27,0)</f>
        <v>0</v>
      </c>
      <c r="AG27" s="54">
        <f>IF(AQ27="2",BI27,0)</f>
        <v>0</v>
      </c>
      <c r="AH27" s="54">
        <f>IF(AQ27="0",BJ27,0)</f>
        <v>0</v>
      </c>
      <c r="AI27" s="51"/>
      <c r="AJ27" s="33">
        <f>IF(AN27=0,K27,0)</f>
        <v>0</v>
      </c>
      <c r="AK27" s="33">
        <f>IF(AN27=15,K27,0)</f>
        <v>0</v>
      </c>
      <c r="AL27" s="33">
        <f>IF(AN27=21,K27,0)</f>
        <v>0</v>
      </c>
      <c r="AN27" s="54">
        <v>21</v>
      </c>
      <c r="AO27" s="54">
        <f>H27*0</f>
        <v>0</v>
      </c>
      <c r="AP27" s="54">
        <f>H27*(1-0)</f>
        <v>0</v>
      </c>
      <c r="AQ27" s="52" t="s">
        <v>60</v>
      </c>
      <c r="AV27" s="54">
        <f>AW27+AX27</f>
        <v>0</v>
      </c>
      <c r="AW27" s="54">
        <f>G27*AO27</f>
        <v>0</v>
      </c>
      <c r="AX27" s="54">
        <f>G27*AP27</f>
        <v>0</v>
      </c>
      <c r="AY27" s="55" t="s">
        <v>244</v>
      </c>
      <c r="AZ27" s="55" t="s">
        <v>256</v>
      </c>
      <c r="BA27" s="51" t="s">
        <v>262</v>
      </c>
      <c r="BC27" s="54">
        <f>AW27+AX27</f>
        <v>0</v>
      </c>
      <c r="BD27" s="54">
        <f>H27/(100-BE27)*100</f>
        <v>0</v>
      </c>
      <c r="BE27" s="54">
        <v>0</v>
      </c>
      <c r="BF27" s="54">
        <f>27</f>
        <v>27</v>
      </c>
      <c r="BH27" s="33">
        <f>G27*AO27</f>
        <v>0</v>
      </c>
      <c r="BI27" s="33">
        <f>G27*AP27</f>
        <v>0</v>
      </c>
      <c r="BJ27" s="33">
        <f>G27*H27</f>
        <v>0</v>
      </c>
    </row>
    <row r="28" spans="3:8" ht="12.75">
      <c r="C28" s="113" t="s">
        <v>153</v>
      </c>
      <c r="D28" s="114"/>
      <c r="E28" s="114"/>
      <c r="G28" s="34">
        <v>62.5</v>
      </c>
      <c r="H28" s="42"/>
    </row>
    <row r="29" spans="1:62" ht="12.75">
      <c r="A29" s="25" t="s">
        <v>67</v>
      </c>
      <c r="B29" s="25" t="s">
        <v>100</v>
      </c>
      <c r="C29" s="117" t="s">
        <v>154</v>
      </c>
      <c r="D29" s="118"/>
      <c r="E29" s="118"/>
      <c r="F29" s="25" t="s">
        <v>219</v>
      </c>
      <c r="G29" s="33">
        <v>250</v>
      </c>
      <c r="H29" s="41">
        <v>0</v>
      </c>
      <c r="I29" s="33">
        <f>G29*AO29</f>
        <v>0</v>
      </c>
      <c r="J29" s="33">
        <f>G29*AP29</f>
        <v>0</v>
      </c>
      <c r="K29" s="33">
        <f>G29*H29</f>
        <v>0</v>
      </c>
      <c r="L29" s="52" t="s">
        <v>233</v>
      </c>
      <c r="Z29" s="54">
        <f>IF(AQ29="5",BJ29,0)</f>
        <v>0</v>
      </c>
      <c r="AB29" s="54">
        <f>IF(AQ29="1",BH29,0)</f>
        <v>0</v>
      </c>
      <c r="AC29" s="54">
        <f>IF(AQ29="1",BI29,0)</f>
        <v>0</v>
      </c>
      <c r="AD29" s="54">
        <f>IF(AQ29="7",BH29,0)</f>
        <v>0</v>
      </c>
      <c r="AE29" s="54">
        <f>IF(AQ29="7",BI29,0)</f>
        <v>0</v>
      </c>
      <c r="AF29" s="54">
        <f>IF(AQ29="2",BH29,0)</f>
        <v>0</v>
      </c>
      <c r="AG29" s="54">
        <f>IF(AQ29="2",BI29,0)</f>
        <v>0</v>
      </c>
      <c r="AH29" s="54">
        <f>IF(AQ29="0",BJ29,0)</f>
        <v>0</v>
      </c>
      <c r="AI29" s="51"/>
      <c r="AJ29" s="33">
        <f>IF(AN29=0,K29,0)</f>
        <v>0</v>
      </c>
      <c r="AK29" s="33">
        <f>IF(AN29=15,K29,0)</f>
        <v>0</v>
      </c>
      <c r="AL29" s="33">
        <f>IF(AN29=21,K29,0)</f>
        <v>0</v>
      </c>
      <c r="AN29" s="54">
        <v>21</v>
      </c>
      <c r="AO29" s="54">
        <f>H29*0</f>
        <v>0</v>
      </c>
      <c r="AP29" s="54">
        <f>H29*(1-0)</f>
        <v>0</v>
      </c>
      <c r="AQ29" s="52" t="s">
        <v>60</v>
      </c>
      <c r="AV29" s="54">
        <f>AW29+AX29</f>
        <v>0</v>
      </c>
      <c r="AW29" s="54">
        <f>G29*AO29</f>
        <v>0</v>
      </c>
      <c r="AX29" s="54">
        <f>G29*AP29</f>
        <v>0</v>
      </c>
      <c r="AY29" s="55" t="s">
        <v>244</v>
      </c>
      <c r="AZ29" s="55" t="s">
        <v>256</v>
      </c>
      <c r="BA29" s="51" t="s">
        <v>262</v>
      </c>
      <c r="BC29" s="54">
        <f>AW29+AX29</f>
        <v>0</v>
      </c>
      <c r="BD29" s="54">
        <f>H29/(100-BE29)*100</f>
        <v>0</v>
      </c>
      <c r="BE29" s="54">
        <v>0</v>
      </c>
      <c r="BF29" s="54">
        <f>29</f>
        <v>29</v>
      </c>
      <c r="BH29" s="33">
        <f>G29*AO29</f>
        <v>0</v>
      </c>
      <c r="BI29" s="33">
        <f>G29*AP29</f>
        <v>0</v>
      </c>
      <c r="BJ29" s="33">
        <f>G29*H29</f>
        <v>0</v>
      </c>
    </row>
    <row r="30" spans="3:8" ht="12.75">
      <c r="C30" s="113" t="s">
        <v>155</v>
      </c>
      <c r="D30" s="114"/>
      <c r="E30" s="114"/>
      <c r="G30" s="34">
        <v>250</v>
      </c>
      <c r="H30" s="42"/>
    </row>
    <row r="31" spans="1:62" ht="12.75">
      <c r="A31" s="25" t="s">
        <v>68</v>
      </c>
      <c r="B31" s="25" t="s">
        <v>101</v>
      </c>
      <c r="C31" s="117" t="s">
        <v>156</v>
      </c>
      <c r="D31" s="118"/>
      <c r="E31" s="118"/>
      <c r="F31" s="25" t="s">
        <v>219</v>
      </c>
      <c r="G31" s="33">
        <v>60</v>
      </c>
      <c r="H31" s="41">
        <v>0</v>
      </c>
      <c r="I31" s="33">
        <f>G31*AO31</f>
        <v>0</v>
      </c>
      <c r="J31" s="33">
        <f>G31*AP31</f>
        <v>0</v>
      </c>
      <c r="K31" s="33">
        <f>G31*H31</f>
        <v>0</v>
      </c>
      <c r="L31" s="52" t="s">
        <v>233</v>
      </c>
      <c r="Z31" s="54">
        <f>IF(AQ31="5",BJ31,0)</f>
        <v>0</v>
      </c>
      <c r="AB31" s="54">
        <f>IF(AQ31="1",BH31,0)</f>
        <v>0</v>
      </c>
      <c r="AC31" s="54">
        <f>IF(AQ31="1",BI31,0)</f>
        <v>0</v>
      </c>
      <c r="AD31" s="54">
        <f>IF(AQ31="7",BH31,0)</f>
        <v>0</v>
      </c>
      <c r="AE31" s="54">
        <f>IF(AQ31="7",BI31,0)</f>
        <v>0</v>
      </c>
      <c r="AF31" s="54">
        <f>IF(AQ31="2",BH31,0)</f>
        <v>0</v>
      </c>
      <c r="AG31" s="54">
        <f>IF(AQ31="2",BI31,0)</f>
        <v>0</v>
      </c>
      <c r="AH31" s="54">
        <f>IF(AQ31="0",BJ31,0)</f>
        <v>0</v>
      </c>
      <c r="AI31" s="51"/>
      <c r="AJ31" s="33">
        <f>IF(AN31=0,K31,0)</f>
        <v>0</v>
      </c>
      <c r="AK31" s="33">
        <f>IF(AN31=15,K31,0)</f>
        <v>0</v>
      </c>
      <c r="AL31" s="33">
        <f>IF(AN31=21,K31,0)</f>
        <v>0</v>
      </c>
      <c r="AN31" s="54">
        <v>21</v>
      </c>
      <c r="AO31" s="54">
        <f>H31*0.22057761732852</f>
        <v>0</v>
      </c>
      <c r="AP31" s="54">
        <f>H31*(1-0.22057761732852)</f>
        <v>0</v>
      </c>
      <c r="AQ31" s="52" t="s">
        <v>60</v>
      </c>
      <c r="AV31" s="54">
        <f>AW31+AX31</f>
        <v>0</v>
      </c>
      <c r="AW31" s="54">
        <f>G31*AO31</f>
        <v>0</v>
      </c>
      <c r="AX31" s="54">
        <f>G31*AP31</f>
        <v>0</v>
      </c>
      <c r="AY31" s="55" t="s">
        <v>244</v>
      </c>
      <c r="AZ31" s="55" t="s">
        <v>256</v>
      </c>
      <c r="BA31" s="51" t="s">
        <v>262</v>
      </c>
      <c r="BC31" s="54">
        <f>AW31+AX31</f>
        <v>0</v>
      </c>
      <c r="BD31" s="54">
        <f>H31/(100-BE31)*100</f>
        <v>0</v>
      </c>
      <c r="BE31" s="54">
        <v>0</v>
      </c>
      <c r="BF31" s="54">
        <f>31</f>
        <v>31</v>
      </c>
      <c r="BH31" s="33">
        <f>G31*AO31</f>
        <v>0</v>
      </c>
      <c r="BI31" s="33">
        <f>G31*AP31</f>
        <v>0</v>
      </c>
      <c r="BJ31" s="33">
        <f>G31*H31</f>
        <v>0</v>
      </c>
    </row>
    <row r="32" spans="3:8" ht="12.75">
      <c r="C32" s="113" t="s">
        <v>147</v>
      </c>
      <c r="D32" s="114"/>
      <c r="E32" s="114"/>
      <c r="G32" s="34">
        <v>60</v>
      </c>
      <c r="H32" s="42"/>
    </row>
    <row r="33" spans="1:62" ht="12.75">
      <c r="A33" s="25" t="s">
        <v>69</v>
      </c>
      <c r="B33" s="25" t="s">
        <v>102</v>
      </c>
      <c r="C33" s="117" t="s">
        <v>157</v>
      </c>
      <c r="D33" s="118"/>
      <c r="E33" s="118"/>
      <c r="F33" s="25" t="s">
        <v>218</v>
      </c>
      <c r="G33" s="33">
        <v>7</v>
      </c>
      <c r="H33" s="41">
        <v>0</v>
      </c>
      <c r="I33" s="33">
        <f>G33*AO33</f>
        <v>0</v>
      </c>
      <c r="J33" s="33">
        <f>G33*AP33</f>
        <v>0</v>
      </c>
      <c r="K33" s="33">
        <f>G33*H33</f>
        <v>0</v>
      </c>
      <c r="L33" s="52" t="s">
        <v>233</v>
      </c>
      <c r="Z33" s="54">
        <f>IF(AQ33="5",BJ33,0)</f>
        <v>0</v>
      </c>
      <c r="AB33" s="54">
        <f>IF(AQ33="1",BH33,0)</f>
        <v>0</v>
      </c>
      <c r="AC33" s="54">
        <f>IF(AQ33="1",BI33,0)</f>
        <v>0</v>
      </c>
      <c r="AD33" s="54">
        <f>IF(AQ33="7",BH33,0)</f>
        <v>0</v>
      </c>
      <c r="AE33" s="54">
        <f>IF(AQ33="7",BI33,0)</f>
        <v>0</v>
      </c>
      <c r="AF33" s="54">
        <f>IF(AQ33="2",BH33,0)</f>
        <v>0</v>
      </c>
      <c r="AG33" s="54">
        <f>IF(AQ33="2",BI33,0)</f>
        <v>0</v>
      </c>
      <c r="AH33" s="54">
        <f>IF(AQ33="0",BJ33,0)</f>
        <v>0</v>
      </c>
      <c r="AI33" s="51"/>
      <c r="AJ33" s="33">
        <f>IF(AN33=0,K33,0)</f>
        <v>0</v>
      </c>
      <c r="AK33" s="33">
        <f>IF(AN33=15,K33,0)</f>
        <v>0</v>
      </c>
      <c r="AL33" s="33">
        <f>IF(AN33=21,K33,0)</f>
        <v>0</v>
      </c>
      <c r="AN33" s="54">
        <v>21</v>
      </c>
      <c r="AO33" s="54">
        <f>H33*0</f>
        <v>0</v>
      </c>
      <c r="AP33" s="54">
        <f>H33*(1-0)</f>
        <v>0</v>
      </c>
      <c r="AQ33" s="52" t="s">
        <v>60</v>
      </c>
      <c r="AV33" s="54">
        <f>AW33+AX33</f>
        <v>0</v>
      </c>
      <c r="AW33" s="54">
        <f>G33*AO33</f>
        <v>0</v>
      </c>
      <c r="AX33" s="54">
        <f>G33*AP33</f>
        <v>0</v>
      </c>
      <c r="AY33" s="55" t="s">
        <v>244</v>
      </c>
      <c r="AZ33" s="55" t="s">
        <v>256</v>
      </c>
      <c r="BA33" s="51" t="s">
        <v>262</v>
      </c>
      <c r="BC33" s="54">
        <f>AW33+AX33</f>
        <v>0</v>
      </c>
      <c r="BD33" s="54">
        <f>H33/(100-BE33)*100</f>
        <v>0</v>
      </c>
      <c r="BE33" s="54">
        <v>0</v>
      </c>
      <c r="BF33" s="54">
        <f>33</f>
        <v>33</v>
      </c>
      <c r="BH33" s="33">
        <f>G33*AO33</f>
        <v>0</v>
      </c>
      <c r="BI33" s="33">
        <f>G33*AP33</f>
        <v>0</v>
      </c>
      <c r="BJ33" s="33">
        <f>G33*H33</f>
        <v>0</v>
      </c>
    </row>
    <row r="34" spans="3:8" ht="12.75">
      <c r="C34" s="113" t="s">
        <v>149</v>
      </c>
      <c r="D34" s="114"/>
      <c r="E34" s="114"/>
      <c r="G34" s="34">
        <v>7</v>
      </c>
      <c r="H34" s="42"/>
    </row>
    <row r="35" spans="1:62" ht="12.75">
      <c r="A35" s="25" t="s">
        <v>70</v>
      </c>
      <c r="B35" s="25" t="s">
        <v>103</v>
      </c>
      <c r="C35" s="117" t="s">
        <v>158</v>
      </c>
      <c r="D35" s="118"/>
      <c r="E35" s="118"/>
      <c r="F35" s="25" t="s">
        <v>222</v>
      </c>
      <c r="G35" s="33">
        <v>15.5</v>
      </c>
      <c r="H35" s="41">
        <v>0</v>
      </c>
      <c r="I35" s="33">
        <f>G35*AO35</f>
        <v>0</v>
      </c>
      <c r="J35" s="33">
        <f>G35*AP35</f>
        <v>0</v>
      </c>
      <c r="K35" s="33">
        <f>G35*H35</f>
        <v>0</v>
      </c>
      <c r="L35" s="52" t="s">
        <v>233</v>
      </c>
      <c r="Z35" s="54">
        <f>IF(AQ35="5",BJ35,0)</f>
        <v>0</v>
      </c>
      <c r="AB35" s="54">
        <f>IF(AQ35="1",BH35,0)</f>
        <v>0</v>
      </c>
      <c r="AC35" s="54">
        <f>IF(AQ35="1",BI35,0)</f>
        <v>0</v>
      </c>
      <c r="AD35" s="54">
        <f>IF(AQ35="7",BH35,0)</f>
        <v>0</v>
      </c>
      <c r="AE35" s="54">
        <f>IF(AQ35="7",BI35,0)</f>
        <v>0</v>
      </c>
      <c r="AF35" s="54">
        <f>IF(AQ35="2",BH35,0)</f>
        <v>0</v>
      </c>
      <c r="AG35" s="54">
        <f>IF(AQ35="2",BI35,0)</f>
        <v>0</v>
      </c>
      <c r="AH35" s="54">
        <f>IF(AQ35="0",BJ35,0)</f>
        <v>0</v>
      </c>
      <c r="AI35" s="51"/>
      <c r="AJ35" s="33">
        <f>IF(AN35=0,K35,0)</f>
        <v>0</v>
      </c>
      <c r="AK35" s="33">
        <f>IF(AN35=15,K35,0)</f>
        <v>0</v>
      </c>
      <c r="AL35" s="33">
        <f>IF(AN35=21,K35,0)</f>
        <v>0</v>
      </c>
      <c r="AN35" s="54">
        <v>21</v>
      </c>
      <c r="AO35" s="54">
        <f>H35*0</f>
        <v>0</v>
      </c>
      <c r="AP35" s="54">
        <f>H35*(1-0)</f>
        <v>0</v>
      </c>
      <c r="AQ35" s="52" t="s">
        <v>60</v>
      </c>
      <c r="AV35" s="54">
        <f>AW35+AX35</f>
        <v>0</v>
      </c>
      <c r="AW35" s="54">
        <f>G35*AO35</f>
        <v>0</v>
      </c>
      <c r="AX35" s="54">
        <f>G35*AP35</f>
        <v>0</v>
      </c>
      <c r="AY35" s="55" t="s">
        <v>244</v>
      </c>
      <c r="AZ35" s="55" t="s">
        <v>256</v>
      </c>
      <c r="BA35" s="51" t="s">
        <v>262</v>
      </c>
      <c r="BC35" s="54">
        <f>AW35+AX35</f>
        <v>0</v>
      </c>
      <c r="BD35" s="54">
        <f>H35/(100-BE35)*100</f>
        <v>0</v>
      </c>
      <c r="BE35" s="54">
        <v>0</v>
      </c>
      <c r="BF35" s="54">
        <f>35</f>
        <v>35</v>
      </c>
      <c r="BH35" s="33">
        <f>G35*AO35</f>
        <v>0</v>
      </c>
      <c r="BI35" s="33">
        <f>G35*AP35</f>
        <v>0</v>
      </c>
      <c r="BJ35" s="33">
        <f>G35*H35</f>
        <v>0</v>
      </c>
    </row>
    <row r="36" spans="3:8" ht="12.75">
      <c r="C36" s="113" t="s">
        <v>159</v>
      </c>
      <c r="D36" s="114"/>
      <c r="E36" s="114"/>
      <c r="G36" s="34">
        <v>15.5</v>
      </c>
      <c r="H36" s="42"/>
    </row>
    <row r="37" spans="1:47" ht="12.75">
      <c r="A37" s="24"/>
      <c r="B37" s="31" t="s">
        <v>71</v>
      </c>
      <c r="C37" s="109" t="s">
        <v>160</v>
      </c>
      <c r="D37" s="110"/>
      <c r="E37" s="110"/>
      <c r="F37" s="24" t="s">
        <v>59</v>
      </c>
      <c r="G37" s="24" t="s">
        <v>59</v>
      </c>
      <c r="H37" s="40" t="s">
        <v>59</v>
      </c>
      <c r="I37" s="57">
        <f>SUM(I38:I48)</f>
        <v>0</v>
      </c>
      <c r="J37" s="57">
        <f>SUM(J38:J48)</f>
        <v>0</v>
      </c>
      <c r="K37" s="57">
        <f>SUM(K38:K48)</f>
        <v>0</v>
      </c>
      <c r="L37" s="51"/>
      <c r="AI37" s="51"/>
      <c r="AS37" s="57">
        <f>SUM(AJ38:AJ48)</f>
        <v>0</v>
      </c>
      <c r="AT37" s="57">
        <f>SUM(AK38:AK48)</f>
        <v>0</v>
      </c>
      <c r="AU37" s="57">
        <f>SUM(AL38:AL48)</f>
        <v>0</v>
      </c>
    </row>
    <row r="38" spans="1:62" ht="12.75">
      <c r="A38" s="25" t="s">
        <v>71</v>
      </c>
      <c r="B38" s="25" t="s">
        <v>104</v>
      </c>
      <c r="C38" s="117" t="s">
        <v>161</v>
      </c>
      <c r="D38" s="118"/>
      <c r="E38" s="118"/>
      <c r="F38" s="25" t="s">
        <v>221</v>
      </c>
      <c r="G38" s="33">
        <v>50.1</v>
      </c>
      <c r="H38" s="41">
        <v>0</v>
      </c>
      <c r="I38" s="33">
        <f>G38*AO38</f>
        <v>0</v>
      </c>
      <c r="J38" s="33">
        <f>G38*AP38</f>
        <v>0</v>
      </c>
      <c r="K38" s="33">
        <f>G38*H38</f>
        <v>0</v>
      </c>
      <c r="L38" s="52" t="s">
        <v>233</v>
      </c>
      <c r="Z38" s="54">
        <f>IF(AQ38="5",BJ38,0)</f>
        <v>0</v>
      </c>
      <c r="AB38" s="54">
        <f>IF(AQ38="1",BH38,0)</f>
        <v>0</v>
      </c>
      <c r="AC38" s="54">
        <f>IF(AQ38="1",BI38,0)</f>
        <v>0</v>
      </c>
      <c r="AD38" s="54">
        <f>IF(AQ38="7",BH38,0)</f>
        <v>0</v>
      </c>
      <c r="AE38" s="54">
        <f>IF(AQ38="7",BI38,0)</f>
        <v>0</v>
      </c>
      <c r="AF38" s="54">
        <f>IF(AQ38="2",BH38,0)</f>
        <v>0</v>
      </c>
      <c r="AG38" s="54">
        <f>IF(AQ38="2",BI38,0)</f>
        <v>0</v>
      </c>
      <c r="AH38" s="54">
        <f>IF(AQ38="0",BJ38,0)</f>
        <v>0</v>
      </c>
      <c r="AI38" s="51"/>
      <c r="AJ38" s="33">
        <f>IF(AN38=0,K38,0)</f>
        <v>0</v>
      </c>
      <c r="AK38" s="33">
        <f>IF(AN38=15,K38,0)</f>
        <v>0</v>
      </c>
      <c r="AL38" s="33">
        <f>IF(AN38=21,K38,0)</f>
        <v>0</v>
      </c>
      <c r="AN38" s="54">
        <v>21</v>
      </c>
      <c r="AO38" s="54">
        <f>H38*0</f>
        <v>0</v>
      </c>
      <c r="AP38" s="54">
        <f>H38*(1-0)</f>
        <v>0</v>
      </c>
      <c r="AQ38" s="52" t="s">
        <v>60</v>
      </c>
      <c r="AV38" s="54">
        <f>AW38+AX38</f>
        <v>0</v>
      </c>
      <c r="AW38" s="54">
        <f>G38*AO38</f>
        <v>0</v>
      </c>
      <c r="AX38" s="54">
        <f>G38*AP38</f>
        <v>0</v>
      </c>
      <c r="AY38" s="55" t="s">
        <v>245</v>
      </c>
      <c r="AZ38" s="55" t="s">
        <v>256</v>
      </c>
      <c r="BA38" s="51" t="s">
        <v>262</v>
      </c>
      <c r="BC38" s="54">
        <f>AW38+AX38</f>
        <v>0</v>
      </c>
      <c r="BD38" s="54">
        <f>H38/(100-BE38)*100</f>
        <v>0</v>
      </c>
      <c r="BE38" s="54">
        <v>0</v>
      </c>
      <c r="BF38" s="54">
        <f>38</f>
        <v>38</v>
      </c>
      <c r="BH38" s="33">
        <f>G38*AO38</f>
        <v>0</v>
      </c>
      <c r="BI38" s="33">
        <f>G38*AP38</f>
        <v>0</v>
      </c>
      <c r="BJ38" s="33">
        <f>G38*H38</f>
        <v>0</v>
      </c>
    </row>
    <row r="39" spans="3:8" ht="12.75">
      <c r="C39" s="113" t="s">
        <v>162</v>
      </c>
      <c r="D39" s="114"/>
      <c r="E39" s="114"/>
      <c r="G39" s="34">
        <v>50.1</v>
      </c>
      <c r="H39" s="42"/>
    </row>
    <row r="40" spans="1:62" ht="12.75">
      <c r="A40" s="25" t="s">
        <v>72</v>
      </c>
      <c r="B40" s="25" t="s">
        <v>105</v>
      </c>
      <c r="C40" s="117" t="s">
        <v>163</v>
      </c>
      <c r="D40" s="118"/>
      <c r="E40" s="118"/>
      <c r="F40" s="25" t="s">
        <v>221</v>
      </c>
      <c r="G40" s="33">
        <v>200.4</v>
      </c>
      <c r="H40" s="41">
        <v>0</v>
      </c>
      <c r="I40" s="33">
        <f>G40*AO40</f>
        <v>0</v>
      </c>
      <c r="J40" s="33">
        <f>G40*AP40</f>
        <v>0</v>
      </c>
      <c r="K40" s="33">
        <f>G40*H40</f>
        <v>0</v>
      </c>
      <c r="L40" s="52" t="s">
        <v>233</v>
      </c>
      <c r="Z40" s="54">
        <f>IF(AQ40="5",BJ40,0)</f>
        <v>0</v>
      </c>
      <c r="AB40" s="54">
        <f>IF(AQ40="1",BH40,0)</f>
        <v>0</v>
      </c>
      <c r="AC40" s="54">
        <f>IF(AQ40="1",BI40,0)</f>
        <v>0</v>
      </c>
      <c r="AD40" s="54">
        <f>IF(AQ40="7",BH40,0)</f>
        <v>0</v>
      </c>
      <c r="AE40" s="54">
        <f>IF(AQ40="7",BI40,0)</f>
        <v>0</v>
      </c>
      <c r="AF40" s="54">
        <f>IF(AQ40="2",BH40,0)</f>
        <v>0</v>
      </c>
      <c r="AG40" s="54">
        <f>IF(AQ40="2",BI40,0)</f>
        <v>0</v>
      </c>
      <c r="AH40" s="54">
        <f>IF(AQ40="0",BJ40,0)</f>
        <v>0</v>
      </c>
      <c r="AI40" s="51"/>
      <c r="AJ40" s="33">
        <f>IF(AN40=0,K40,0)</f>
        <v>0</v>
      </c>
      <c r="AK40" s="33">
        <f>IF(AN40=15,K40,0)</f>
        <v>0</v>
      </c>
      <c r="AL40" s="33">
        <f>IF(AN40=21,K40,0)</f>
        <v>0</v>
      </c>
      <c r="AN40" s="54">
        <v>21</v>
      </c>
      <c r="AO40" s="54">
        <f>H40*0</f>
        <v>0</v>
      </c>
      <c r="AP40" s="54">
        <f>H40*(1-0)</f>
        <v>0</v>
      </c>
      <c r="AQ40" s="52" t="s">
        <v>60</v>
      </c>
      <c r="AV40" s="54">
        <f>AW40+AX40</f>
        <v>0</v>
      </c>
      <c r="AW40" s="54">
        <f>G40*AO40</f>
        <v>0</v>
      </c>
      <c r="AX40" s="54">
        <f>G40*AP40</f>
        <v>0</v>
      </c>
      <c r="AY40" s="55" t="s">
        <v>245</v>
      </c>
      <c r="AZ40" s="55" t="s">
        <v>256</v>
      </c>
      <c r="BA40" s="51" t="s">
        <v>262</v>
      </c>
      <c r="BC40" s="54">
        <f>AW40+AX40</f>
        <v>0</v>
      </c>
      <c r="BD40" s="54">
        <f>H40/(100-BE40)*100</f>
        <v>0</v>
      </c>
      <c r="BE40" s="54">
        <v>0</v>
      </c>
      <c r="BF40" s="54">
        <f>40</f>
        <v>40</v>
      </c>
      <c r="BH40" s="33">
        <f>G40*AO40</f>
        <v>0</v>
      </c>
      <c r="BI40" s="33">
        <f>G40*AP40</f>
        <v>0</v>
      </c>
      <c r="BJ40" s="33">
        <f>G40*H40</f>
        <v>0</v>
      </c>
    </row>
    <row r="41" spans="3:8" ht="12.75">
      <c r="C41" s="113" t="s">
        <v>164</v>
      </c>
      <c r="D41" s="114"/>
      <c r="E41" s="114"/>
      <c r="G41" s="34">
        <v>200.4</v>
      </c>
      <c r="H41" s="42"/>
    </row>
    <row r="42" spans="1:62" ht="12.75">
      <c r="A42" s="25" t="s">
        <v>73</v>
      </c>
      <c r="B42" s="25" t="s">
        <v>106</v>
      </c>
      <c r="C42" s="117" t="s">
        <v>165</v>
      </c>
      <c r="D42" s="118"/>
      <c r="E42" s="118"/>
      <c r="F42" s="25" t="s">
        <v>221</v>
      </c>
      <c r="G42" s="33">
        <v>13.125</v>
      </c>
      <c r="H42" s="41">
        <v>0</v>
      </c>
      <c r="I42" s="33">
        <f>G42*AO42</f>
        <v>0</v>
      </c>
      <c r="J42" s="33">
        <f>G42*AP42</f>
        <v>0</v>
      </c>
      <c r="K42" s="33">
        <f>G42*H42</f>
        <v>0</v>
      </c>
      <c r="L42" s="52" t="s">
        <v>233</v>
      </c>
      <c r="Z42" s="54">
        <f>IF(AQ42="5",BJ42,0)</f>
        <v>0</v>
      </c>
      <c r="AB42" s="54">
        <f>IF(AQ42="1",BH42,0)</f>
        <v>0</v>
      </c>
      <c r="AC42" s="54">
        <f>IF(AQ42="1",BI42,0)</f>
        <v>0</v>
      </c>
      <c r="AD42" s="54">
        <f>IF(AQ42="7",BH42,0)</f>
        <v>0</v>
      </c>
      <c r="AE42" s="54">
        <f>IF(AQ42="7",BI42,0)</f>
        <v>0</v>
      </c>
      <c r="AF42" s="54">
        <f>IF(AQ42="2",BH42,0)</f>
        <v>0</v>
      </c>
      <c r="AG42" s="54">
        <f>IF(AQ42="2",BI42,0)</f>
        <v>0</v>
      </c>
      <c r="AH42" s="54">
        <f>IF(AQ42="0",BJ42,0)</f>
        <v>0</v>
      </c>
      <c r="AI42" s="51"/>
      <c r="AJ42" s="33">
        <f>IF(AN42=0,K42,0)</f>
        <v>0</v>
      </c>
      <c r="AK42" s="33">
        <f>IF(AN42=15,K42,0)</f>
        <v>0</v>
      </c>
      <c r="AL42" s="33">
        <f>IF(AN42=21,K42,0)</f>
        <v>0</v>
      </c>
      <c r="AN42" s="54">
        <v>21</v>
      </c>
      <c r="AO42" s="54">
        <f>H42*0</f>
        <v>0</v>
      </c>
      <c r="AP42" s="54">
        <f>H42*(1-0)</f>
        <v>0</v>
      </c>
      <c r="AQ42" s="52" t="s">
        <v>60</v>
      </c>
      <c r="AV42" s="54">
        <f>AW42+AX42</f>
        <v>0</v>
      </c>
      <c r="AW42" s="54">
        <f>G42*AO42</f>
        <v>0</v>
      </c>
      <c r="AX42" s="54">
        <f>G42*AP42</f>
        <v>0</v>
      </c>
      <c r="AY42" s="55" t="s">
        <v>245</v>
      </c>
      <c r="AZ42" s="55" t="s">
        <v>256</v>
      </c>
      <c r="BA42" s="51" t="s">
        <v>262</v>
      </c>
      <c r="BC42" s="54">
        <f>AW42+AX42</f>
        <v>0</v>
      </c>
      <c r="BD42" s="54">
        <f>H42/(100-BE42)*100</f>
        <v>0</v>
      </c>
      <c r="BE42" s="54">
        <v>0</v>
      </c>
      <c r="BF42" s="54">
        <f>42</f>
        <v>42</v>
      </c>
      <c r="BH42" s="33">
        <f>G42*AO42</f>
        <v>0</v>
      </c>
      <c r="BI42" s="33">
        <f>G42*AP42</f>
        <v>0</v>
      </c>
      <c r="BJ42" s="33">
        <f>G42*H42</f>
        <v>0</v>
      </c>
    </row>
    <row r="43" spans="3:8" ht="12.75">
      <c r="C43" s="113" t="s">
        <v>166</v>
      </c>
      <c r="D43" s="114"/>
      <c r="E43" s="114"/>
      <c r="G43" s="34">
        <v>13.125</v>
      </c>
      <c r="H43" s="42"/>
    </row>
    <row r="44" spans="1:62" ht="12.75">
      <c r="A44" s="25" t="s">
        <v>74</v>
      </c>
      <c r="B44" s="25" t="s">
        <v>107</v>
      </c>
      <c r="C44" s="117" t="s">
        <v>167</v>
      </c>
      <c r="D44" s="118"/>
      <c r="E44" s="118"/>
      <c r="F44" s="25" t="s">
        <v>221</v>
      </c>
      <c r="G44" s="33">
        <v>13.125</v>
      </c>
      <c r="H44" s="41">
        <v>0</v>
      </c>
      <c r="I44" s="33">
        <f>G44*AO44</f>
        <v>0</v>
      </c>
      <c r="J44" s="33">
        <f>G44*AP44</f>
        <v>0</v>
      </c>
      <c r="K44" s="33">
        <f>G44*H44</f>
        <v>0</v>
      </c>
      <c r="L44" s="52" t="s">
        <v>233</v>
      </c>
      <c r="Z44" s="54">
        <f>IF(AQ44="5",BJ44,0)</f>
        <v>0</v>
      </c>
      <c r="AB44" s="54">
        <f>IF(AQ44="1",BH44,0)</f>
        <v>0</v>
      </c>
      <c r="AC44" s="54">
        <f>IF(AQ44="1",BI44,0)</f>
        <v>0</v>
      </c>
      <c r="AD44" s="54">
        <f>IF(AQ44="7",BH44,0)</f>
        <v>0</v>
      </c>
      <c r="AE44" s="54">
        <f>IF(AQ44="7",BI44,0)</f>
        <v>0</v>
      </c>
      <c r="AF44" s="54">
        <f>IF(AQ44="2",BH44,0)</f>
        <v>0</v>
      </c>
      <c r="AG44" s="54">
        <f>IF(AQ44="2",BI44,0)</f>
        <v>0</v>
      </c>
      <c r="AH44" s="54">
        <f>IF(AQ44="0",BJ44,0)</f>
        <v>0</v>
      </c>
      <c r="AI44" s="51"/>
      <c r="AJ44" s="33">
        <f>IF(AN44=0,K44,0)</f>
        <v>0</v>
      </c>
      <c r="AK44" s="33">
        <f>IF(AN44=15,K44,0)</f>
        <v>0</v>
      </c>
      <c r="AL44" s="33">
        <f>IF(AN44=21,K44,0)</f>
        <v>0</v>
      </c>
      <c r="AN44" s="54">
        <v>21</v>
      </c>
      <c r="AO44" s="54">
        <f>H44*0</f>
        <v>0</v>
      </c>
      <c r="AP44" s="54">
        <f>H44*(1-0)</f>
        <v>0</v>
      </c>
      <c r="AQ44" s="52" t="s">
        <v>60</v>
      </c>
      <c r="AV44" s="54">
        <f>AW44+AX44</f>
        <v>0</v>
      </c>
      <c r="AW44" s="54">
        <f>G44*AO44</f>
        <v>0</v>
      </c>
      <c r="AX44" s="54">
        <f>G44*AP44</f>
        <v>0</v>
      </c>
      <c r="AY44" s="55" t="s">
        <v>245</v>
      </c>
      <c r="AZ44" s="55" t="s">
        <v>256</v>
      </c>
      <c r="BA44" s="51" t="s">
        <v>262</v>
      </c>
      <c r="BC44" s="54">
        <f>AW44+AX44</f>
        <v>0</v>
      </c>
      <c r="BD44" s="54">
        <f>H44/(100-BE44)*100</f>
        <v>0</v>
      </c>
      <c r="BE44" s="54">
        <v>0</v>
      </c>
      <c r="BF44" s="54">
        <f>44</f>
        <v>44</v>
      </c>
      <c r="BH44" s="33">
        <f>G44*AO44</f>
        <v>0</v>
      </c>
      <c r="BI44" s="33">
        <f>G44*AP44</f>
        <v>0</v>
      </c>
      <c r="BJ44" s="33">
        <f>G44*H44</f>
        <v>0</v>
      </c>
    </row>
    <row r="45" spans="3:8" ht="12.75">
      <c r="C45" s="113" t="s">
        <v>166</v>
      </c>
      <c r="D45" s="114"/>
      <c r="E45" s="114"/>
      <c r="G45" s="34">
        <v>13.125</v>
      </c>
      <c r="H45" s="42"/>
    </row>
    <row r="46" spans="1:62" ht="12.75">
      <c r="A46" s="25" t="s">
        <v>75</v>
      </c>
      <c r="B46" s="25" t="s">
        <v>108</v>
      </c>
      <c r="C46" s="117" t="s">
        <v>168</v>
      </c>
      <c r="D46" s="118"/>
      <c r="E46" s="118"/>
      <c r="F46" s="25" t="s">
        <v>221</v>
      </c>
      <c r="G46" s="33">
        <v>200.4</v>
      </c>
      <c r="H46" s="41">
        <v>0</v>
      </c>
      <c r="I46" s="33">
        <f>G46*AO46</f>
        <v>0</v>
      </c>
      <c r="J46" s="33">
        <f>G46*AP46</f>
        <v>0</v>
      </c>
      <c r="K46" s="33">
        <f>G46*H46</f>
        <v>0</v>
      </c>
      <c r="L46" s="52" t="s">
        <v>233</v>
      </c>
      <c r="Z46" s="54">
        <f>IF(AQ46="5",BJ46,0)</f>
        <v>0</v>
      </c>
      <c r="AB46" s="54">
        <f>IF(AQ46="1",BH46,0)</f>
        <v>0</v>
      </c>
      <c r="AC46" s="54">
        <f>IF(AQ46="1",BI46,0)</f>
        <v>0</v>
      </c>
      <c r="AD46" s="54">
        <f>IF(AQ46="7",BH46,0)</f>
        <v>0</v>
      </c>
      <c r="AE46" s="54">
        <f>IF(AQ46="7",BI46,0)</f>
        <v>0</v>
      </c>
      <c r="AF46" s="54">
        <f>IF(AQ46="2",BH46,0)</f>
        <v>0</v>
      </c>
      <c r="AG46" s="54">
        <f>IF(AQ46="2",BI46,0)</f>
        <v>0</v>
      </c>
      <c r="AH46" s="54">
        <f>IF(AQ46="0",BJ46,0)</f>
        <v>0</v>
      </c>
      <c r="AI46" s="51"/>
      <c r="AJ46" s="33">
        <f>IF(AN46=0,K46,0)</f>
        <v>0</v>
      </c>
      <c r="AK46" s="33">
        <f>IF(AN46=15,K46,0)</f>
        <v>0</v>
      </c>
      <c r="AL46" s="33">
        <f>IF(AN46=21,K46,0)</f>
        <v>0</v>
      </c>
      <c r="AN46" s="54">
        <v>21</v>
      </c>
      <c r="AO46" s="54">
        <f>H46*0</f>
        <v>0</v>
      </c>
      <c r="AP46" s="54">
        <f>H46*(1-0)</f>
        <v>0</v>
      </c>
      <c r="AQ46" s="52" t="s">
        <v>60</v>
      </c>
      <c r="AV46" s="54">
        <f>AW46+AX46</f>
        <v>0</v>
      </c>
      <c r="AW46" s="54">
        <f>G46*AO46</f>
        <v>0</v>
      </c>
      <c r="AX46" s="54">
        <f>G46*AP46</f>
        <v>0</v>
      </c>
      <c r="AY46" s="55" t="s">
        <v>245</v>
      </c>
      <c r="AZ46" s="55" t="s">
        <v>256</v>
      </c>
      <c r="BA46" s="51" t="s">
        <v>262</v>
      </c>
      <c r="BC46" s="54">
        <f>AW46+AX46</f>
        <v>0</v>
      </c>
      <c r="BD46" s="54">
        <f>H46/(100-BE46)*100</f>
        <v>0</v>
      </c>
      <c r="BE46" s="54">
        <v>0</v>
      </c>
      <c r="BF46" s="54">
        <f>46</f>
        <v>46</v>
      </c>
      <c r="BH46" s="33">
        <f>G46*AO46</f>
        <v>0</v>
      </c>
      <c r="BI46" s="33">
        <f>G46*AP46</f>
        <v>0</v>
      </c>
      <c r="BJ46" s="33">
        <f>G46*H46</f>
        <v>0</v>
      </c>
    </row>
    <row r="47" spans="3:8" ht="12.75">
      <c r="C47" s="113" t="s">
        <v>164</v>
      </c>
      <c r="D47" s="114"/>
      <c r="E47" s="114"/>
      <c r="G47" s="34">
        <v>200.4</v>
      </c>
      <c r="H47" s="42"/>
    </row>
    <row r="48" spans="1:62" ht="12.75">
      <c r="A48" s="25" t="s">
        <v>76</v>
      </c>
      <c r="B48" s="25" t="s">
        <v>109</v>
      </c>
      <c r="C48" s="117" t="s">
        <v>169</v>
      </c>
      <c r="D48" s="118"/>
      <c r="E48" s="118"/>
      <c r="F48" s="25" t="s">
        <v>221</v>
      </c>
      <c r="G48" s="33">
        <v>13.125</v>
      </c>
      <c r="H48" s="41">
        <v>0</v>
      </c>
      <c r="I48" s="33">
        <f>G48*AO48</f>
        <v>0</v>
      </c>
      <c r="J48" s="33">
        <f>G48*AP48</f>
        <v>0</v>
      </c>
      <c r="K48" s="33">
        <f>G48*H48</f>
        <v>0</v>
      </c>
      <c r="L48" s="52" t="s">
        <v>233</v>
      </c>
      <c r="Z48" s="54">
        <f>IF(AQ48="5",BJ48,0)</f>
        <v>0</v>
      </c>
      <c r="AB48" s="54">
        <f>IF(AQ48="1",BH48,0)</f>
        <v>0</v>
      </c>
      <c r="AC48" s="54">
        <f>IF(AQ48="1",BI48,0)</f>
        <v>0</v>
      </c>
      <c r="AD48" s="54">
        <f>IF(AQ48="7",BH48,0)</f>
        <v>0</v>
      </c>
      <c r="AE48" s="54">
        <f>IF(AQ48="7",BI48,0)</f>
        <v>0</v>
      </c>
      <c r="AF48" s="54">
        <f>IF(AQ48="2",BH48,0)</f>
        <v>0</v>
      </c>
      <c r="AG48" s="54">
        <f>IF(AQ48="2",BI48,0)</f>
        <v>0</v>
      </c>
      <c r="AH48" s="54">
        <f>IF(AQ48="0",BJ48,0)</f>
        <v>0</v>
      </c>
      <c r="AI48" s="51"/>
      <c r="AJ48" s="33">
        <f>IF(AN48=0,K48,0)</f>
        <v>0</v>
      </c>
      <c r="AK48" s="33">
        <f>IF(AN48=15,K48,0)</f>
        <v>0</v>
      </c>
      <c r="AL48" s="33">
        <f>IF(AN48=21,K48,0)</f>
        <v>0</v>
      </c>
      <c r="AN48" s="54">
        <v>21</v>
      </c>
      <c r="AO48" s="54">
        <f>H48*0</f>
        <v>0</v>
      </c>
      <c r="AP48" s="54">
        <f>H48*(1-0)</f>
        <v>0</v>
      </c>
      <c r="AQ48" s="52" t="s">
        <v>60</v>
      </c>
      <c r="AV48" s="54">
        <f>AW48+AX48</f>
        <v>0</v>
      </c>
      <c r="AW48" s="54">
        <f>G48*AO48</f>
        <v>0</v>
      </c>
      <c r="AX48" s="54">
        <f>G48*AP48</f>
        <v>0</v>
      </c>
      <c r="AY48" s="55" t="s">
        <v>245</v>
      </c>
      <c r="AZ48" s="55" t="s">
        <v>256</v>
      </c>
      <c r="BA48" s="51" t="s">
        <v>262</v>
      </c>
      <c r="BC48" s="54">
        <f>AW48+AX48</f>
        <v>0</v>
      </c>
      <c r="BD48" s="54">
        <f>H48/(100-BE48)*100</f>
        <v>0</v>
      </c>
      <c r="BE48" s="54">
        <v>0</v>
      </c>
      <c r="BF48" s="54">
        <f>48</f>
        <v>48</v>
      </c>
      <c r="BH48" s="33">
        <f>G48*AO48</f>
        <v>0</v>
      </c>
      <c r="BI48" s="33">
        <f>G48*AP48</f>
        <v>0</v>
      </c>
      <c r="BJ48" s="33">
        <f>G48*H48</f>
        <v>0</v>
      </c>
    </row>
    <row r="49" spans="3:8" ht="12.75">
      <c r="C49" s="113" t="s">
        <v>166</v>
      </c>
      <c r="D49" s="114"/>
      <c r="E49" s="114"/>
      <c r="G49" s="34">
        <v>13.125</v>
      </c>
      <c r="H49" s="42"/>
    </row>
    <row r="50" spans="1:47" ht="12.75">
      <c r="A50" s="24"/>
      <c r="B50" s="31" t="s">
        <v>77</v>
      </c>
      <c r="C50" s="109" t="s">
        <v>170</v>
      </c>
      <c r="D50" s="110"/>
      <c r="E50" s="110"/>
      <c r="F50" s="24" t="s">
        <v>59</v>
      </c>
      <c r="G50" s="24" t="s">
        <v>59</v>
      </c>
      <c r="H50" s="40" t="s">
        <v>59</v>
      </c>
      <c r="I50" s="57">
        <f>SUM(I51:I53)</f>
        <v>0</v>
      </c>
      <c r="J50" s="57">
        <f>SUM(J51:J53)</f>
        <v>0</v>
      </c>
      <c r="K50" s="57">
        <f>SUM(K51:K53)</f>
        <v>0</v>
      </c>
      <c r="L50" s="51"/>
      <c r="AI50" s="51"/>
      <c r="AS50" s="57">
        <f>SUM(AJ51:AJ53)</f>
        <v>0</v>
      </c>
      <c r="AT50" s="57">
        <f>SUM(AK51:AK53)</f>
        <v>0</v>
      </c>
      <c r="AU50" s="57">
        <f>SUM(AL51:AL53)</f>
        <v>0</v>
      </c>
    </row>
    <row r="51" spans="1:62" ht="12.75">
      <c r="A51" s="25" t="s">
        <v>77</v>
      </c>
      <c r="B51" s="25" t="s">
        <v>110</v>
      </c>
      <c r="C51" s="117" t="s">
        <v>171</v>
      </c>
      <c r="D51" s="118"/>
      <c r="E51" s="118"/>
      <c r="F51" s="25" t="s">
        <v>218</v>
      </c>
      <c r="G51" s="33">
        <v>280</v>
      </c>
      <c r="H51" s="41">
        <v>0</v>
      </c>
      <c r="I51" s="33">
        <f>G51*AO51</f>
        <v>0</v>
      </c>
      <c r="J51" s="33">
        <f>G51*AP51</f>
        <v>0</v>
      </c>
      <c r="K51" s="33">
        <f>G51*H51</f>
        <v>0</v>
      </c>
      <c r="L51" s="52" t="s">
        <v>233</v>
      </c>
      <c r="Z51" s="54">
        <f>IF(AQ51="5",BJ51,0)</f>
        <v>0</v>
      </c>
      <c r="AB51" s="54">
        <f>IF(AQ51="1",BH51,0)</f>
        <v>0</v>
      </c>
      <c r="AC51" s="54">
        <f>IF(AQ51="1",BI51,0)</f>
        <v>0</v>
      </c>
      <c r="AD51" s="54">
        <f>IF(AQ51="7",BH51,0)</f>
        <v>0</v>
      </c>
      <c r="AE51" s="54">
        <f>IF(AQ51="7",BI51,0)</f>
        <v>0</v>
      </c>
      <c r="AF51" s="54">
        <f>IF(AQ51="2",BH51,0)</f>
        <v>0</v>
      </c>
      <c r="AG51" s="54">
        <f>IF(AQ51="2",BI51,0)</f>
        <v>0</v>
      </c>
      <c r="AH51" s="54">
        <f>IF(AQ51="0",BJ51,0)</f>
        <v>0</v>
      </c>
      <c r="AI51" s="51"/>
      <c r="AJ51" s="33">
        <f>IF(AN51=0,K51,0)</f>
        <v>0</v>
      </c>
      <c r="AK51" s="33">
        <f>IF(AN51=15,K51,0)</f>
        <v>0</v>
      </c>
      <c r="AL51" s="33">
        <f>IF(AN51=21,K51,0)</f>
        <v>0</v>
      </c>
      <c r="AN51" s="54">
        <v>21</v>
      </c>
      <c r="AO51" s="54">
        <f>H51*0.179275726066691</f>
        <v>0</v>
      </c>
      <c r="AP51" s="54">
        <f>H51*(1-0.179275726066691)</f>
        <v>0</v>
      </c>
      <c r="AQ51" s="52" t="s">
        <v>60</v>
      </c>
      <c r="AV51" s="54">
        <f>AW51+AX51</f>
        <v>0</v>
      </c>
      <c r="AW51" s="54">
        <f>G51*AO51</f>
        <v>0</v>
      </c>
      <c r="AX51" s="54">
        <f>G51*AP51</f>
        <v>0</v>
      </c>
      <c r="AY51" s="55" t="s">
        <v>246</v>
      </c>
      <c r="AZ51" s="55" t="s">
        <v>256</v>
      </c>
      <c r="BA51" s="51" t="s">
        <v>262</v>
      </c>
      <c r="BC51" s="54">
        <f>AW51+AX51</f>
        <v>0</v>
      </c>
      <c r="BD51" s="54">
        <f>H51/(100-BE51)*100</f>
        <v>0</v>
      </c>
      <c r="BE51" s="54">
        <v>0</v>
      </c>
      <c r="BF51" s="54">
        <f>51</f>
        <v>51</v>
      </c>
      <c r="BH51" s="33">
        <f>G51*AO51</f>
        <v>0</v>
      </c>
      <c r="BI51" s="33">
        <f>G51*AP51</f>
        <v>0</v>
      </c>
      <c r="BJ51" s="33">
        <f>G51*H51</f>
        <v>0</v>
      </c>
    </row>
    <row r="52" spans="3:8" ht="12.75">
      <c r="C52" s="113" t="s">
        <v>172</v>
      </c>
      <c r="D52" s="114"/>
      <c r="E52" s="114"/>
      <c r="G52" s="34">
        <v>280</v>
      </c>
      <c r="H52" s="42"/>
    </row>
    <row r="53" spans="1:62" ht="12.75">
      <c r="A53" s="25" t="s">
        <v>78</v>
      </c>
      <c r="B53" s="25" t="s">
        <v>111</v>
      </c>
      <c r="C53" s="117" t="s">
        <v>173</v>
      </c>
      <c r="D53" s="118"/>
      <c r="E53" s="118"/>
      <c r="F53" s="25" t="s">
        <v>219</v>
      </c>
      <c r="G53" s="33">
        <v>1021</v>
      </c>
      <c r="H53" s="41">
        <v>0</v>
      </c>
      <c r="I53" s="33">
        <f>G53*AO53</f>
        <v>0</v>
      </c>
      <c r="J53" s="33">
        <f>G53*AP53</f>
        <v>0</v>
      </c>
      <c r="K53" s="33">
        <f>G53*H53</f>
        <v>0</v>
      </c>
      <c r="L53" s="52" t="s">
        <v>233</v>
      </c>
      <c r="Z53" s="54">
        <f>IF(AQ53="5",BJ53,0)</f>
        <v>0</v>
      </c>
      <c r="AB53" s="54">
        <f>IF(AQ53="1",BH53,0)</f>
        <v>0</v>
      </c>
      <c r="AC53" s="54">
        <f>IF(AQ53="1",BI53,0)</f>
        <v>0</v>
      </c>
      <c r="AD53" s="54">
        <f>IF(AQ53="7",BH53,0)</f>
        <v>0</v>
      </c>
      <c r="AE53" s="54">
        <f>IF(AQ53="7",BI53,0)</f>
        <v>0</v>
      </c>
      <c r="AF53" s="54">
        <f>IF(AQ53="2",BH53,0)</f>
        <v>0</v>
      </c>
      <c r="AG53" s="54">
        <f>IF(AQ53="2",BI53,0)</f>
        <v>0</v>
      </c>
      <c r="AH53" s="54">
        <f>IF(AQ53="0",BJ53,0)</f>
        <v>0</v>
      </c>
      <c r="AI53" s="51"/>
      <c r="AJ53" s="33">
        <f>IF(AN53=0,K53,0)</f>
        <v>0</v>
      </c>
      <c r="AK53" s="33">
        <f>IF(AN53=15,K53,0)</f>
        <v>0</v>
      </c>
      <c r="AL53" s="33">
        <f>IF(AN53=21,K53,0)</f>
        <v>0</v>
      </c>
      <c r="AN53" s="54">
        <v>21</v>
      </c>
      <c r="AO53" s="54">
        <f>H53*0</f>
        <v>0</v>
      </c>
      <c r="AP53" s="54">
        <f>H53*(1-0)</f>
        <v>0</v>
      </c>
      <c r="AQ53" s="52" t="s">
        <v>60</v>
      </c>
      <c r="AV53" s="54">
        <f>AW53+AX53</f>
        <v>0</v>
      </c>
      <c r="AW53" s="54">
        <f>G53*AO53</f>
        <v>0</v>
      </c>
      <c r="AX53" s="54">
        <f>G53*AP53</f>
        <v>0</v>
      </c>
      <c r="AY53" s="55" t="s">
        <v>246</v>
      </c>
      <c r="AZ53" s="55" t="s">
        <v>256</v>
      </c>
      <c r="BA53" s="51" t="s">
        <v>262</v>
      </c>
      <c r="BC53" s="54">
        <f>AW53+AX53</f>
        <v>0</v>
      </c>
      <c r="BD53" s="54">
        <f>H53/(100-BE53)*100</f>
        <v>0</v>
      </c>
      <c r="BE53" s="54">
        <v>0</v>
      </c>
      <c r="BF53" s="54">
        <f>53</f>
        <v>53</v>
      </c>
      <c r="BH53" s="33">
        <f>G53*AO53</f>
        <v>0</v>
      </c>
      <c r="BI53" s="33">
        <f>G53*AP53</f>
        <v>0</v>
      </c>
      <c r="BJ53" s="33">
        <f>G53*H53</f>
        <v>0</v>
      </c>
    </row>
    <row r="54" spans="3:8" ht="12.75">
      <c r="C54" s="113" t="s">
        <v>174</v>
      </c>
      <c r="D54" s="114"/>
      <c r="E54" s="114"/>
      <c r="G54" s="34">
        <v>1021</v>
      </c>
      <c r="H54" s="42"/>
    </row>
    <row r="55" spans="1:47" ht="12.75">
      <c r="A55" s="24"/>
      <c r="B55" s="31" t="s">
        <v>112</v>
      </c>
      <c r="C55" s="109" t="s">
        <v>175</v>
      </c>
      <c r="D55" s="110"/>
      <c r="E55" s="110"/>
      <c r="F55" s="24" t="s">
        <v>59</v>
      </c>
      <c r="G55" s="24" t="s">
        <v>59</v>
      </c>
      <c r="H55" s="40" t="s">
        <v>59</v>
      </c>
      <c r="I55" s="57">
        <f>SUM(I56:I56)</f>
        <v>0</v>
      </c>
      <c r="J55" s="57">
        <f>SUM(J56:J56)</f>
        <v>0</v>
      </c>
      <c r="K55" s="57">
        <f>SUM(K56:K56)</f>
        <v>0</v>
      </c>
      <c r="L55" s="51"/>
      <c r="AI55" s="51"/>
      <c r="AS55" s="57">
        <f>SUM(AJ56:AJ56)</f>
        <v>0</v>
      </c>
      <c r="AT55" s="57">
        <f>SUM(AK56:AK56)</f>
        <v>0</v>
      </c>
      <c r="AU55" s="57">
        <f>SUM(AL56:AL56)</f>
        <v>0</v>
      </c>
    </row>
    <row r="56" spans="1:62" ht="12.75">
      <c r="A56" s="25" t="s">
        <v>79</v>
      </c>
      <c r="B56" s="25" t="s">
        <v>113</v>
      </c>
      <c r="C56" s="117" t="s">
        <v>176</v>
      </c>
      <c r="D56" s="118"/>
      <c r="E56" s="118"/>
      <c r="F56" s="25" t="s">
        <v>221</v>
      </c>
      <c r="G56" s="33">
        <v>158.75</v>
      </c>
      <c r="H56" s="41">
        <v>0</v>
      </c>
      <c r="I56" s="33">
        <f>G56*AO56</f>
        <v>0</v>
      </c>
      <c r="J56" s="33">
        <f>G56*AP56</f>
        <v>0</v>
      </c>
      <c r="K56" s="33">
        <f>G56*H56</f>
        <v>0</v>
      </c>
      <c r="L56" s="52" t="s">
        <v>233</v>
      </c>
      <c r="Z56" s="54">
        <f>IF(AQ56="5",BJ56,0)</f>
        <v>0</v>
      </c>
      <c r="AB56" s="54">
        <f>IF(AQ56="1",BH56,0)</f>
        <v>0</v>
      </c>
      <c r="AC56" s="54">
        <f>IF(AQ56="1",BI56,0)</f>
        <v>0</v>
      </c>
      <c r="AD56" s="54">
        <f>IF(AQ56="7",BH56,0)</f>
        <v>0</v>
      </c>
      <c r="AE56" s="54">
        <f>IF(AQ56="7",BI56,0)</f>
        <v>0</v>
      </c>
      <c r="AF56" s="54">
        <f>IF(AQ56="2",BH56,0)</f>
        <v>0</v>
      </c>
      <c r="AG56" s="54">
        <f>IF(AQ56="2",BI56,0)</f>
        <v>0</v>
      </c>
      <c r="AH56" s="54">
        <f>IF(AQ56="0",BJ56,0)</f>
        <v>0</v>
      </c>
      <c r="AI56" s="51"/>
      <c r="AJ56" s="33">
        <f>IF(AN56=0,K56,0)</f>
        <v>0</v>
      </c>
      <c r="AK56" s="33">
        <f>IF(AN56=15,K56,0)</f>
        <v>0</v>
      </c>
      <c r="AL56" s="33">
        <f>IF(AN56=21,K56,0)</f>
        <v>0</v>
      </c>
      <c r="AN56" s="54">
        <v>21</v>
      </c>
      <c r="AO56" s="54">
        <f>H56*0.904558441558442</f>
        <v>0</v>
      </c>
      <c r="AP56" s="54">
        <f>H56*(1-0.904558441558442)</f>
        <v>0</v>
      </c>
      <c r="AQ56" s="52" t="s">
        <v>60</v>
      </c>
      <c r="AV56" s="54">
        <f>AW56+AX56</f>
        <v>0</v>
      </c>
      <c r="AW56" s="54">
        <f>G56*AO56</f>
        <v>0</v>
      </c>
      <c r="AX56" s="54">
        <f>G56*AP56</f>
        <v>0</v>
      </c>
      <c r="AY56" s="55" t="s">
        <v>247</v>
      </c>
      <c r="AZ56" s="55" t="s">
        <v>257</v>
      </c>
      <c r="BA56" s="51" t="s">
        <v>262</v>
      </c>
      <c r="BC56" s="54">
        <f>AW56+AX56</f>
        <v>0</v>
      </c>
      <c r="BD56" s="54">
        <f>H56/(100-BE56)*100</f>
        <v>0</v>
      </c>
      <c r="BE56" s="54">
        <v>0</v>
      </c>
      <c r="BF56" s="54">
        <f>56</f>
        <v>56</v>
      </c>
      <c r="BH56" s="33">
        <f>G56*AO56</f>
        <v>0</v>
      </c>
      <c r="BI56" s="33">
        <f>G56*AP56</f>
        <v>0</v>
      </c>
      <c r="BJ56" s="33">
        <f>G56*H56</f>
        <v>0</v>
      </c>
    </row>
    <row r="57" spans="3:8" ht="12.75">
      <c r="C57" s="113" t="s">
        <v>177</v>
      </c>
      <c r="D57" s="114"/>
      <c r="E57" s="114"/>
      <c r="G57" s="34">
        <v>158.75</v>
      </c>
      <c r="H57" s="42"/>
    </row>
    <row r="58" spans="1:47" ht="12.75">
      <c r="A58" s="24"/>
      <c r="B58" s="31" t="s">
        <v>114</v>
      </c>
      <c r="C58" s="109" t="s">
        <v>178</v>
      </c>
      <c r="D58" s="110"/>
      <c r="E58" s="110"/>
      <c r="F58" s="24" t="s">
        <v>59</v>
      </c>
      <c r="G58" s="24" t="s">
        <v>59</v>
      </c>
      <c r="H58" s="40" t="s">
        <v>59</v>
      </c>
      <c r="I58" s="57">
        <f>SUM(I59:I59)</f>
        <v>0</v>
      </c>
      <c r="J58" s="57">
        <f>SUM(J59:J59)</f>
        <v>0</v>
      </c>
      <c r="K58" s="57">
        <f>SUM(K59:K59)</f>
        <v>0</v>
      </c>
      <c r="L58" s="51"/>
      <c r="AI58" s="51"/>
      <c r="AS58" s="57">
        <f>SUM(AJ59:AJ59)</f>
        <v>0</v>
      </c>
      <c r="AT58" s="57">
        <f>SUM(AK59:AK59)</f>
        <v>0</v>
      </c>
      <c r="AU58" s="57">
        <f>SUM(AL59:AL59)</f>
        <v>0</v>
      </c>
    </row>
    <row r="59" spans="1:62" ht="12.75">
      <c r="A59" s="25" t="s">
        <v>80</v>
      </c>
      <c r="B59" s="25" t="s">
        <v>115</v>
      </c>
      <c r="C59" s="117" t="s">
        <v>179</v>
      </c>
      <c r="D59" s="118"/>
      <c r="E59" s="118"/>
      <c r="F59" s="25" t="s">
        <v>219</v>
      </c>
      <c r="G59" s="33">
        <v>386</v>
      </c>
      <c r="H59" s="41">
        <v>0</v>
      </c>
      <c r="I59" s="33">
        <f>G59*AO59</f>
        <v>0</v>
      </c>
      <c r="J59" s="33">
        <f>G59*AP59</f>
        <v>0</v>
      </c>
      <c r="K59" s="33">
        <f>G59*H59</f>
        <v>0</v>
      </c>
      <c r="L59" s="52" t="s">
        <v>233</v>
      </c>
      <c r="Z59" s="54">
        <f>IF(AQ59="5",BJ59,0)</f>
        <v>0</v>
      </c>
      <c r="AB59" s="54">
        <f>IF(AQ59="1",BH59,0)</f>
        <v>0</v>
      </c>
      <c r="AC59" s="54">
        <f>IF(AQ59="1",BI59,0)</f>
        <v>0</v>
      </c>
      <c r="AD59" s="54">
        <f>IF(AQ59="7",BH59,0)</f>
        <v>0</v>
      </c>
      <c r="AE59" s="54">
        <f>IF(AQ59="7",BI59,0)</f>
        <v>0</v>
      </c>
      <c r="AF59" s="54">
        <f>IF(AQ59="2",BH59,0)</f>
        <v>0</v>
      </c>
      <c r="AG59" s="54">
        <f>IF(AQ59="2",BI59,0)</f>
        <v>0</v>
      </c>
      <c r="AH59" s="54">
        <f>IF(AQ59="0",BJ59,0)</f>
        <v>0</v>
      </c>
      <c r="AI59" s="51"/>
      <c r="AJ59" s="33">
        <f>IF(AN59=0,K59,0)</f>
        <v>0</v>
      </c>
      <c r="AK59" s="33">
        <f>IF(AN59=15,K59,0)</f>
        <v>0</v>
      </c>
      <c r="AL59" s="33">
        <f>IF(AN59=21,K59,0)</f>
        <v>0</v>
      </c>
      <c r="AN59" s="54">
        <v>21</v>
      </c>
      <c r="AO59" s="54">
        <f>H59*0.486835940191552</f>
        <v>0</v>
      </c>
      <c r="AP59" s="54">
        <f>H59*(1-0.486835940191552)</f>
        <v>0</v>
      </c>
      <c r="AQ59" s="52" t="s">
        <v>60</v>
      </c>
      <c r="AV59" s="54">
        <f>AW59+AX59</f>
        <v>0</v>
      </c>
      <c r="AW59" s="54">
        <f>G59*AO59</f>
        <v>0</v>
      </c>
      <c r="AX59" s="54">
        <f>G59*AP59</f>
        <v>0</v>
      </c>
      <c r="AY59" s="55" t="s">
        <v>248</v>
      </c>
      <c r="AZ59" s="55" t="s">
        <v>258</v>
      </c>
      <c r="BA59" s="51" t="s">
        <v>262</v>
      </c>
      <c r="BC59" s="54">
        <f>AW59+AX59</f>
        <v>0</v>
      </c>
      <c r="BD59" s="54">
        <f>H59/(100-BE59)*100</f>
        <v>0</v>
      </c>
      <c r="BE59" s="54">
        <v>0</v>
      </c>
      <c r="BF59" s="54">
        <f>59</f>
        <v>59</v>
      </c>
      <c r="BH59" s="33">
        <f>G59*AO59</f>
        <v>0</v>
      </c>
      <c r="BI59" s="33">
        <f>G59*AP59</f>
        <v>0</v>
      </c>
      <c r="BJ59" s="33">
        <f>G59*H59</f>
        <v>0</v>
      </c>
    </row>
    <row r="60" spans="3:8" ht="12.75">
      <c r="C60" s="113" t="s">
        <v>180</v>
      </c>
      <c r="D60" s="114"/>
      <c r="E60" s="114"/>
      <c r="G60" s="34">
        <v>386</v>
      </c>
      <c r="H60" s="42"/>
    </row>
    <row r="61" spans="1:47" ht="12.75">
      <c r="A61" s="24"/>
      <c r="B61" s="31" t="s">
        <v>116</v>
      </c>
      <c r="C61" s="109" t="s">
        <v>181</v>
      </c>
      <c r="D61" s="110"/>
      <c r="E61" s="110"/>
      <c r="F61" s="24" t="s">
        <v>59</v>
      </c>
      <c r="G61" s="24" t="s">
        <v>59</v>
      </c>
      <c r="H61" s="40" t="s">
        <v>59</v>
      </c>
      <c r="I61" s="57">
        <f>SUM(I62:I64)</f>
        <v>0</v>
      </c>
      <c r="J61" s="57">
        <f>SUM(J62:J64)</f>
        <v>0</v>
      </c>
      <c r="K61" s="57">
        <f>SUM(K62:K64)</f>
        <v>0</v>
      </c>
      <c r="L61" s="51"/>
      <c r="AI61" s="51"/>
      <c r="AS61" s="57">
        <f>SUM(AJ62:AJ64)</f>
        <v>0</v>
      </c>
      <c r="AT61" s="57">
        <f>SUM(AK62:AK64)</f>
        <v>0</v>
      </c>
      <c r="AU61" s="57">
        <f>SUM(AL62:AL64)</f>
        <v>0</v>
      </c>
    </row>
    <row r="62" spans="1:62" ht="12.75">
      <c r="A62" s="25" t="s">
        <v>81</v>
      </c>
      <c r="B62" s="25" t="s">
        <v>117</v>
      </c>
      <c r="C62" s="117" t="s">
        <v>182</v>
      </c>
      <c r="D62" s="118"/>
      <c r="E62" s="118"/>
      <c r="F62" s="25" t="s">
        <v>222</v>
      </c>
      <c r="G62" s="33">
        <v>23</v>
      </c>
      <c r="H62" s="41">
        <v>0</v>
      </c>
      <c r="I62" s="33">
        <f>G62*AO62</f>
        <v>0</v>
      </c>
      <c r="J62" s="33">
        <f>G62*AP62</f>
        <v>0</v>
      </c>
      <c r="K62" s="33">
        <f>G62*H62</f>
        <v>0</v>
      </c>
      <c r="L62" s="52" t="s">
        <v>233</v>
      </c>
      <c r="Z62" s="54">
        <f>IF(AQ62="5",BJ62,0)</f>
        <v>0</v>
      </c>
      <c r="AB62" s="54">
        <f>IF(AQ62="1",BH62,0)</f>
        <v>0</v>
      </c>
      <c r="AC62" s="54">
        <f>IF(AQ62="1",BI62,0)</f>
        <v>0</v>
      </c>
      <c r="AD62" s="54">
        <f>IF(AQ62="7",BH62,0)</f>
        <v>0</v>
      </c>
      <c r="AE62" s="54">
        <f>IF(AQ62="7",BI62,0)</f>
        <v>0</v>
      </c>
      <c r="AF62" s="54">
        <f>IF(AQ62="2",BH62,0)</f>
        <v>0</v>
      </c>
      <c r="AG62" s="54">
        <f>IF(AQ62="2",BI62,0)</f>
        <v>0</v>
      </c>
      <c r="AH62" s="54">
        <f>IF(AQ62="0",BJ62,0)</f>
        <v>0</v>
      </c>
      <c r="AI62" s="51"/>
      <c r="AJ62" s="33">
        <f>IF(AN62=0,K62,0)</f>
        <v>0</v>
      </c>
      <c r="AK62" s="33">
        <f>IF(AN62=15,K62,0)</f>
        <v>0</v>
      </c>
      <c r="AL62" s="33">
        <f>IF(AN62=21,K62,0)</f>
        <v>0</v>
      </c>
      <c r="AN62" s="54">
        <v>21</v>
      </c>
      <c r="AO62" s="54">
        <f>H62*0.327000494545785</f>
        <v>0</v>
      </c>
      <c r="AP62" s="54">
        <f>H62*(1-0.327000494545785)</f>
        <v>0</v>
      </c>
      <c r="AQ62" s="52" t="s">
        <v>60</v>
      </c>
      <c r="AV62" s="54">
        <f>AW62+AX62</f>
        <v>0</v>
      </c>
      <c r="AW62" s="54">
        <f>G62*AO62</f>
        <v>0</v>
      </c>
      <c r="AX62" s="54">
        <f>G62*AP62</f>
        <v>0</v>
      </c>
      <c r="AY62" s="55" t="s">
        <v>249</v>
      </c>
      <c r="AZ62" s="55" t="s">
        <v>259</v>
      </c>
      <c r="BA62" s="51" t="s">
        <v>262</v>
      </c>
      <c r="BC62" s="54">
        <f>AW62+AX62</f>
        <v>0</v>
      </c>
      <c r="BD62" s="54">
        <f>H62/(100-BE62)*100</f>
        <v>0</v>
      </c>
      <c r="BE62" s="54">
        <v>0</v>
      </c>
      <c r="BF62" s="54">
        <f>62</f>
        <v>62</v>
      </c>
      <c r="BH62" s="33">
        <f>G62*AO62</f>
        <v>0</v>
      </c>
      <c r="BI62" s="33">
        <f>G62*AP62</f>
        <v>0</v>
      </c>
      <c r="BJ62" s="33">
        <f>G62*H62</f>
        <v>0</v>
      </c>
    </row>
    <row r="63" spans="3:8" ht="12.75">
      <c r="C63" s="113" t="s">
        <v>183</v>
      </c>
      <c r="D63" s="114"/>
      <c r="E63" s="114"/>
      <c r="G63" s="34">
        <v>23</v>
      </c>
      <c r="H63" s="42"/>
    </row>
    <row r="64" spans="1:62" ht="12.75">
      <c r="A64" s="25" t="s">
        <v>82</v>
      </c>
      <c r="B64" s="25" t="s">
        <v>118</v>
      </c>
      <c r="C64" s="117" t="s">
        <v>184</v>
      </c>
      <c r="D64" s="118"/>
      <c r="E64" s="118"/>
      <c r="F64" s="25" t="s">
        <v>222</v>
      </c>
      <c r="G64" s="33">
        <v>15</v>
      </c>
      <c r="H64" s="41">
        <v>0</v>
      </c>
      <c r="I64" s="33">
        <f>G64*AO64</f>
        <v>0</v>
      </c>
      <c r="J64" s="33">
        <f>G64*AP64</f>
        <v>0</v>
      </c>
      <c r="K64" s="33">
        <f>G64*H64</f>
        <v>0</v>
      </c>
      <c r="L64" s="52" t="s">
        <v>233</v>
      </c>
      <c r="Z64" s="54">
        <f>IF(AQ64="5",BJ64,0)</f>
        <v>0</v>
      </c>
      <c r="AB64" s="54">
        <f>IF(AQ64="1",BH64,0)</f>
        <v>0</v>
      </c>
      <c r="AC64" s="54">
        <f>IF(AQ64="1",BI64,0)</f>
        <v>0</v>
      </c>
      <c r="AD64" s="54">
        <f>IF(AQ64="7",BH64,0)</f>
        <v>0</v>
      </c>
      <c r="AE64" s="54">
        <f>IF(AQ64="7",BI64,0)</f>
        <v>0</v>
      </c>
      <c r="AF64" s="54">
        <f>IF(AQ64="2",BH64,0)</f>
        <v>0</v>
      </c>
      <c r="AG64" s="54">
        <f>IF(AQ64="2",BI64,0)</f>
        <v>0</v>
      </c>
      <c r="AH64" s="54">
        <f>IF(AQ64="0",BJ64,0)</f>
        <v>0</v>
      </c>
      <c r="AI64" s="51"/>
      <c r="AJ64" s="33">
        <f>IF(AN64=0,K64,0)</f>
        <v>0</v>
      </c>
      <c r="AK64" s="33">
        <f>IF(AN64=15,K64,0)</f>
        <v>0</v>
      </c>
      <c r="AL64" s="33">
        <f>IF(AN64=21,K64,0)</f>
        <v>0</v>
      </c>
      <c r="AN64" s="54">
        <v>21</v>
      </c>
      <c r="AO64" s="54">
        <f>H64*0.465941164281274</f>
        <v>0</v>
      </c>
      <c r="AP64" s="54">
        <f>H64*(1-0.465941164281274)</f>
        <v>0</v>
      </c>
      <c r="AQ64" s="52" t="s">
        <v>60</v>
      </c>
      <c r="AV64" s="54">
        <f>AW64+AX64</f>
        <v>0</v>
      </c>
      <c r="AW64" s="54">
        <f>G64*AO64</f>
        <v>0</v>
      </c>
      <c r="AX64" s="54">
        <f>G64*AP64</f>
        <v>0</v>
      </c>
      <c r="AY64" s="55" t="s">
        <v>249</v>
      </c>
      <c r="AZ64" s="55" t="s">
        <v>259</v>
      </c>
      <c r="BA64" s="51" t="s">
        <v>262</v>
      </c>
      <c r="BC64" s="54">
        <f>AW64+AX64</f>
        <v>0</v>
      </c>
      <c r="BD64" s="54">
        <f>H64/(100-BE64)*100</f>
        <v>0</v>
      </c>
      <c r="BE64" s="54">
        <v>0</v>
      </c>
      <c r="BF64" s="54">
        <f>64</f>
        <v>64</v>
      </c>
      <c r="BH64" s="33">
        <f>G64*AO64</f>
        <v>0</v>
      </c>
      <c r="BI64" s="33">
        <f>G64*AP64</f>
        <v>0</v>
      </c>
      <c r="BJ64" s="33">
        <f>G64*H64</f>
        <v>0</v>
      </c>
    </row>
    <row r="65" spans="3:8" ht="12.75">
      <c r="C65" s="113" t="s">
        <v>185</v>
      </c>
      <c r="D65" s="114"/>
      <c r="E65" s="114"/>
      <c r="G65" s="34">
        <v>15</v>
      </c>
      <c r="H65" s="42"/>
    </row>
    <row r="66" spans="1:47" ht="12.75">
      <c r="A66" s="24"/>
      <c r="B66" s="31" t="s">
        <v>119</v>
      </c>
      <c r="C66" s="109" t="s">
        <v>186</v>
      </c>
      <c r="D66" s="110"/>
      <c r="E66" s="110"/>
      <c r="F66" s="24" t="s">
        <v>59</v>
      </c>
      <c r="G66" s="24" t="s">
        <v>59</v>
      </c>
      <c r="H66" s="40" t="s">
        <v>59</v>
      </c>
      <c r="I66" s="57">
        <f>SUM(I67:I81)</f>
        <v>0</v>
      </c>
      <c r="J66" s="57">
        <f>SUM(J67:J81)</f>
        <v>0</v>
      </c>
      <c r="K66" s="57">
        <f>SUM(K67:K81)</f>
        <v>0</v>
      </c>
      <c r="L66" s="51"/>
      <c r="AI66" s="51"/>
      <c r="AS66" s="57">
        <f>SUM(AJ67:AJ81)</f>
        <v>0</v>
      </c>
      <c r="AT66" s="57">
        <f>SUM(AK67:AK81)</f>
        <v>0</v>
      </c>
      <c r="AU66" s="57">
        <f>SUM(AL67:AL81)</f>
        <v>0</v>
      </c>
    </row>
    <row r="67" spans="1:62" ht="12.75">
      <c r="A67" s="25" t="s">
        <v>83</v>
      </c>
      <c r="B67" s="25" t="s">
        <v>120</v>
      </c>
      <c r="C67" s="117" t="s">
        <v>187</v>
      </c>
      <c r="D67" s="118"/>
      <c r="E67" s="118"/>
      <c r="F67" s="25" t="s">
        <v>222</v>
      </c>
      <c r="G67" s="33">
        <v>284.9385</v>
      </c>
      <c r="H67" s="41">
        <v>0</v>
      </c>
      <c r="I67" s="33">
        <f>G67*AO67</f>
        <v>0</v>
      </c>
      <c r="J67" s="33">
        <f>G67*AP67</f>
        <v>0</v>
      </c>
      <c r="K67" s="33">
        <f>G67*H67</f>
        <v>0</v>
      </c>
      <c r="L67" s="52" t="s">
        <v>233</v>
      </c>
      <c r="Z67" s="54">
        <f>IF(AQ67="5",BJ67,0)</f>
        <v>0</v>
      </c>
      <c r="AB67" s="54">
        <f>IF(AQ67="1",BH67,0)</f>
        <v>0</v>
      </c>
      <c r="AC67" s="54">
        <f>IF(AQ67="1",BI67,0)</f>
        <v>0</v>
      </c>
      <c r="AD67" s="54">
        <f>IF(AQ67="7",BH67,0)</f>
        <v>0</v>
      </c>
      <c r="AE67" s="54">
        <f>IF(AQ67="7",BI67,0)</f>
        <v>0</v>
      </c>
      <c r="AF67" s="54">
        <f>IF(AQ67="2",BH67,0)</f>
        <v>0</v>
      </c>
      <c r="AG67" s="54">
        <f>IF(AQ67="2",BI67,0)</f>
        <v>0</v>
      </c>
      <c r="AH67" s="54">
        <f>IF(AQ67="0",BJ67,0)</f>
        <v>0</v>
      </c>
      <c r="AI67" s="51"/>
      <c r="AJ67" s="33">
        <f>IF(AN67=0,K67,0)</f>
        <v>0</v>
      </c>
      <c r="AK67" s="33">
        <f>IF(AN67=15,K67,0)</f>
        <v>0</v>
      </c>
      <c r="AL67" s="33">
        <f>IF(AN67=21,K67,0)</f>
        <v>0</v>
      </c>
      <c r="AN67" s="54">
        <v>21</v>
      </c>
      <c r="AO67" s="54">
        <f>H67*0.789767386191836</f>
        <v>0</v>
      </c>
      <c r="AP67" s="54">
        <f>H67*(1-0.789767386191836)</f>
        <v>0</v>
      </c>
      <c r="AQ67" s="52" t="s">
        <v>60</v>
      </c>
      <c r="AV67" s="54">
        <f>AW67+AX67</f>
        <v>0</v>
      </c>
      <c r="AW67" s="54">
        <f>G67*AO67</f>
        <v>0</v>
      </c>
      <c r="AX67" s="54">
        <f>G67*AP67</f>
        <v>0</v>
      </c>
      <c r="AY67" s="55" t="s">
        <v>250</v>
      </c>
      <c r="AZ67" s="55" t="s">
        <v>260</v>
      </c>
      <c r="BA67" s="51" t="s">
        <v>262</v>
      </c>
      <c r="BC67" s="54">
        <f>AW67+AX67</f>
        <v>0</v>
      </c>
      <c r="BD67" s="54">
        <f>H67/(100-BE67)*100</f>
        <v>0</v>
      </c>
      <c r="BE67" s="54">
        <v>0</v>
      </c>
      <c r="BF67" s="54">
        <f>67</f>
        <v>67</v>
      </c>
      <c r="BH67" s="33">
        <f>G67*AO67</f>
        <v>0</v>
      </c>
      <c r="BI67" s="33">
        <f>G67*AP67</f>
        <v>0</v>
      </c>
      <c r="BJ67" s="33">
        <f>G67*H67</f>
        <v>0</v>
      </c>
    </row>
    <row r="68" spans="3:8" ht="12.75">
      <c r="C68" s="113" t="s">
        <v>188</v>
      </c>
      <c r="D68" s="114"/>
      <c r="E68" s="114"/>
      <c r="G68" s="34">
        <v>168.861</v>
      </c>
      <c r="H68" s="42"/>
    </row>
    <row r="69" spans="3:8" ht="12.75">
      <c r="C69" s="113" t="s">
        <v>189</v>
      </c>
      <c r="D69" s="114"/>
      <c r="E69" s="114"/>
      <c r="G69" s="34">
        <v>113.4</v>
      </c>
      <c r="H69" s="42"/>
    </row>
    <row r="70" spans="3:8" ht="12.75">
      <c r="C70" s="113" t="s">
        <v>190</v>
      </c>
      <c r="D70" s="114"/>
      <c r="E70" s="114"/>
      <c r="G70" s="34">
        <v>2.6775</v>
      </c>
      <c r="H70" s="42"/>
    </row>
    <row r="71" spans="1:62" ht="12.75">
      <c r="A71" s="25" t="s">
        <v>84</v>
      </c>
      <c r="B71" s="25" t="s">
        <v>121</v>
      </c>
      <c r="C71" s="117" t="s">
        <v>191</v>
      </c>
      <c r="D71" s="118"/>
      <c r="E71" s="118"/>
      <c r="F71" s="25" t="s">
        <v>221</v>
      </c>
      <c r="G71" s="33">
        <v>31.5222</v>
      </c>
      <c r="H71" s="41">
        <v>0</v>
      </c>
      <c r="I71" s="33">
        <f>G71*AO71</f>
        <v>0</v>
      </c>
      <c r="J71" s="33">
        <f>G71*AP71</f>
        <v>0</v>
      </c>
      <c r="K71" s="33">
        <f>G71*H71</f>
        <v>0</v>
      </c>
      <c r="L71" s="52" t="s">
        <v>233</v>
      </c>
      <c r="Z71" s="54">
        <f>IF(AQ71="5",BJ71,0)</f>
        <v>0</v>
      </c>
      <c r="AB71" s="54">
        <f>IF(AQ71="1",BH71,0)</f>
        <v>0</v>
      </c>
      <c r="AC71" s="54">
        <f>IF(AQ71="1",BI71,0)</f>
        <v>0</v>
      </c>
      <c r="AD71" s="54">
        <f>IF(AQ71="7",BH71,0)</f>
        <v>0</v>
      </c>
      <c r="AE71" s="54">
        <f>IF(AQ71="7",BI71,0)</f>
        <v>0</v>
      </c>
      <c r="AF71" s="54">
        <f>IF(AQ71="2",BH71,0)</f>
        <v>0</v>
      </c>
      <c r="AG71" s="54">
        <f>IF(AQ71="2",BI71,0)</f>
        <v>0</v>
      </c>
      <c r="AH71" s="54">
        <f>IF(AQ71="0",BJ71,0)</f>
        <v>0</v>
      </c>
      <c r="AI71" s="51"/>
      <c r="AJ71" s="33">
        <f>IF(AN71=0,K71,0)</f>
        <v>0</v>
      </c>
      <c r="AK71" s="33">
        <f>IF(AN71=15,K71,0)</f>
        <v>0</v>
      </c>
      <c r="AL71" s="33">
        <f>IF(AN71=21,K71,0)</f>
        <v>0</v>
      </c>
      <c r="AN71" s="54">
        <v>21</v>
      </c>
      <c r="AO71" s="54">
        <f>H71*0.780343396910033</f>
        <v>0</v>
      </c>
      <c r="AP71" s="54">
        <f>H71*(1-0.780343396910033)</f>
        <v>0</v>
      </c>
      <c r="AQ71" s="52" t="s">
        <v>60</v>
      </c>
      <c r="AV71" s="54">
        <f>AW71+AX71</f>
        <v>0</v>
      </c>
      <c r="AW71" s="54">
        <f>G71*AO71</f>
        <v>0</v>
      </c>
      <c r="AX71" s="54">
        <f>G71*AP71</f>
        <v>0</v>
      </c>
      <c r="AY71" s="55" t="s">
        <v>250</v>
      </c>
      <c r="AZ71" s="55" t="s">
        <v>260</v>
      </c>
      <c r="BA71" s="51" t="s">
        <v>262</v>
      </c>
      <c r="BC71" s="54">
        <f>AW71+AX71</f>
        <v>0</v>
      </c>
      <c r="BD71" s="54">
        <f>H71/(100-BE71)*100</f>
        <v>0</v>
      </c>
      <c r="BE71" s="54">
        <v>0</v>
      </c>
      <c r="BF71" s="54">
        <f>71</f>
        <v>71</v>
      </c>
      <c r="BH71" s="33">
        <f>G71*AO71</f>
        <v>0</v>
      </c>
      <c r="BI71" s="33">
        <f>G71*AP71</f>
        <v>0</v>
      </c>
      <c r="BJ71" s="33">
        <f>G71*H71</f>
        <v>0</v>
      </c>
    </row>
    <row r="72" spans="3:8" ht="12.75">
      <c r="C72" s="113" t="s">
        <v>192</v>
      </c>
      <c r="D72" s="114"/>
      <c r="E72" s="114"/>
      <c r="G72" s="34">
        <v>9.6492</v>
      </c>
      <c r="H72" s="42"/>
    </row>
    <row r="73" spans="3:8" ht="12.75">
      <c r="C73" s="113" t="s">
        <v>193</v>
      </c>
      <c r="D73" s="114"/>
      <c r="E73" s="114"/>
      <c r="G73" s="34">
        <v>6.48</v>
      </c>
      <c r="H73" s="42"/>
    </row>
    <row r="74" spans="3:8" ht="12.75">
      <c r="C74" s="113" t="s">
        <v>194</v>
      </c>
      <c r="D74" s="114"/>
      <c r="E74" s="114"/>
      <c r="G74" s="34">
        <v>0.153</v>
      </c>
      <c r="H74" s="42"/>
    </row>
    <row r="75" spans="3:8" ht="12.75">
      <c r="C75" s="113" t="s">
        <v>195</v>
      </c>
      <c r="D75" s="114"/>
      <c r="E75" s="114"/>
      <c r="G75" s="34">
        <v>13.38</v>
      </c>
      <c r="H75" s="42"/>
    </row>
    <row r="76" spans="3:8" ht="12.75">
      <c r="C76" s="113" t="s">
        <v>196</v>
      </c>
      <c r="D76" s="114"/>
      <c r="E76" s="114"/>
      <c r="G76" s="34">
        <v>1.86</v>
      </c>
      <c r="H76" s="42"/>
    </row>
    <row r="77" spans="1:62" ht="12.75">
      <c r="A77" s="25" t="s">
        <v>85</v>
      </c>
      <c r="B77" s="25" t="s">
        <v>122</v>
      </c>
      <c r="C77" s="117" t="s">
        <v>197</v>
      </c>
      <c r="D77" s="118"/>
      <c r="E77" s="118"/>
      <c r="F77" s="25" t="s">
        <v>222</v>
      </c>
      <c r="G77" s="33">
        <v>16.275</v>
      </c>
      <c r="H77" s="41">
        <v>0</v>
      </c>
      <c r="I77" s="33">
        <f>G77*AO77</f>
        <v>0</v>
      </c>
      <c r="J77" s="33">
        <f>G77*AP77</f>
        <v>0</v>
      </c>
      <c r="K77" s="33">
        <f>G77*H77</f>
        <v>0</v>
      </c>
      <c r="L77" s="52" t="s">
        <v>233</v>
      </c>
      <c r="Z77" s="54">
        <f>IF(AQ77="5",BJ77,0)</f>
        <v>0</v>
      </c>
      <c r="AB77" s="54">
        <f>IF(AQ77="1",BH77,0)</f>
        <v>0</v>
      </c>
      <c r="AC77" s="54">
        <f>IF(AQ77="1",BI77,0)</f>
        <v>0</v>
      </c>
      <c r="AD77" s="54">
        <f>IF(AQ77="7",BH77,0)</f>
        <v>0</v>
      </c>
      <c r="AE77" s="54">
        <f>IF(AQ77="7",BI77,0)</f>
        <v>0</v>
      </c>
      <c r="AF77" s="54">
        <f>IF(AQ77="2",BH77,0)</f>
        <v>0</v>
      </c>
      <c r="AG77" s="54">
        <f>IF(AQ77="2",BI77,0)</f>
        <v>0</v>
      </c>
      <c r="AH77" s="54">
        <f>IF(AQ77="0",BJ77,0)</f>
        <v>0</v>
      </c>
      <c r="AI77" s="51"/>
      <c r="AJ77" s="33">
        <f>IF(AN77=0,K77,0)</f>
        <v>0</v>
      </c>
      <c r="AK77" s="33">
        <f>IF(AN77=15,K77,0)</f>
        <v>0</v>
      </c>
      <c r="AL77" s="33">
        <f>IF(AN77=21,K77,0)</f>
        <v>0</v>
      </c>
      <c r="AN77" s="54">
        <v>21</v>
      </c>
      <c r="AO77" s="54">
        <f>H77*0.628954262551662</f>
        <v>0</v>
      </c>
      <c r="AP77" s="54">
        <f>H77*(1-0.628954262551662)</f>
        <v>0</v>
      </c>
      <c r="AQ77" s="52" t="s">
        <v>60</v>
      </c>
      <c r="AV77" s="54">
        <f>AW77+AX77</f>
        <v>0</v>
      </c>
      <c r="AW77" s="54">
        <f>G77*AO77</f>
        <v>0</v>
      </c>
      <c r="AX77" s="54">
        <f>G77*AP77</f>
        <v>0</v>
      </c>
      <c r="AY77" s="55" t="s">
        <v>250</v>
      </c>
      <c r="AZ77" s="55" t="s">
        <v>260</v>
      </c>
      <c r="BA77" s="51" t="s">
        <v>262</v>
      </c>
      <c r="BC77" s="54">
        <f>AW77+AX77</f>
        <v>0</v>
      </c>
      <c r="BD77" s="54">
        <f>H77/(100-BE77)*100</f>
        <v>0</v>
      </c>
      <c r="BE77" s="54">
        <v>0</v>
      </c>
      <c r="BF77" s="54">
        <f>77</f>
        <v>77</v>
      </c>
      <c r="BH77" s="33">
        <f>G77*AO77</f>
        <v>0</v>
      </c>
      <c r="BI77" s="33">
        <f>G77*AP77</f>
        <v>0</v>
      </c>
      <c r="BJ77" s="33">
        <f>G77*H77</f>
        <v>0</v>
      </c>
    </row>
    <row r="78" spans="3:8" ht="12.75">
      <c r="C78" s="113" t="s">
        <v>198</v>
      </c>
      <c r="D78" s="114"/>
      <c r="E78" s="114"/>
      <c r="G78" s="34">
        <v>16.275</v>
      </c>
      <c r="H78" s="42"/>
    </row>
    <row r="79" spans="1:62" ht="12.75">
      <c r="A79" s="25" t="s">
        <v>86</v>
      </c>
      <c r="B79" s="25" t="s">
        <v>123</v>
      </c>
      <c r="C79" s="117" t="s">
        <v>199</v>
      </c>
      <c r="D79" s="118"/>
      <c r="E79" s="118"/>
      <c r="F79" s="25" t="s">
        <v>222</v>
      </c>
      <c r="G79" s="33">
        <v>117.075</v>
      </c>
      <c r="H79" s="41">
        <v>0</v>
      </c>
      <c r="I79" s="33">
        <f>G79*AO79</f>
        <v>0</v>
      </c>
      <c r="J79" s="33">
        <f>G79*AP79</f>
        <v>0</v>
      </c>
      <c r="K79" s="33">
        <f>G79*H79</f>
        <v>0</v>
      </c>
      <c r="L79" s="52" t="s">
        <v>233</v>
      </c>
      <c r="Z79" s="54">
        <f>IF(AQ79="5",BJ79,0)</f>
        <v>0</v>
      </c>
      <c r="AB79" s="54">
        <f>IF(AQ79="1",BH79,0)</f>
        <v>0</v>
      </c>
      <c r="AC79" s="54">
        <f>IF(AQ79="1",BI79,0)</f>
        <v>0</v>
      </c>
      <c r="AD79" s="54">
        <f>IF(AQ79="7",BH79,0)</f>
        <v>0</v>
      </c>
      <c r="AE79" s="54">
        <f>IF(AQ79="7",BI79,0)</f>
        <v>0</v>
      </c>
      <c r="AF79" s="54">
        <f>IF(AQ79="2",BH79,0)</f>
        <v>0</v>
      </c>
      <c r="AG79" s="54">
        <f>IF(AQ79="2",BI79,0)</f>
        <v>0</v>
      </c>
      <c r="AH79" s="54">
        <f>IF(AQ79="0",BJ79,0)</f>
        <v>0</v>
      </c>
      <c r="AI79" s="51"/>
      <c r="AJ79" s="33">
        <f>IF(AN79=0,K79,0)</f>
        <v>0</v>
      </c>
      <c r="AK79" s="33">
        <f>IF(AN79=15,K79,0)</f>
        <v>0</v>
      </c>
      <c r="AL79" s="33">
        <f>IF(AN79=21,K79,0)</f>
        <v>0</v>
      </c>
      <c r="AN79" s="54">
        <v>21</v>
      </c>
      <c r="AO79" s="54">
        <f>H79*0.72106641000551</f>
        <v>0</v>
      </c>
      <c r="AP79" s="54">
        <f>H79*(1-0.72106641000551)</f>
        <v>0</v>
      </c>
      <c r="AQ79" s="52" t="s">
        <v>60</v>
      </c>
      <c r="AV79" s="54">
        <f>AW79+AX79</f>
        <v>0</v>
      </c>
      <c r="AW79" s="54">
        <f>G79*AO79</f>
        <v>0</v>
      </c>
      <c r="AX79" s="54">
        <f>G79*AP79</f>
        <v>0</v>
      </c>
      <c r="AY79" s="55" t="s">
        <v>250</v>
      </c>
      <c r="AZ79" s="55" t="s">
        <v>260</v>
      </c>
      <c r="BA79" s="51" t="s">
        <v>262</v>
      </c>
      <c r="BC79" s="54">
        <f>AW79+AX79</f>
        <v>0</v>
      </c>
      <c r="BD79" s="54">
        <f>H79/(100-BE79)*100</f>
        <v>0</v>
      </c>
      <c r="BE79" s="54">
        <v>0</v>
      </c>
      <c r="BF79" s="54">
        <f>79</f>
        <v>79</v>
      </c>
      <c r="BH79" s="33">
        <f>G79*AO79</f>
        <v>0</v>
      </c>
      <c r="BI79" s="33">
        <f>G79*AP79</f>
        <v>0</v>
      </c>
      <c r="BJ79" s="33">
        <f>G79*H79</f>
        <v>0</v>
      </c>
    </row>
    <row r="80" spans="3:8" ht="12.75">
      <c r="C80" s="113" t="s">
        <v>200</v>
      </c>
      <c r="D80" s="114"/>
      <c r="E80" s="114"/>
      <c r="G80" s="34">
        <v>117.075</v>
      </c>
      <c r="H80" s="42"/>
    </row>
    <row r="81" spans="1:62" ht="12.75">
      <c r="A81" s="62" t="s">
        <v>87</v>
      </c>
      <c r="B81" s="62" t="s">
        <v>124</v>
      </c>
      <c r="C81" s="119" t="s">
        <v>201</v>
      </c>
      <c r="D81" s="118"/>
      <c r="E81" s="120"/>
      <c r="F81" s="62" t="s">
        <v>218</v>
      </c>
      <c r="G81" s="64">
        <v>1837.5588</v>
      </c>
      <c r="H81" s="41">
        <v>0</v>
      </c>
      <c r="I81" s="64">
        <f>G81*AO81</f>
        <v>0</v>
      </c>
      <c r="J81" s="64">
        <f>G81*AP81</f>
        <v>0</v>
      </c>
      <c r="K81" s="64">
        <f>G81*H81</f>
        <v>0</v>
      </c>
      <c r="L81" s="59" t="s">
        <v>233</v>
      </c>
      <c r="Z81" s="54">
        <f>IF(AQ81="5",BJ81,0)</f>
        <v>0</v>
      </c>
      <c r="AB81" s="54">
        <f>IF(AQ81="1",BH81,0)</f>
        <v>0</v>
      </c>
      <c r="AC81" s="54">
        <f>IF(AQ81="1",BI81,0)</f>
        <v>0</v>
      </c>
      <c r="AD81" s="54">
        <f>IF(AQ81="7",BH81,0)</f>
        <v>0</v>
      </c>
      <c r="AE81" s="54">
        <f>IF(AQ81="7",BI81,0)</f>
        <v>0</v>
      </c>
      <c r="AF81" s="54">
        <f>IF(AQ81="2",BH81,0)</f>
        <v>0</v>
      </c>
      <c r="AG81" s="54">
        <f>IF(AQ81="2",BI81,0)</f>
        <v>0</v>
      </c>
      <c r="AH81" s="54">
        <f>IF(AQ81="0",BJ81,0)</f>
        <v>0</v>
      </c>
      <c r="AI81" s="51"/>
      <c r="AJ81" s="33">
        <f>IF(AN81=0,K81,0)</f>
        <v>0</v>
      </c>
      <c r="AK81" s="33">
        <f>IF(AN81=15,K81,0)</f>
        <v>0</v>
      </c>
      <c r="AL81" s="33">
        <f>IF(AN81=21,K81,0)</f>
        <v>0</v>
      </c>
      <c r="AN81" s="54">
        <v>21</v>
      </c>
      <c r="AO81" s="54">
        <f>H81*0.409047634594554</f>
        <v>0</v>
      </c>
      <c r="AP81" s="54">
        <f>H81*(1-0.409047634594554)</f>
        <v>0</v>
      </c>
      <c r="AQ81" s="52" t="s">
        <v>60</v>
      </c>
      <c r="AV81" s="54">
        <f>AW81+AX81</f>
        <v>0</v>
      </c>
      <c r="AW81" s="54">
        <f>G81*AO81</f>
        <v>0</v>
      </c>
      <c r="AX81" s="54">
        <f>G81*AP81</f>
        <v>0</v>
      </c>
      <c r="AY81" s="55" t="s">
        <v>250</v>
      </c>
      <c r="AZ81" s="55" t="s">
        <v>260</v>
      </c>
      <c r="BA81" s="51" t="s">
        <v>262</v>
      </c>
      <c r="BC81" s="54">
        <f>AW81+AX81</f>
        <v>0</v>
      </c>
      <c r="BD81" s="54">
        <f>H81/(100-BE81)*100</f>
        <v>0</v>
      </c>
      <c r="BE81" s="54">
        <v>0</v>
      </c>
      <c r="BF81" s="54">
        <f>81</f>
        <v>81</v>
      </c>
      <c r="BH81" s="33">
        <f>G81*AO81</f>
        <v>0</v>
      </c>
      <c r="BI81" s="33">
        <f>G81*AP81</f>
        <v>0</v>
      </c>
      <c r="BJ81" s="33">
        <f>G81*H81</f>
        <v>0</v>
      </c>
    </row>
    <row r="82" spans="1:12" ht="12.75">
      <c r="A82" s="66"/>
      <c r="B82" s="66"/>
      <c r="C82" s="121" t="s">
        <v>202</v>
      </c>
      <c r="D82" s="114"/>
      <c r="E82" s="122"/>
      <c r="F82" s="66"/>
      <c r="G82" s="67">
        <v>1786.2264</v>
      </c>
      <c r="H82" s="42"/>
      <c r="I82" s="66"/>
      <c r="J82" s="66"/>
      <c r="K82" s="66"/>
      <c r="L82" s="60"/>
    </row>
    <row r="83" spans="1:12" ht="12.75">
      <c r="A83" s="63"/>
      <c r="B83" s="63"/>
      <c r="C83" s="123" t="s">
        <v>203</v>
      </c>
      <c r="D83" s="114"/>
      <c r="E83" s="124"/>
      <c r="F83" s="63"/>
      <c r="G83" s="65">
        <v>51.3324</v>
      </c>
      <c r="H83" s="42"/>
      <c r="I83" s="63"/>
      <c r="J83" s="63"/>
      <c r="K83" s="63"/>
      <c r="L83" s="61"/>
    </row>
    <row r="84" spans="1:47" ht="12.75">
      <c r="A84" s="24"/>
      <c r="B84" s="31" t="s">
        <v>125</v>
      </c>
      <c r="C84" s="109" t="s">
        <v>204</v>
      </c>
      <c r="D84" s="110"/>
      <c r="E84" s="110"/>
      <c r="F84" s="24" t="s">
        <v>59</v>
      </c>
      <c r="G84" s="24" t="s">
        <v>59</v>
      </c>
      <c r="H84" s="40" t="s">
        <v>59</v>
      </c>
      <c r="I84" s="57">
        <f>SUM(I85:I85)</f>
        <v>0</v>
      </c>
      <c r="J84" s="57">
        <f>SUM(J85:J85)</f>
        <v>0</v>
      </c>
      <c r="K84" s="57">
        <f>SUM(K85:K85)</f>
        <v>0</v>
      </c>
      <c r="L84" s="51"/>
      <c r="AI84" s="51"/>
      <c r="AS84" s="57">
        <f>SUM(AJ85:AJ85)</f>
        <v>0</v>
      </c>
      <c r="AT84" s="57">
        <f>SUM(AK85:AK85)</f>
        <v>0</v>
      </c>
      <c r="AU84" s="57">
        <f>SUM(AL85:AL85)</f>
        <v>0</v>
      </c>
    </row>
    <row r="85" spans="1:62" ht="12.75">
      <c r="A85" s="25" t="s">
        <v>88</v>
      </c>
      <c r="B85" s="25" t="s">
        <v>126</v>
      </c>
      <c r="C85" s="117" t="s">
        <v>205</v>
      </c>
      <c r="D85" s="118"/>
      <c r="E85" s="118"/>
      <c r="F85" s="25" t="s">
        <v>218</v>
      </c>
      <c r="G85" s="33">
        <v>4</v>
      </c>
      <c r="H85" s="41">
        <v>0</v>
      </c>
      <c r="I85" s="33">
        <f>G85*AO85</f>
        <v>0</v>
      </c>
      <c r="J85" s="33">
        <f>G85*AP85</f>
        <v>0</v>
      </c>
      <c r="K85" s="33">
        <f>G85*H85</f>
        <v>0</v>
      </c>
      <c r="L85" s="52" t="s">
        <v>233</v>
      </c>
      <c r="Z85" s="54">
        <f>IF(AQ85="5",BJ85,0)</f>
        <v>0</v>
      </c>
      <c r="AB85" s="54">
        <f>IF(AQ85="1",BH85,0)</f>
        <v>0</v>
      </c>
      <c r="AC85" s="54">
        <f>IF(AQ85="1",BI85,0)</f>
        <v>0</v>
      </c>
      <c r="AD85" s="54">
        <f>IF(AQ85="7",BH85,0)</f>
        <v>0</v>
      </c>
      <c r="AE85" s="54">
        <f>IF(AQ85="7",BI85,0)</f>
        <v>0</v>
      </c>
      <c r="AF85" s="54">
        <f>IF(AQ85="2",BH85,0)</f>
        <v>0</v>
      </c>
      <c r="AG85" s="54">
        <f>IF(AQ85="2",BI85,0)</f>
        <v>0</v>
      </c>
      <c r="AH85" s="54">
        <f>IF(AQ85="0",BJ85,0)</f>
        <v>0</v>
      </c>
      <c r="AI85" s="51"/>
      <c r="AJ85" s="33">
        <f>IF(AN85=0,K85,0)</f>
        <v>0</v>
      </c>
      <c r="AK85" s="33">
        <f>IF(AN85=15,K85,0)</f>
        <v>0</v>
      </c>
      <c r="AL85" s="33">
        <f>IF(AN85=21,K85,0)</f>
        <v>0</v>
      </c>
      <c r="AN85" s="54">
        <v>21</v>
      </c>
      <c r="AO85" s="54">
        <f>H85*0.909866181818182</f>
        <v>0</v>
      </c>
      <c r="AP85" s="54">
        <f>H85*(1-0.909866181818182)</f>
        <v>0</v>
      </c>
      <c r="AQ85" s="52" t="s">
        <v>60</v>
      </c>
      <c r="AV85" s="54">
        <f>AW85+AX85</f>
        <v>0</v>
      </c>
      <c r="AW85" s="54">
        <f>G85*AO85</f>
        <v>0</v>
      </c>
      <c r="AX85" s="54">
        <f>G85*AP85</f>
        <v>0</v>
      </c>
      <c r="AY85" s="55" t="s">
        <v>251</v>
      </c>
      <c r="AZ85" s="55" t="s">
        <v>260</v>
      </c>
      <c r="BA85" s="51" t="s">
        <v>262</v>
      </c>
      <c r="BC85" s="54">
        <f>AW85+AX85</f>
        <v>0</v>
      </c>
      <c r="BD85" s="54">
        <f>H85/(100-BE85)*100</f>
        <v>0</v>
      </c>
      <c r="BE85" s="54">
        <v>0</v>
      </c>
      <c r="BF85" s="54">
        <f>85</f>
        <v>85</v>
      </c>
      <c r="BH85" s="33">
        <f>G85*AO85</f>
        <v>0</v>
      </c>
      <c r="BI85" s="33">
        <f>G85*AP85</f>
        <v>0</v>
      </c>
      <c r="BJ85" s="33">
        <f>G85*H85</f>
        <v>0</v>
      </c>
    </row>
    <row r="86" spans="3:8" ht="12.75">
      <c r="C86" s="113" t="s">
        <v>206</v>
      </c>
      <c r="D86" s="114"/>
      <c r="E86" s="114"/>
      <c r="G86" s="34">
        <v>4</v>
      </c>
      <c r="H86" s="42"/>
    </row>
    <row r="87" spans="1:47" ht="12.75">
      <c r="A87" s="24"/>
      <c r="B87" s="31" t="s">
        <v>127</v>
      </c>
      <c r="C87" s="109" t="s">
        <v>207</v>
      </c>
      <c r="D87" s="110"/>
      <c r="E87" s="110"/>
      <c r="F87" s="24" t="s">
        <v>59</v>
      </c>
      <c r="G87" s="24" t="s">
        <v>59</v>
      </c>
      <c r="H87" s="40" t="s">
        <v>59</v>
      </c>
      <c r="I87" s="57">
        <f>SUM(I88:I88)</f>
        <v>0</v>
      </c>
      <c r="J87" s="57">
        <f>SUM(J88:J88)</f>
        <v>0</v>
      </c>
      <c r="K87" s="57">
        <f>SUM(K88:K88)</f>
        <v>0</v>
      </c>
      <c r="L87" s="51"/>
      <c r="AI87" s="51"/>
      <c r="AS87" s="57">
        <f>SUM(AJ88:AJ88)</f>
        <v>0</v>
      </c>
      <c r="AT87" s="57">
        <f>SUM(AK88:AK88)</f>
        <v>0</v>
      </c>
      <c r="AU87" s="57">
        <f>SUM(AL88:AL88)</f>
        <v>0</v>
      </c>
    </row>
    <row r="88" spans="1:62" ht="12.75">
      <c r="A88" s="25" t="s">
        <v>89</v>
      </c>
      <c r="B88" s="25" t="s">
        <v>128</v>
      </c>
      <c r="C88" s="117" t="s">
        <v>208</v>
      </c>
      <c r="D88" s="118"/>
      <c r="E88" s="118"/>
      <c r="F88" s="25" t="s">
        <v>222</v>
      </c>
      <c r="G88" s="33">
        <v>75</v>
      </c>
      <c r="H88" s="41">
        <v>0</v>
      </c>
      <c r="I88" s="33">
        <f>G88*AO88</f>
        <v>0</v>
      </c>
      <c r="J88" s="33">
        <f>G88*AP88</f>
        <v>0</v>
      </c>
      <c r="K88" s="33">
        <f>G88*H88</f>
        <v>0</v>
      </c>
      <c r="L88" s="52" t="s">
        <v>233</v>
      </c>
      <c r="Z88" s="54">
        <f>IF(AQ88="5",BJ88,0)</f>
        <v>0</v>
      </c>
      <c r="AB88" s="54">
        <f>IF(AQ88="1",BH88,0)</f>
        <v>0</v>
      </c>
      <c r="AC88" s="54">
        <f>IF(AQ88="1",BI88,0)</f>
        <v>0</v>
      </c>
      <c r="AD88" s="54">
        <f>IF(AQ88="7",BH88,0)</f>
        <v>0</v>
      </c>
      <c r="AE88" s="54">
        <f>IF(AQ88="7",BI88,0)</f>
        <v>0</v>
      </c>
      <c r="AF88" s="54">
        <f>IF(AQ88="2",BH88,0)</f>
        <v>0</v>
      </c>
      <c r="AG88" s="54">
        <f>IF(AQ88="2",BI88,0)</f>
        <v>0</v>
      </c>
      <c r="AH88" s="54">
        <f>IF(AQ88="0",BJ88,0)</f>
        <v>0</v>
      </c>
      <c r="AI88" s="51"/>
      <c r="AJ88" s="33">
        <f>IF(AN88=0,K88,0)</f>
        <v>0</v>
      </c>
      <c r="AK88" s="33">
        <f>IF(AN88=15,K88,0)</f>
        <v>0</v>
      </c>
      <c r="AL88" s="33">
        <f>IF(AN88=21,K88,0)</f>
        <v>0</v>
      </c>
      <c r="AN88" s="54">
        <v>21</v>
      </c>
      <c r="AO88" s="54">
        <f>H88*0.712169312169312</f>
        <v>0</v>
      </c>
      <c r="AP88" s="54">
        <f>H88*(1-0.712169312169312)</f>
        <v>0</v>
      </c>
      <c r="AQ88" s="52" t="s">
        <v>61</v>
      </c>
      <c r="AV88" s="54">
        <f>AW88+AX88</f>
        <v>0</v>
      </c>
      <c r="AW88" s="54">
        <f>G88*AO88</f>
        <v>0</v>
      </c>
      <c r="AX88" s="54">
        <f>G88*AP88</f>
        <v>0</v>
      </c>
      <c r="AY88" s="55" t="s">
        <v>252</v>
      </c>
      <c r="AZ88" s="55" t="s">
        <v>260</v>
      </c>
      <c r="BA88" s="51" t="s">
        <v>262</v>
      </c>
      <c r="BC88" s="54">
        <f>AW88+AX88</f>
        <v>0</v>
      </c>
      <c r="BD88" s="54">
        <f>H88/(100-BE88)*100</f>
        <v>0</v>
      </c>
      <c r="BE88" s="54">
        <v>0</v>
      </c>
      <c r="BF88" s="54">
        <f>88</f>
        <v>88</v>
      </c>
      <c r="BH88" s="33">
        <f>G88*AO88</f>
        <v>0</v>
      </c>
      <c r="BI88" s="33">
        <f>G88*AP88</f>
        <v>0</v>
      </c>
      <c r="BJ88" s="33">
        <f>G88*H88</f>
        <v>0</v>
      </c>
    </row>
    <row r="89" spans="3:8" ht="12.75">
      <c r="C89" s="113" t="s">
        <v>209</v>
      </c>
      <c r="D89" s="114"/>
      <c r="E89" s="114"/>
      <c r="G89" s="34">
        <v>75</v>
      </c>
      <c r="H89" s="42"/>
    </row>
    <row r="90" spans="1:47" ht="12.75">
      <c r="A90" s="24"/>
      <c r="B90" s="31" t="s">
        <v>129</v>
      </c>
      <c r="C90" s="109" t="s">
        <v>210</v>
      </c>
      <c r="D90" s="110"/>
      <c r="E90" s="110"/>
      <c r="F90" s="24" t="s">
        <v>59</v>
      </c>
      <c r="G90" s="24" t="s">
        <v>59</v>
      </c>
      <c r="H90" s="40" t="s">
        <v>59</v>
      </c>
      <c r="I90" s="57">
        <f>SUM(I91:I91)</f>
        <v>0</v>
      </c>
      <c r="J90" s="57">
        <f>SUM(J91:J91)</f>
        <v>0</v>
      </c>
      <c r="K90" s="57">
        <f>SUM(K91:K91)</f>
        <v>0</v>
      </c>
      <c r="L90" s="51"/>
      <c r="AI90" s="51"/>
      <c r="AS90" s="57">
        <f>SUM(AJ91:AJ91)</f>
        <v>0</v>
      </c>
      <c r="AT90" s="57">
        <f>SUM(AK91:AK91)</f>
        <v>0</v>
      </c>
      <c r="AU90" s="57">
        <f>SUM(AL91:AL91)</f>
        <v>0</v>
      </c>
    </row>
    <row r="91" spans="1:62" ht="12.75">
      <c r="A91" s="25" t="s">
        <v>90</v>
      </c>
      <c r="B91" s="25" t="s">
        <v>130</v>
      </c>
      <c r="C91" s="117" t="s">
        <v>211</v>
      </c>
      <c r="D91" s="118"/>
      <c r="E91" s="118"/>
      <c r="F91" s="25" t="s">
        <v>219</v>
      </c>
      <c r="G91" s="33">
        <v>250</v>
      </c>
      <c r="H91" s="41">
        <v>0</v>
      </c>
      <c r="I91" s="33">
        <f>G91*AO91</f>
        <v>0</v>
      </c>
      <c r="J91" s="33">
        <f>G91*AP91</f>
        <v>0</v>
      </c>
      <c r="K91" s="33">
        <f>G91*H91</f>
        <v>0</v>
      </c>
      <c r="L91" s="52" t="s">
        <v>233</v>
      </c>
      <c r="Z91" s="54">
        <f>IF(AQ91="5",BJ91,0)</f>
        <v>0</v>
      </c>
      <c r="AB91" s="54">
        <f>IF(AQ91="1",BH91,0)</f>
        <v>0</v>
      </c>
      <c r="AC91" s="54">
        <f>IF(AQ91="1",BI91,0)</f>
        <v>0</v>
      </c>
      <c r="AD91" s="54">
        <f>IF(AQ91="7",BH91,0)</f>
        <v>0</v>
      </c>
      <c r="AE91" s="54">
        <f>IF(AQ91="7",BI91,0)</f>
        <v>0</v>
      </c>
      <c r="AF91" s="54">
        <f>IF(AQ91="2",BH91,0)</f>
        <v>0</v>
      </c>
      <c r="AG91" s="54">
        <f>IF(AQ91="2",BI91,0)</f>
        <v>0</v>
      </c>
      <c r="AH91" s="54">
        <f>IF(AQ91="0",BJ91,0)</f>
        <v>0</v>
      </c>
      <c r="AI91" s="51"/>
      <c r="AJ91" s="33">
        <f>IF(AN91=0,K91,0)</f>
        <v>0</v>
      </c>
      <c r="AK91" s="33">
        <f>IF(AN91=15,K91,0)</f>
        <v>0</v>
      </c>
      <c r="AL91" s="33">
        <f>IF(AN91=21,K91,0)</f>
        <v>0</v>
      </c>
      <c r="AN91" s="54">
        <v>21</v>
      </c>
      <c r="AO91" s="54">
        <f>H91*0.107758620689655</f>
        <v>0</v>
      </c>
      <c r="AP91" s="54">
        <f>H91*(1-0.107758620689655)</f>
        <v>0</v>
      </c>
      <c r="AQ91" s="52" t="s">
        <v>61</v>
      </c>
      <c r="AV91" s="54">
        <f>AW91+AX91</f>
        <v>0</v>
      </c>
      <c r="AW91" s="54">
        <f>G91*AO91</f>
        <v>0</v>
      </c>
      <c r="AX91" s="54">
        <f>G91*AP91</f>
        <v>0</v>
      </c>
      <c r="AY91" s="55" t="s">
        <v>253</v>
      </c>
      <c r="AZ91" s="55" t="s">
        <v>260</v>
      </c>
      <c r="BA91" s="51" t="s">
        <v>262</v>
      </c>
      <c r="BC91" s="54">
        <f>AW91+AX91</f>
        <v>0</v>
      </c>
      <c r="BD91" s="54">
        <f>H91/(100-BE91)*100</f>
        <v>0</v>
      </c>
      <c r="BE91" s="54">
        <v>0</v>
      </c>
      <c r="BF91" s="54">
        <f>91</f>
        <v>91</v>
      </c>
      <c r="BH91" s="33">
        <f>G91*AO91</f>
        <v>0</v>
      </c>
      <c r="BI91" s="33">
        <f>G91*AP91</f>
        <v>0</v>
      </c>
      <c r="BJ91" s="33">
        <f>G91*H91</f>
        <v>0</v>
      </c>
    </row>
    <row r="92" spans="3:8" ht="12.75">
      <c r="C92" s="113" t="s">
        <v>155</v>
      </c>
      <c r="D92" s="114"/>
      <c r="E92" s="114"/>
      <c r="G92" s="34">
        <v>250</v>
      </c>
      <c r="H92" s="42"/>
    </row>
    <row r="93" spans="1:47" ht="12.75">
      <c r="A93" s="24"/>
      <c r="B93" s="31"/>
      <c r="C93" s="109" t="s">
        <v>10</v>
      </c>
      <c r="D93" s="110"/>
      <c r="E93" s="110"/>
      <c r="F93" s="24" t="s">
        <v>59</v>
      </c>
      <c r="G93" s="24" t="s">
        <v>59</v>
      </c>
      <c r="H93" s="40" t="s">
        <v>59</v>
      </c>
      <c r="I93" s="57">
        <f>SUM(I94:I96)</f>
        <v>0</v>
      </c>
      <c r="J93" s="57">
        <f>SUM(J94:J96)</f>
        <v>0</v>
      </c>
      <c r="K93" s="57">
        <f>SUM(K94:K96)</f>
        <v>0</v>
      </c>
      <c r="L93" s="51"/>
      <c r="AI93" s="51"/>
      <c r="AS93" s="57">
        <f>SUM(AJ94:AJ96)</f>
        <v>0</v>
      </c>
      <c r="AT93" s="57">
        <f>SUM(AK94:AK96)</f>
        <v>0</v>
      </c>
      <c r="AU93" s="57">
        <f>SUM(AL94:AL96)</f>
        <v>0</v>
      </c>
    </row>
    <row r="94" spans="1:62" ht="12.75">
      <c r="A94" s="26" t="s">
        <v>91</v>
      </c>
      <c r="B94" s="26" t="s">
        <v>131</v>
      </c>
      <c r="C94" s="111" t="s">
        <v>212</v>
      </c>
      <c r="D94" s="112"/>
      <c r="E94" s="112"/>
      <c r="F94" s="26" t="s">
        <v>218</v>
      </c>
      <c r="G94" s="35">
        <v>16.275</v>
      </c>
      <c r="H94" s="43">
        <v>0</v>
      </c>
      <c r="I94" s="35">
        <f>G94*AO94</f>
        <v>0</v>
      </c>
      <c r="J94" s="35">
        <f>G94*AP94</f>
        <v>0</v>
      </c>
      <c r="K94" s="35">
        <f>G94*H94</f>
        <v>0</v>
      </c>
      <c r="L94" s="53" t="s">
        <v>233</v>
      </c>
      <c r="Z94" s="54">
        <f>IF(AQ94="5",BJ94,0)</f>
        <v>0</v>
      </c>
      <c r="AB94" s="54">
        <f>IF(AQ94="1",BH94,0)</f>
        <v>0</v>
      </c>
      <c r="AC94" s="54">
        <f>IF(AQ94="1",BI94,0)</f>
        <v>0</v>
      </c>
      <c r="AD94" s="54">
        <f>IF(AQ94="7",BH94,0)</f>
        <v>0</v>
      </c>
      <c r="AE94" s="54">
        <f>IF(AQ94="7",BI94,0)</f>
        <v>0</v>
      </c>
      <c r="AF94" s="54">
        <f>IF(AQ94="2",BH94,0)</f>
        <v>0</v>
      </c>
      <c r="AG94" s="54">
        <f>IF(AQ94="2",BI94,0)</f>
        <v>0</v>
      </c>
      <c r="AH94" s="54">
        <f>IF(AQ94="0",BJ94,0)</f>
        <v>0</v>
      </c>
      <c r="AI94" s="51"/>
      <c r="AJ94" s="35">
        <f>IF(AN94=0,K94,0)</f>
        <v>0</v>
      </c>
      <c r="AK94" s="35">
        <f>IF(AN94=15,K94,0)</f>
        <v>0</v>
      </c>
      <c r="AL94" s="35">
        <f>IF(AN94=21,K94,0)</f>
        <v>0</v>
      </c>
      <c r="AN94" s="54">
        <v>21</v>
      </c>
      <c r="AO94" s="54">
        <f>H94*1</f>
        <v>0</v>
      </c>
      <c r="AP94" s="54">
        <f>H94*(1-1)</f>
        <v>0</v>
      </c>
      <c r="AQ94" s="53" t="s">
        <v>93</v>
      </c>
      <c r="AV94" s="54">
        <f>AW94+AX94</f>
        <v>0</v>
      </c>
      <c r="AW94" s="54">
        <f>G94*AO94</f>
        <v>0</v>
      </c>
      <c r="AX94" s="54">
        <f>G94*AP94</f>
        <v>0</v>
      </c>
      <c r="AY94" s="55" t="s">
        <v>254</v>
      </c>
      <c r="AZ94" s="55" t="s">
        <v>261</v>
      </c>
      <c r="BA94" s="51" t="s">
        <v>262</v>
      </c>
      <c r="BC94" s="54">
        <f>AW94+AX94</f>
        <v>0</v>
      </c>
      <c r="BD94" s="54">
        <f>H94/(100-BE94)*100</f>
        <v>0</v>
      </c>
      <c r="BE94" s="54">
        <v>0</v>
      </c>
      <c r="BF94" s="54">
        <f>94</f>
        <v>94</v>
      </c>
      <c r="BH94" s="35">
        <f>G94*AO94</f>
        <v>0</v>
      </c>
      <c r="BI94" s="35">
        <f>G94*AP94</f>
        <v>0</v>
      </c>
      <c r="BJ94" s="35">
        <f>G94*H94</f>
        <v>0</v>
      </c>
    </row>
    <row r="95" spans="3:8" ht="12.75">
      <c r="C95" s="113" t="s">
        <v>213</v>
      </c>
      <c r="D95" s="114"/>
      <c r="E95" s="114"/>
      <c r="G95" s="34">
        <v>16.275</v>
      </c>
      <c r="H95" s="42"/>
    </row>
    <row r="96" spans="1:62" ht="12.75">
      <c r="A96" s="26" t="s">
        <v>56</v>
      </c>
      <c r="B96" s="26" t="s">
        <v>132</v>
      </c>
      <c r="C96" s="111" t="s">
        <v>214</v>
      </c>
      <c r="D96" s="112"/>
      <c r="E96" s="112"/>
      <c r="F96" s="26" t="s">
        <v>218</v>
      </c>
      <c r="G96" s="35">
        <v>1837.5588</v>
      </c>
      <c r="H96" s="43">
        <v>0</v>
      </c>
      <c r="I96" s="35">
        <f>G96*AO96</f>
        <v>0</v>
      </c>
      <c r="J96" s="35">
        <f>G96*AP96</f>
        <v>0</v>
      </c>
      <c r="K96" s="35">
        <f>G96*H96</f>
        <v>0</v>
      </c>
      <c r="L96" s="53" t="s">
        <v>233</v>
      </c>
      <c r="Z96" s="54">
        <f>IF(AQ96="5",BJ96,0)</f>
        <v>0</v>
      </c>
      <c r="AB96" s="54">
        <f>IF(AQ96="1",BH96,0)</f>
        <v>0</v>
      </c>
      <c r="AC96" s="54">
        <f>IF(AQ96="1",BI96,0)</f>
        <v>0</v>
      </c>
      <c r="AD96" s="54">
        <f>IF(AQ96="7",BH96,0)</f>
        <v>0</v>
      </c>
      <c r="AE96" s="54">
        <f>IF(AQ96="7",BI96,0)</f>
        <v>0</v>
      </c>
      <c r="AF96" s="54">
        <f>IF(AQ96="2",BH96,0)</f>
        <v>0</v>
      </c>
      <c r="AG96" s="54">
        <f>IF(AQ96="2",BI96,0)</f>
        <v>0</v>
      </c>
      <c r="AH96" s="54">
        <f>IF(AQ96="0",BJ96,0)</f>
        <v>0</v>
      </c>
      <c r="AI96" s="51"/>
      <c r="AJ96" s="35">
        <f>IF(AN96=0,K96,0)</f>
        <v>0</v>
      </c>
      <c r="AK96" s="35">
        <f>IF(AN96=15,K96,0)</f>
        <v>0</v>
      </c>
      <c r="AL96" s="35">
        <f>IF(AN96=21,K96,0)</f>
        <v>0</v>
      </c>
      <c r="AN96" s="54">
        <v>21</v>
      </c>
      <c r="AO96" s="54">
        <f>H96*1</f>
        <v>0</v>
      </c>
      <c r="AP96" s="54">
        <f>H96*(1-1)</f>
        <v>0</v>
      </c>
      <c r="AQ96" s="53" t="s">
        <v>93</v>
      </c>
      <c r="AV96" s="54">
        <f>AW96+AX96</f>
        <v>0</v>
      </c>
      <c r="AW96" s="54">
        <f>G96*AO96</f>
        <v>0</v>
      </c>
      <c r="AX96" s="54">
        <f>G96*AP96</f>
        <v>0</v>
      </c>
      <c r="AY96" s="55" t="s">
        <v>254</v>
      </c>
      <c r="AZ96" s="55" t="s">
        <v>261</v>
      </c>
      <c r="BA96" s="51" t="s">
        <v>262</v>
      </c>
      <c r="BC96" s="54">
        <f>AW96+AX96</f>
        <v>0</v>
      </c>
      <c r="BD96" s="54">
        <f>H96/(100-BE96)*100</f>
        <v>0</v>
      </c>
      <c r="BE96" s="54">
        <v>0</v>
      </c>
      <c r="BF96" s="54">
        <f>96</f>
        <v>96</v>
      </c>
      <c r="BH96" s="35">
        <f>G96*AO96</f>
        <v>0</v>
      </c>
      <c r="BI96" s="35">
        <f>G96*AP96</f>
        <v>0</v>
      </c>
      <c r="BJ96" s="35">
        <f>G96*H96</f>
        <v>0</v>
      </c>
    </row>
    <row r="97" spans="3:8" ht="12.75">
      <c r="C97" s="113" t="s">
        <v>202</v>
      </c>
      <c r="D97" s="114"/>
      <c r="E97" s="114"/>
      <c r="G97" s="34">
        <v>1786.2264</v>
      </c>
      <c r="H97" s="42"/>
    </row>
    <row r="98" spans="1:12" ht="12.75">
      <c r="A98" s="1"/>
      <c r="B98" s="1"/>
      <c r="C98" s="115" t="s">
        <v>203</v>
      </c>
      <c r="D98" s="116"/>
      <c r="E98" s="116"/>
      <c r="F98" s="1"/>
      <c r="G98" s="36">
        <v>51.3324</v>
      </c>
      <c r="H98" s="44"/>
      <c r="I98" s="1"/>
      <c r="J98" s="1"/>
      <c r="K98" s="1"/>
      <c r="L98" s="1"/>
    </row>
    <row r="99" spans="1:12" ht="12.75">
      <c r="A99" s="5"/>
      <c r="B99" s="5"/>
      <c r="C99" s="5"/>
      <c r="D99" s="5"/>
      <c r="E99" s="5"/>
      <c r="F99" s="5"/>
      <c r="G99" s="5"/>
      <c r="H99" s="5"/>
      <c r="I99" s="108" t="s">
        <v>229</v>
      </c>
      <c r="J99" s="104"/>
      <c r="K99" s="58">
        <f>K13+K20+K37+K50+K55+K58+K61+K66+K84+K87+K90+K93</f>
        <v>0</v>
      </c>
      <c r="L99" s="5"/>
    </row>
    <row r="100" ht="11.25" customHeight="1">
      <c r="A100" s="27" t="s">
        <v>18</v>
      </c>
    </row>
    <row r="101" spans="1:12" ht="12.75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</row>
  </sheetData>
  <sheetProtection password="C6EE" sheet="1" objects="1" scenarios="1"/>
  <mergeCells count="117">
    <mergeCell ref="A1:L1"/>
    <mergeCell ref="A2:B3"/>
    <mergeCell ref="C2:C3"/>
    <mergeCell ref="D2:E3"/>
    <mergeCell ref="F2:G3"/>
    <mergeCell ref="H2:H3"/>
    <mergeCell ref="I2:L3"/>
    <mergeCell ref="A4:B5"/>
    <mergeCell ref="C4:C5"/>
    <mergeCell ref="D4:E5"/>
    <mergeCell ref="F4:G5"/>
    <mergeCell ref="H4:H5"/>
    <mergeCell ref="I4:L5"/>
    <mergeCell ref="A6:B7"/>
    <mergeCell ref="C6:C7"/>
    <mergeCell ref="D6:E7"/>
    <mergeCell ref="F6:G7"/>
    <mergeCell ref="H6:H7"/>
    <mergeCell ref="I6:L7"/>
    <mergeCell ref="A8:B9"/>
    <mergeCell ref="C8:C9"/>
    <mergeCell ref="D8:E9"/>
    <mergeCell ref="F8:G9"/>
    <mergeCell ref="H8:H9"/>
    <mergeCell ref="I8:L9"/>
    <mergeCell ref="C10:E10"/>
    <mergeCell ref="I10:K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I99:J99"/>
    <mergeCell ref="A101:L101"/>
    <mergeCell ref="C93:E93"/>
    <mergeCell ref="C94:E94"/>
    <mergeCell ref="C95:E95"/>
    <mergeCell ref="C96:E96"/>
    <mergeCell ref="C97:E97"/>
    <mergeCell ref="C98:E98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Postl</dc:creator>
  <cp:keywords/>
  <dc:description/>
  <cp:lastModifiedBy>X</cp:lastModifiedBy>
  <dcterms:created xsi:type="dcterms:W3CDTF">2020-09-09T18:05:04Z</dcterms:created>
  <dcterms:modified xsi:type="dcterms:W3CDTF">2020-09-10T04:42:44Z</dcterms:modified>
  <cp:category/>
  <cp:version/>
  <cp:contentType/>
  <cp:contentStatus/>
</cp:coreProperties>
</file>