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Krycí list rozpočtu" sheetId="1" r:id="rId1"/>
    <sheet name="Stavební rozpočet - součet" sheetId="2" r:id="rId2"/>
    <sheet name="Stavební rozpočet" sheetId="3" r:id="rId3"/>
  </sheets>
  <definedNames/>
  <calcPr fullCalcOnLoad="1"/>
</workbook>
</file>

<file path=xl/sharedStrings.xml><?xml version="1.0" encoding="utf-8"?>
<sst xmlns="http://schemas.openxmlformats.org/spreadsheetml/2006/main" count="2796" uniqueCount="1056">
  <si>
    <t>Žaluzie venkovní Z-90 , velikost  1660 x 2520 mm, el. ovládání   - dodání</t>
  </si>
  <si>
    <t>Přesun hmot pro zastiň. techniku, výšky do 6 m</t>
  </si>
  <si>
    <t>0,061*1   </t>
  </si>
  <si>
    <t>Lešení a stavební výtahy</t>
  </si>
  <si>
    <t>Montáž lešení leh.řad.s podlahami,š.1,2 m, H 10 m</t>
  </si>
  <si>
    <t>(8,35+1,20+0,50)*((4,26+5,24)/2-1,80)   s odečtením pracovní výšky 180 cm</t>
  </si>
  <si>
    <t>(2,90+1,20+3,44)*(2,64-1,80)   </t>
  </si>
  <si>
    <t>Příplatek za každý měsíc použití lešení k pol.1041, předpoklad 2 měsíce v použití</t>
  </si>
  <si>
    <t>35,98*1   </t>
  </si>
  <si>
    <t>Demontáž lešení leh.řad.s podlahami,š.1,2 m,H 10 m</t>
  </si>
  <si>
    <t>Montáž ochranné sítě z umělých vláken</t>
  </si>
  <si>
    <t>(8,35+1,20+0,50)*((4,26+5,24)/2)   </t>
  </si>
  <si>
    <t>(2,90+1,20+3,44)*(2,64)   </t>
  </si>
  <si>
    <t>Příplatek za každý měsíc použití sítí k pol. 4011, předpoklad 2 měsíce v použití</t>
  </si>
  <si>
    <t>67,64*1   </t>
  </si>
  <si>
    <t>Demontáž ochranné sítě z umělých vláken</t>
  </si>
  <si>
    <t>Lešení lehké pomocné, výška podlahy do 1,2 m</t>
  </si>
  <si>
    <t>- pro vnitřní omítky, podhledy, malby, nátěry apod.</t>
  </si>
  <si>
    <t>(36,40+15,80)*0,75   cca 75% z půdorysné plochy zimní zahrady a kryté terasy</t>
  </si>
  <si>
    <t>Různé dokončovací konstrukce a práce na pozemních stavbách</t>
  </si>
  <si>
    <t>Vyčištění budov o výšce podlaží do 4 m</t>
  </si>
  <si>
    <t>15,80+36,40+8,60   </t>
  </si>
  <si>
    <t>Osazení kovových předmětů do zdiva, do 15 kg / kus: hasicí přístroj</t>
  </si>
  <si>
    <t>Položka je určena pro osazování se zalitím maltou cementovou drobných kovových předmětů jinde neuvedených, bez dodání.</t>
  </si>
  <si>
    <t>Přenosný hasicí přístroj PG 6 práškový 6kg | PG6 21A / 113B,   - dodání</t>
  </si>
  <si>
    <t>Vystavení revizní zprávy-požární hasicí přístroje</t>
  </si>
  <si>
    <t>Zádržný systém : dva kotvící body záchytného systému, délka 150 mm- nerezový kotvící bod průměr 16 mm</t>
  </si>
  <si>
    <t>Zádržný systém : Nerezové permanentní lano tl.6mm vč. kotvících a utahovacích segmentů</t>
  </si>
  <si>
    <t>4,30*1   </t>
  </si>
  <si>
    <t>Dodání a osazení doplňkových konstrukcí jako jsou: doplnění informačních tabulí ,přidání požárních tabulí únikových tras, apod.</t>
  </si>
  <si>
    <t>Označené směry uniku: současně musí být označeny všechny únikové východy- viz.Souhrn.technická zpráva  B.2.8 Zásady požárně bezpečnostního řešení.</t>
  </si>
  <si>
    <t>1*1   kpl = komplet</t>
  </si>
  <si>
    <t>Ostatní přesuny hmot</t>
  </si>
  <si>
    <t>Přesun hmot pro opravy a údržbu do výšky 6 m</t>
  </si>
  <si>
    <t>0,037+2,11+4,03+1,03+0,43+37,53+0,036+0,74+0,29   </t>
  </si>
  <si>
    <t>Vytápění</t>
  </si>
  <si>
    <t>Montáž izolace tepelné potrubí potrubními pouzdry 
bez úpravy slepenými 1x tl. izolace do 25 mm</t>
  </si>
  <si>
    <t>40*1   </t>
  </si>
  <si>
    <t>Izolace návleková  Pro d 15/15 mm,  - dodání</t>
  </si>
  <si>
    <t>5*1   </t>
  </si>
  <si>
    <t>Izolace návleková  Pro d 18/15 mm,   - dodání</t>
  </si>
  <si>
    <t>32*1   </t>
  </si>
  <si>
    <t>Izolace návleková Pro d 22/15 mm   - dodání</t>
  </si>
  <si>
    <t>0,027*1   </t>
  </si>
  <si>
    <t>Rozvod potrubí</t>
  </si>
  <si>
    <t>Montáž potrubí z měděných trubek vytápění D 15 mm</t>
  </si>
  <si>
    <t>Potrubí měděné polotvrdé spojované měkkým pájením
D 15x1,5,   - dodání</t>
  </si>
  <si>
    <t>Montáž potrubí z měděných trubek vytápění D 18 mm</t>
  </si>
  <si>
    <t>Potrubí měděné polotvrdé spojované měkkým pájením
D 18x1,5,   - dodání</t>
  </si>
  <si>
    <t>Montáž potrubí z měděných trubek vytápění D 22 mm</t>
  </si>
  <si>
    <t>Potrubí měděné polotvrdé spojované měkkým pájením
D 22x1,5  -dodání</t>
  </si>
  <si>
    <t>Zkouška těsnosti potrubí měděné do D 35x2,0</t>
  </si>
  <si>
    <t>Manžety prostupové pro trubky do DN 32</t>
  </si>
  <si>
    <t>-dodání a montáž</t>
  </si>
  <si>
    <t>Uvedení do provozu</t>
  </si>
  <si>
    <t>15*1   </t>
  </si>
  <si>
    <t>Regulace systému - nutno dopřesnit po přesném výběru dodavatele</t>
  </si>
  <si>
    <t>Topná zkouška</t>
  </si>
  <si>
    <t>24*1   </t>
  </si>
  <si>
    <t>Zaregulování systému</t>
  </si>
  <si>
    <t>18*1   </t>
  </si>
  <si>
    <t>Napojení na stávající potrubí + překontrolování</t>
  </si>
  <si>
    <t>Přesun hmot pro rozvody potrubí, výšky do 6 m</t>
  </si>
  <si>
    <t>0,215*1   </t>
  </si>
  <si>
    <t>Armatury</t>
  </si>
  <si>
    <t>Ventil závitový odvzdušňovací G 3/8 PN 14 do 120°C
automatický</t>
  </si>
  <si>
    <t>Termostatická hlavice kapalinová PN 10 do 110°C</t>
  </si>
  <si>
    <t>Prostorový termostat: dodání + montáž</t>
  </si>
  <si>
    <t>Montáž armatur</t>
  </si>
  <si>
    <t>Kulový kohout 1“  - dodání</t>
  </si>
  <si>
    <t>Kotvící a upevňovací materiál,  dodání a montáž</t>
  </si>
  <si>
    <t>Kohout plnící a vypouštěcí G 3/8 PN 10 do 110°C
závitový   - dodání</t>
  </si>
  <si>
    <t>Svorné šroubení, - dodání a montáž</t>
  </si>
  <si>
    <t>Přesun hmot pro armatury, výšky do 6 m</t>
  </si>
  <si>
    <t>0,0083*1   </t>
  </si>
  <si>
    <t>Otopná tělesa</t>
  </si>
  <si>
    <t>Montáž otopných těles a konvektorových lavic</t>
  </si>
  <si>
    <t>Rozpočet je vypracován podle výkazu topenáře !</t>
  </si>
  <si>
    <t>Těleso deskové otopné typ 20 v.700 dl.1100, + TV 1273 W  - dodání</t>
  </si>
  <si>
    <t>Otopná lavice - konvektor KORALINE Exclusive LKX
 dl. 1600mm, š.265 mm, v. 300 mm
 ,1283 W,  - dodání</t>
  </si>
  <si>
    <t>Přesun hmot pro otopná tělesa, výšky do 6 m</t>
  </si>
  <si>
    <t>0,206*1   </t>
  </si>
  <si>
    <t>Stavební výpomoce: tj. vysekání drážek, vyvrtání otvorů, zaomítnutí drážek a otvorů, očištění styku armatur a zdiva apod.</t>
  </si>
  <si>
    <t>VRN pro topení</t>
  </si>
  <si>
    <t>Protokol o shodě, předávací dokumentace, projekt skutečného provedení stavby</t>
  </si>
  <si>
    <t>Osvětlení a elektroinstalace</t>
  </si>
  <si>
    <t>Elektroinstalace viz příloha EI</t>
  </si>
  <si>
    <t>VRN - Vedlejší rozpočtové náklady</t>
  </si>
  <si>
    <t>Zařízení a zabezpečení staveniště: oplocení staveniště- dodávka, montáž a demontáž</t>
  </si>
  <si>
    <t>Nebezpečná místa (zejména po odstranění zbradlí původní terasy) budou ohrazena - zabezpečení proti pádu, samotné označení výstražnými páskami je nedostačující a bude zabráněnono vstupu klientů na terasu a pod terasu.</t>
  </si>
  <si>
    <t>Hlavní tituly původních činností a nákladů na zařízení a vybavení staveniště.</t>
  </si>
  <si>
    <t>Součástí položky je zejména:
                                 - náklady na staveništní buňky, (kanceláře,stavební sklady, mobilní WC apod.)
                                 - zřízení  provozních komunikací (lávky, můstky, zábradlí atd.)    
                                 - meziskládky na staveništi
                                 - zabezpečení staveniště (ohrazení prováděných objektů a osvětlení staveniště)
                                 - kontejnery na odpad (neobsahuje přesuny sutě, odvoz a skládkovné)
                                 Součástí je také:
                                 - zajištění bezpečnosti práce (BOZP) během výstavby
                                 . zpracování plánu organizace výstavby</t>
  </si>
  <si>
    <t>Hlavní tituly původních činností a nákladů na zařízení a vybavení staveniště : zrušení zařízení  a vybavení staveniště</t>
  </si>
  <si>
    <t>Kompletace atestů, certifikátů, revizních zpráv a ostatních dokladů vč. dokladů o likvidaci odpadu.</t>
  </si>
  <si>
    <t>Doba výstavby:</t>
  </si>
  <si>
    <t>Začátek výstavby:</t>
  </si>
  <si>
    <t>Konec výstavby:</t>
  </si>
  <si>
    <t>Zpracováno dne:</t>
  </si>
  <si>
    <t>25.03.2020</t>
  </si>
  <si>
    <t>MJ</t>
  </si>
  <si>
    <t>m2</t>
  </si>
  <si>
    <t>m3</t>
  </si>
  <si>
    <t>m</t>
  </si>
  <si>
    <t>t</t>
  </si>
  <si>
    <t>kus</t>
  </si>
  <si>
    <t>ks</t>
  </si>
  <si>
    <t>kpl</t>
  </si>
  <si>
    <t>hod</t>
  </si>
  <si>
    <t>soubor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</si>
  <si>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</si>
  <si>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</si>
  <si>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</si>
  <si>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</si>
  <si>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</si>
  <si>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</si>
  <si>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</si>
  <si>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Domov Buda, Neměň 70, Zásmuky</t>
  </si>
  <si>
    <t>Ing.arch.Martin Jirovský Ph.D., MBA</t>
  </si>
  <si>
    <t>Ing.Hana Rotová,M.A.A.T.Tábor</t>
  </si>
  <si>
    <t>Martina Kraftová, Tábor</t>
  </si>
  <si>
    <t>Náklady (Kč)</t>
  </si>
  <si>
    <t>Dodávka</t>
  </si>
  <si>
    <t>Celkem: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</si>
  <si>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</si>
  <si>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</si>
  <si>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</si>
  <si>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</si>
  <si>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</si>
  <si>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</si>
  <si>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</si>
  <si>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</si>
  <si>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</si>
  <si>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</si>
  <si>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</si>
  <si>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SO 110</t>
  </si>
  <si>
    <t>SO 111</t>
  </si>
  <si>
    <t>SO 141</t>
  </si>
  <si>
    <t>SO 142</t>
  </si>
  <si>
    <t>SO 980</t>
  </si>
  <si>
    <t>0_</t>
  </si>
  <si>
    <t>96_</t>
  </si>
  <si>
    <t>97_</t>
  </si>
  <si>
    <t>S_</t>
  </si>
  <si>
    <t>28_</t>
  </si>
  <si>
    <t>31_</t>
  </si>
  <si>
    <t>34_</t>
  </si>
  <si>
    <t>41_</t>
  </si>
  <si>
    <t>61_</t>
  </si>
  <si>
    <t>63_</t>
  </si>
  <si>
    <t>64_</t>
  </si>
  <si>
    <t>711_</t>
  </si>
  <si>
    <t>712_</t>
  </si>
  <si>
    <t>713_</t>
  </si>
  <si>
    <t>714_</t>
  </si>
  <si>
    <t>728_</t>
  </si>
  <si>
    <t>761_</t>
  </si>
  <si>
    <t>762_</t>
  </si>
  <si>
    <t>764_</t>
  </si>
  <si>
    <t>766_</t>
  </si>
  <si>
    <t>767_</t>
  </si>
  <si>
    <t>771_</t>
  </si>
  <si>
    <t>784_</t>
  </si>
  <si>
    <t>786_</t>
  </si>
  <si>
    <t>94_</t>
  </si>
  <si>
    <t>95_</t>
  </si>
  <si>
    <t>H99_</t>
  </si>
  <si>
    <t>733_</t>
  </si>
  <si>
    <t>734_</t>
  </si>
  <si>
    <t>735_</t>
  </si>
  <si>
    <t>99_</t>
  </si>
  <si>
    <t>98_</t>
  </si>
  <si>
    <t>SO 110_0_</t>
  </si>
  <si>
    <t>SO 110_9_</t>
  </si>
  <si>
    <t>SO 111_0_</t>
  </si>
  <si>
    <t>SO 111_2_</t>
  </si>
  <si>
    <t>SO 111_3_</t>
  </si>
  <si>
    <t>SO 111_4_</t>
  </si>
  <si>
    <t>SO 111_6_</t>
  </si>
  <si>
    <t>SO 111_71_</t>
  </si>
  <si>
    <t>SO 111_72_</t>
  </si>
  <si>
    <t>SO 111_76_</t>
  </si>
  <si>
    <t>SO 111_77_</t>
  </si>
  <si>
    <t>SO 111_78_</t>
  </si>
  <si>
    <t>SO 111_9_</t>
  </si>
  <si>
    <t>SO 141_71_</t>
  </si>
  <si>
    <t>SO 141_73_</t>
  </si>
  <si>
    <t>SO 141_9_</t>
  </si>
  <si>
    <t>SO 142_0_</t>
  </si>
  <si>
    <t>SO 980_9_</t>
  </si>
  <si>
    <t>SO 110_</t>
  </si>
  <si>
    <t>SO 111_</t>
  </si>
  <si>
    <t>SO 141_</t>
  </si>
  <si>
    <t>SO 142_</t>
  </si>
  <si>
    <t>SO 980_</t>
  </si>
  <si>
    <t>MAT</t>
  </si>
  <si>
    <t>WORK</t>
  </si>
  <si>
    <t>CELK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</si>
  <si>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</si>
  <si>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</si>
  <si>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</si>
  <si>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</si>
  <si>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</si>
  <si>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</si>
  <si>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F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</si>
  <si>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</si>
  <si>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</si>
  <si>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</si>
  <si>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</si>
  <si>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</si>
  <si>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</si>
  <si>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</si>
  <si>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</si>
  <si>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</si>
  <si>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</si>
  <si>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</si>
  <si>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</si>
  <si>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</si>
  <si>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</si>
  <si>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</si>
  <si>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</si>
  <si>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</si>
  <si>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</si>
  <si>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</si>
  <si>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</si>
  <si>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</si>
  <si>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</si>
  <si>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</si>
  <si>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</si>
  <si>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</si>
  <si>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</si>
  <si>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</si>
  <si>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</si>
  <si>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</si>
  <si>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</si>
  <si>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</si>
  <si>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</si>
  <si>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</si>
  <si>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</si>
  <si>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</si>
  <si>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</si>
  <si>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</si>
  <si>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</si>
  <si>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</si>
  <si>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</si>
  <si>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</si>
  <si>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</si>
  <si>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</si>
  <si>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</si>
  <si>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</si>
  <si>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</si>
  <si>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</si>
  <si>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</si>
  <si>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</si>
  <si>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</si>
  <si>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</si>
  <si>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</si>
  <si>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</si>
  <si>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</si>
  <si>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</si>
  <si>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</si>
  <si>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</si>
  <si>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</si>
  <si>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</si>
  <si>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</si>
  <si>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</si>
  <si>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</si>
  <si>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</si>
  <si>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</si>
  <si>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</si>
  <si>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</si>
  <si>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</si>
  <si>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</si>
  <si>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</si>
  <si>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</si>
  <si>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</si>
  <si>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</si>
  <si>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</si>
  <si>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</si>
  <si>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</si>
  <si>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</si>
  <si>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</si>
  <si>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</si>
  <si>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</si>
  <si>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</si>
  <si>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</si>
  <si>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</si>
  <si>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</si>
  <si>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</si>
  <si>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</si>
  <si>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</si>
  <si>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</si>
  <si>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</si>
  <si>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</si>
  <si>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</si>
  <si>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</si>
  <si>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</si>
  <si>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</si>
  <si>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</si>
  <si>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</si>
  <si>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</si>
  <si>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</si>
  <si>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</si>
  <si>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</si>
  <si>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</si>
  <si>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</si>
  <si>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</si>
  <si>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</si>
  <si>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</si>
  <si>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</si>
  <si>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</si>
  <si>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</si>
  <si>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</si>
  <si>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</si>
  <si>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</si>
  <si>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</si>
  <si>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</si>
  <si>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</si>
  <si>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</si>
  <si>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</si>
  <si>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</si>
  <si>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</si>
  <si>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</si>
  <si>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</si>
  <si>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</si>
  <si>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</si>
  <si>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</si>
  <si>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</si>
  <si>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</si>
  <si>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</si>
  <si>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</si>
  <si>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</si>
  <si>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</si>
  <si>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</si>
  <si>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</si>
  <si>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</si>
  <si>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</si>
  <si>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</si>
  <si>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</si>
  <si>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</si>
  <si>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</si>
  <si>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</si>
  <si>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</si>
  <si>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</si>
  <si>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</si>
  <si>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</si>
  <si>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</si>
  <si>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</si>
  <si>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</si>
  <si>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</si>
  <si>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</si>
  <si>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</si>
  <si>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</si>
  <si>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</si>
  <si>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</si>
  <si>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</si>
  <si>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</si>
  <si>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</si>
  <si>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</si>
  <si>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</si>
  <si>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</si>
  <si>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</si>
  <si>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</si>
  <si>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</si>
  <si>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</si>
  <si>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</si>
  <si>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</si>
  <si>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</si>
  <si>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</si>
  <si>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</si>
  <si>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</si>
  <si>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</si>
  <si>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</si>
  <si>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</si>
  <si>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</si>
  <si>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</si>
  <si>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</si>
  <si>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</si>
  <si>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</si>
  <si>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</si>
  <si>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</si>
  <si>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</si>
  <si>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</si>
  <si>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</si>
  <si>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</si>
  <si>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</si>
  <si>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</si>
  <si>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</si>
  <si>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</si>
  <si>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</si>
  <si>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</si>
  <si>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</si>
  <si>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</si>
  <si>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</si>
  <si>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</si>
  <si>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</si>
  <si>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</si>
  <si>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</si>
  <si>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</si>
  <si>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</si>
  <si>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</si>
  <si>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</si>
  <si>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</si>
  <si>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</si>
  <si>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</si>
  <si>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</si>
  <si>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</si>
  <si>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</si>
  <si>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</si>
  <si>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</si>
  <si>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</si>
  <si>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</si>
  <si>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</si>
  <si>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</si>
  <si>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</si>
  <si>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</si>
  <si>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</si>
  <si>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</si>
  <si>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</si>
  <si>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</si>
  <si>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</si>
  <si>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</si>
  <si>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</si>
  <si>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</si>
  <si>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</si>
  <si>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</si>
  <si>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</si>
  <si>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</si>
  <si>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</si>
  <si>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</si>
  <si>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</si>
  <si>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</si>
  <si>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</si>
  <si>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</si>
  <si>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</si>
  <si>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</si>
  <si>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</si>
  <si>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</si>
  <si>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</si>
  <si>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</si>
  <si>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</si>
  <si>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</si>
  <si>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</si>
  <si>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</si>
  <si>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</si>
  <si>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</si>
  <si>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</si>
  <si>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</si>
  <si>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</si>
  <si>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</si>
  <si>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</si>
  <si>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</si>
  <si>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</si>
  <si>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</si>
  <si>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</si>
  <si>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</si>
  <si>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</si>
  <si>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</si>
  <si>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</si>
  <si>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</si>
  <si>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</si>
  <si>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</si>
  <si>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</si>
  <si>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</si>
  <si>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</si>
  <si>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</si>
  <si>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</si>
  <si>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</si>
  <si>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</si>
  <si>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</si>
  <si>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</si>
  <si>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</si>
  <si>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</si>
  <si>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</si>
  <si>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</si>
  <si>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</si>
  <si>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Poznámka:</t>
  </si>
  <si>
    <t>Kód</t>
  </si>
  <si>
    <t>0</t>
  </si>
  <si>
    <t>POZNÁMKA</t>
  </si>
  <si>
    <t>965081923R00</t>
  </si>
  <si>
    <t>712300831R00</t>
  </si>
  <si>
    <t>R-776511810</t>
  </si>
  <si>
    <t>965042141RT1</t>
  </si>
  <si>
    <t>713101112R00</t>
  </si>
  <si>
    <t>965082933R00</t>
  </si>
  <si>
    <t>968083011R00</t>
  </si>
  <si>
    <t>968083003R00</t>
  </si>
  <si>
    <t>968083004R00</t>
  </si>
  <si>
    <t>969021121R00</t>
  </si>
  <si>
    <t>764430840R00</t>
  </si>
  <si>
    <t>976071111R00</t>
  </si>
  <si>
    <t>S</t>
  </si>
  <si>
    <t>979011111R00</t>
  </si>
  <si>
    <t>979082111R00</t>
  </si>
  <si>
    <t>979086112R00</t>
  </si>
  <si>
    <t>979081111R00</t>
  </si>
  <si>
    <t>979081121R00</t>
  </si>
  <si>
    <t>979999997R00</t>
  </si>
  <si>
    <t>289970111R00</t>
  </si>
  <si>
    <t>311238154R00</t>
  </si>
  <si>
    <t>311238254R00</t>
  </si>
  <si>
    <t>342264051RT4</t>
  </si>
  <si>
    <t>342265193R00</t>
  </si>
  <si>
    <t>342265112RT2</t>
  </si>
  <si>
    <t>R-342267112</t>
  </si>
  <si>
    <t>342262113RS4</t>
  </si>
  <si>
    <t>342261211RS1</t>
  </si>
  <si>
    <t>342261212RS2</t>
  </si>
  <si>
    <t>342261213RS2</t>
  </si>
  <si>
    <t>413941123R00</t>
  </si>
  <si>
    <t>13388135</t>
  </si>
  <si>
    <t>145 R-87292</t>
  </si>
  <si>
    <t>612474611RT1</t>
  </si>
  <si>
    <t>R-631571002</t>
  </si>
  <si>
    <t>632419101R00</t>
  </si>
  <si>
    <t>632419110R00</t>
  </si>
  <si>
    <t>632922952RT1</t>
  </si>
  <si>
    <t>597101111R00</t>
  </si>
  <si>
    <t>28698351</t>
  </si>
  <si>
    <t>552318825</t>
  </si>
  <si>
    <t>642942111R00</t>
  </si>
  <si>
    <t>553310023</t>
  </si>
  <si>
    <t>711</t>
  </si>
  <si>
    <t>711151111R00</t>
  </si>
  <si>
    <t>283220013</t>
  </si>
  <si>
    <t>998711101R00</t>
  </si>
  <si>
    <t>712</t>
  </si>
  <si>
    <t>712341559R00</t>
  </si>
  <si>
    <t>998712101R00</t>
  </si>
  <si>
    <t>713</t>
  </si>
  <si>
    <t>713191100RT9</t>
  </si>
  <si>
    <t>713121111RU9</t>
  </si>
  <si>
    <t>63141252</t>
  </si>
  <si>
    <t>713111231R00</t>
  </si>
  <si>
    <t>62843012</t>
  </si>
  <si>
    <t>713121121R00</t>
  </si>
  <si>
    <t>28376371</t>
  </si>
  <si>
    <t>283762494</t>
  </si>
  <si>
    <t>713141337R00</t>
  </si>
  <si>
    <t>28375871</t>
  </si>
  <si>
    <t>998713101R00</t>
  </si>
  <si>
    <t>714</t>
  </si>
  <si>
    <t>714182224R00</t>
  </si>
  <si>
    <t>68536901</t>
  </si>
  <si>
    <t>998714101R00</t>
  </si>
  <si>
    <t>728</t>
  </si>
  <si>
    <t>728112112R00</t>
  </si>
  <si>
    <t>42981166</t>
  </si>
  <si>
    <t>429751210</t>
  </si>
  <si>
    <t>42972762</t>
  </si>
  <si>
    <t>429822007</t>
  </si>
  <si>
    <t>728618111R00</t>
  </si>
  <si>
    <t>728 R-618211</t>
  </si>
  <si>
    <t>998728101R00</t>
  </si>
  <si>
    <t>761</t>
  </si>
  <si>
    <t>761124100R00</t>
  </si>
  <si>
    <t>998761101R00</t>
  </si>
  <si>
    <t>762</t>
  </si>
  <si>
    <t>762512125R00</t>
  </si>
  <si>
    <t>60726014.A</t>
  </si>
  <si>
    <t>762595000R00</t>
  </si>
  <si>
    <t>762341220R00</t>
  </si>
  <si>
    <t>60726012.A</t>
  </si>
  <si>
    <t>60726123</t>
  </si>
  <si>
    <t>763734112R00</t>
  </si>
  <si>
    <t>61220003</t>
  </si>
  <si>
    <t>762395000R00</t>
  </si>
  <si>
    <t>998762102R00</t>
  </si>
  <si>
    <t>764</t>
  </si>
  <si>
    <t>764410930R00</t>
  </si>
  <si>
    <t>R-764430240</t>
  </si>
  <si>
    <t>R-764394220</t>
  </si>
  <si>
    <t>R-764410250</t>
  </si>
  <si>
    <t>R- 764352205</t>
  </si>
  <si>
    <t>R- 764454203</t>
  </si>
  <si>
    <t>R- 764410230</t>
  </si>
  <si>
    <t>R- 764421270</t>
  </si>
  <si>
    <t>R-764391240</t>
  </si>
  <si>
    <t>R-764391231</t>
  </si>
  <si>
    <t>R- 764391210</t>
  </si>
  <si>
    <t>R-764324227</t>
  </si>
  <si>
    <t>998764101R00</t>
  </si>
  <si>
    <t>766</t>
  </si>
  <si>
    <t>766623023R00</t>
  </si>
  <si>
    <t>611 R-103323</t>
  </si>
  <si>
    <t>766623035R00</t>
  </si>
  <si>
    <t>611 R-103334</t>
  </si>
  <si>
    <t>R-766623046</t>
  </si>
  <si>
    <t>766621264R00</t>
  </si>
  <si>
    <t>611 R-103321</t>
  </si>
  <si>
    <t>766621263R00</t>
  </si>
  <si>
    <t>611 R-103322</t>
  </si>
  <si>
    <t>766641232R00</t>
  </si>
  <si>
    <t>553 R- 40482</t>
  </si>
  <si>
    <t>R-766661122</t>
  </si>
  <si>
    <t>61160624</t>
  </si>
  <si>
    <t>766661422R00</t>
  </si>
  <si>
    <t>611653514</t>
  </si>
  <si>
    <t>766669117R00</t>
  </si>
  <si>
    <t>54917045</t>
  </si>
  <si>
    <t>998766101R00</t>
  </si>
  <si>
    <t>767</t>
  </si>
  <si>
    <t>767141100R00</t>
  </si>
  <si>
    <t>145 R-87296</t>
  </si>
  <si>
    <t>145 R- 87296</t>
  </si>
  <si>
    <t>767322210R00</t>
  </si>
  <si>
    <t>13210358</t>
  </si>
  <si>
    <t>R- 767900010</t>
  </si>
  <si>
    <t>154 R-84123</t>
  </si>
  <si>
    <t>767161120R00</t>
  </si>
  <si>
    <t>611 R-96010</t>
  </si>
  <si>
    <t>767316523R00</t>
  </si>
  <si>
    <t>56288543</t>
  </si>
  <si>
    <t>998767101R00</t>
  </si>
  <si>
    <t>771</t>
  </si>
  <si>
    <t>771101210R00</t>
  </si>
  <si>
    <t>771212113R00</t>
  </si>
  <si>
    <t>597623142</t>
  </si>
  <si>
    <t>771471017R00</t>
  </si>
  <si>
    <t>59764431</t>
  </si>
  <si>
    <t>998771101R00</t>
  </si>
  <si>
    <t>784</t>
  </si>
  <si>
    <t>784191101R00</t>
  </si>
  <si>
    <t>784195112R00</t>
  </si>
  <si>
    <t>784161901R00</t>
  </si>
  <si>
    <t>R- 784164112</t>
  </si>
  <si>
    <t>786</t>
  </si>
  <si>
    <t>786623121R00</t>
  </si>
  <si>
    <t>553 R-46635</t>
  </si>
  <si>
    <t>998786101R00</t>
  </si>
  <si>
    <t>941941041R00</t>
  </si>
  <si>
    <t>941941291R00</t>
  </si>
  <si>
    <t>941941841R00</t>
  </si>
  <si>
    <t>944944011R00</t>
  </si>
  <si>
    <t>944944031R00</t>
  </si>
  <si>
    <t>944944081R00</t>
  </si>
  <si>
    <t>941955001R00</t>
  </si>
  <si>
    <t>952901111R00</t>
  </si>
  <si>
    <t>953943113R00</t>
  </si>
  <si>
    <t>44984100</t>
  </si>
  <si>
    <t>953941395R00</t>
  </si>
  <si>
    <t>R - 953 01</t>
  </si>
  <si>
    <t>R - 953 04</t>
  </si>
  <si>
    <t>R- 95394177</t>
  </si>
  <si>
    <t>H99</t>
  </si>
  <si>
    <t>999281105R00</t>
  </si>
  <si>
    <t>713411111R00</t>
  </si>
  <si>
    <t>631433001</t>
  </si>
  <si>
    <t>631433002</t>
  </si>
  <si>
    <t>631433003</t>
  </si>
  <si>
    <t>733</t>
  </si>
  <si>
    <t>733164102RT4</t>
  </si>
  <si>
    <t>196 R-31311</t>
  </si>
  <si>
    <t>733164103RT3</t>
  </si>
  <si>
    <t>19631312</t>
  </si>
  <si>
    <t>733164104RT4</t>
  </si>
  <si>
    <t>19631313</t>
  </si>
  <si>
    <t>733190106R00</t>
  </si>
  <si>
    <t>733191112R00</t>
  </si>
  <si>
    <t>R-733194932</t>
  </si>
  <si>
    <t>R- 733193935</t>
  </si>
  <si>
    <t>R- 230230017</t>
  </si>
  <si>
    <t>R- 230230018</t>
  </si>
  <si>
    <t>733161904R00</t>
  </si>
  <si>
    <t>998733101R00</t>
  </si>
  <si>
    <t>734</t>
  </si>
  <si>
    <t>734213112R00</t>
  </si>
  <si>
    <t>734221672RT2</t>
  </si>
  <si>
    <t>734209105R00</t>
  </si>
  <si>
    <t>55111353</t>
  </si>
  <si>
    <t>734173612R00</t>
  </si>
  <si>
    <t>55111303</t>
  </si>
  <si>
    <t>734209118R00</t>
  </si>
  <si>
    <t>998734101R00</t>
  </si>
  <si>
    <t>735</t>
  </si>
  <si>
    <t>735419101R00</t>
  </si>
  <si>
    <t>484543517</t>
  </si>
  <si>
    <t>484 R- 5601074</t>
  </si>
  <si>
    <t>998735101R00</t>
  </si>
  <si>
    <t>953946111R00</t>
  </si>
  <si>
    <t>142 EI</t>
  </si>
  <si>
    <t>50-01</t>
  </si>
  <si>
    <t>501-03</t>
  </si>
  <si>
    <t>501-04</t>
  </si>
  <si>
    <t>501-06</t>
  </si>
  <si>
    <t>Rekonstrukce terasy ve zvýšeném přízemí , Domov  Buda,k.ú,Nesměň u Zásmuk</t>
  </si>
  <si>
    <t>rekonstrukce:zastřešení terasy</t>
  </si>
  <si>
    <t>Nesměň u Zásmuk</t>
  </si>
  <si>
    <t>Zkrácený popis / Varianta</t>
  </si>
  <si>
    <t>Rozměry</t>
  </si>
  <si>
    <t>Bourací práce</t>
  </si>
  <si>
    <t>Všeobecné konstrukce a práce</t>
  </si>
  <si>
    <t>R- položek montáže, dodávek materiálu a výrobků  je použito všude tam, kde databáze tohoto programu neobsahuje požadovanou konstrukci v PD.</t>
  </si>
  <si>
    <t>Bourání konstrukcí</t>
  </si>
  <si>
    <t>Bourání dlažeb beton. -  z vymývaného betonu, tl.40 mm, pl.nad 1 m2</t>
  </si>
  <si>
    <t>- podlaha původní terasy, skladba F0</t>
  </si>
  <si>
    <t>62,78*1   </t>
  </si>
  <si>
    <t>Odstranění hydroizolace - folie</t>
  </si>
  <si>
    <t>Odstranění geotextilie jako součást skladby podlahy, ozn. F0</t>
  </si>
  <si>
    <t>z ploch nad 20 m2</t>
  </si>
  <si>
    <t>Bourání mazanin betonových tl. do 10 cm, nad 4 m2 - roznášecí vrstva podlahy terasy, tl. 50 mm,  ozn. F0</t>
  </si>
  <si>
    <t>ručně tl. mazaniny 5 - 8 cm</t>
  </si>
  <si>
    <t>62,78*0,05   </t>
  </si>
  <si>
    <t>Odstr.tep.izolace stropů,volně, EPS tl.100-200 mm,  tl. 120 mm</t>
  </si>
  <si>
    <t>ozn. F0</t>
  </si>
  <si>
    <t>Bourání mazanin betonových tl. do 10 cm, nad 4 m2 - vyrovnávací beton. deska tl.80 mm, skladba podlahy terasy,  ozn. F0</t>
  </si>
  <si>
    <t>62,78*0,08   </t>
  </si>
  <si>
    <t>Odstranění násypu tl. do 20 cm, plocha nad 2 m2</t>
  </si>
  <si>
    <t>62,78*((0,03+0,15)/2)   </t>
  </si>
  <si>
    <t>Vybourání plastových dveří prosklených pl. do 2 m2</t>
  </si>
  <si>
    <t>0,9*1,9   </t>
  </si>
  <si>
    <t>Vybourání plastových oken do 4 m2</t>
  </si>
  <si>
    <t>(1,20*2,10)*2   </t>
  </si>
  <si>
    <t>Vybourání plastových oken nad 4 m2</t>
  </si>
  <si>
    <t>2,37*1,8   </t>
  </si>
  <si>
    <t>2,36*1,8   </t>
  </si>
  <si>
    <t>Vybourání okapového svodu DN do 200 mm z PVC trouby - v podlaze původní terasy</t>
  </si>
  <si>
    <t>6,02+1,10   </t>
  </si>
  <si>
    <t>Prorážení otvorů a ostatní bourací práce</t>
  </si>
  <si>
    <t>Demontáž oplechování zdí,rš od 330 do 500 mm - atiková zeď teras</t>
  </si>
  <si>
    <t>8,35+0,50+2,90+3,24   dotčená terasa</t>
  </si>
  <si>
    <t>7,07*1   vedlejší zvýšená terasa</t>
  </si>
  <si>
    <t>Vybourání kovových zábradlí a madel</t>
  </si>
  <si>
    <t>- vedlejší zvýšená terasa, kde bude nadezdívka nového přístřešku terasy</t>
  </si>
  <si>
    <t>7,07*1   </t>
  </si>
  <si>
    <t>Přesuny sutě</t>
  </si>
  <si>
    <t>Svislá doprava suti a vybour. hmot za 2.NP a 1.PP</t>
  </si>
  <si>
    <t>34,69*1   </t>
  </si>
  <si>
    <t>Vnitrostaveništní doprava suti do 10 m</t>
  </si>
  <si>
    <t>Nakládání nebo překládání suti a vybouraných hmot</t>
  </si>
  <si>
    <t>Odvoz suti a vybour. hmot na skládku do 1 km</t>
  </si>
  <si>
    <t>Příplatek k odvozu za každý další 1 km x27 (Domov Buda , Nesměň 70 - Zers s.r.o.-recyklační centrum Kutná Hora = 27,30 km)</t>
  </si>
  <si>
    <t>Poplatek za skládku suti podle ceníku 2019 skládky ZERS s.r.o. recyklační centrum Kutná Hora</t>
  </si>
  <si>
    <t>Přístřešek</t>
  </si>
  <si>
    <t>Pokud je v textu: -viz. příloha-  znamená to, že účastník výběrového řízení předem vyplní přílohu a konečnou částku</t>
  </si>
  <si>
    <t>bez DPH přepíše do řádku hlavního rozpočtu aby vznikla konečná cena za dílo (stavbu), kde se v krycím listě automaticky přiřazuje cena s DPH.</t>
  </si>
  <si>
    <t>Zpevňování hornin a konstrukcí</t>
  </si>
  <si>
    <t>Separační  geotextilie 300g/m2 PP  -montáž a dodání,</t>
  </si>
  <si>
    <t>8,60*1   skladba podlah F2</t>
  </si>
  <si>
    <t>(3,45+2,90)*(0,42+0,26)   rubová strana atikové zdi a koruna atikové zdi</t>
  </si>
  <si>
    <t>(7,27*7,86)+(1,04*4,14)   skladba střechy R1</t>
  </si>
  <si>
    <t>Zdi podpěrné a volné</t>
  </si>
  <si>
    <t>Zdivo z keramických zdících tvárnic P15, tl. 300 mm</t>
  </si>
  <si>
    <t>- nadezdívka na sousední terase,- tvoří klín štítové zdi nového přístřešku</t>
  </si>
  <si>
    <t>7,07*((0,51+0,19)/2)   </t>
  </si>
  <si>
    <t>Zdivo z keramických zdících tvárnic  P15,  tl. 440 mm,  - zazdívka okna</t>
  </si>
  <si>
    <t>2,37*1,80   </t>
  </si>
  <si>
    <t>Sádrokartonové konstrukce</t>
  </si>
  <si>
    <t>Podhled sádrokartonový na zavěšenou ocel. konstr.</t>
  </si>
  <si>
    <t>desky požár. impreg. tl. 12,5 mm, bez izolace,Položka je určena pro podhled sádrokartonový na zavěšenou ocelovou konstrukci, z desek tl. 12,5 mm. V položce jsou zakalkulovány náklady na zřízení nosné konstrukce podhledu, dodávku a montáž desek tl. 12,5 mm včetně úpravy spár a rohů.</t>
  </si>
  <si>
    <t>(36,40+15,80)-(0,90*1,20*3)   zimní zahrada a krytá terasa</t>
  </si>
  <si>
    <t>Příplatek za otvor v podhledu pl. 1,00 m2</t>
  </si>
  <si>
    <t>3*1   </t>
  </si>
  <si>
    <t>Úprava podhledů sádrokarton. na ocel. rošt, svislá : stěny světlíků a stěny a plochy ramp pro nepřímé Led osvětlení</t>
  </si>
  <si>
    <t>desky protipožární tl. 12,5 mm,</t>
  </si>
  <si>
    <t>((0,90+1,20+0,90+1,20)*0,78)*3   stěny světlíků vč. nosné konstrukce a vč. kotvení</t>
  </si>
  <si>
    <t>((0,15*0,50)*2+(0,15*0,80)*2)*6   rampy pro nepřímé Led osvětlení</t>
  </si>
  <si>
    <t>((0,80*4)*0,32)*6   stěny nad rampami pro nepřímé Led osvětlení</t>
  </si>
  <si>
    <t>Obklad sloupů sádrokartonem čtyřstranný do velikosti 0,20/0,20 m</t>
  </si>
  <si>
    <t>desky protipožární impreg. tl.18 mm</t>
  </si>
  <si>
    <t>2,70*5   </t>
  </si>
  <si>
    <t>Příčka sádrokart. dvojitá, ocelová. konstrukce, 2x opl.  tl.255 mm,  skladba W1, W2</t>
  </si>
  <si>
    <t xml:space="preserve">desky požár. impreg.2x tl.12,5 mm, minerál tl. 100+100 mm ,minerální izolace v roštu UW a CW + parozábrana
</t>
  </si>
  <si>
    <t>8,20+9,96   </t>
  </si>
  <si>
    <t>Příčka sádrokarton. , 2x oplášť. tl.25 mm,  - skladba W1.</t>
  </si>
  <si>
    <t>desky požár. impregnace tl. 2x12,5 mm, bez ocel. roštu</t>
  </si>
  <si>
    <t>8,20*1   </t>
  </si>
  <si>
    <t>Příčka sádrokarton. ocel.kce, 2x oplášť. tl.125 mm  - skladba W2</t>
  </si>
  <si>
    <t>9,96*1   </t>
  </si>
  <si>
    <t>Příčka sádrokarton. ocel.kce - rošt z CW a UW profil , 2x oplášť. tl.150 mm,   skladba W3</t>
  </si>
  <si>
    <t>desky protipožární tl. 12,5 mm, minerál tl. 8 cm</t>
  </si>
  <si>
    <t>7,51*2,70-(0,9*1,97)   </t>
  </si>
  <si>
    <t xml:space="preserve"> Ocel. konstrukce spodní části přístřešku terasy a vodorovné konstrukce</t>
  </si>
  <si>
    <t>Osazení válcovaných nosníků spodního rámu nosné konstrukce č. 14 - 22  vč.svarů,spoj.šroubů,spojovacích plechů a kotvení ke zdi atiky</t>
  </si>
  <si>
    <t>V položkách není zakalkulována dodávka ocelových válcovaných nosníků. Tato dodávka se oceňuje ve specifikaci, ztratné se doporučuje ve výši 8% a kryje náklady na prořez (zbytkový odpad) a náklady na řezání příslušných délek.</t>
  </si>
  <si>
    <t>0,27491+0,23193+0,09114+0,11387+0,04446+0,02421   HEA 140</t>
  </si>
  <si>
    <t>0,120+0,04405   JAKL 80/80/5</t>
  </si>
  <si>
    <t>Tyč průřezu HEA140, střední, jakost oceli S235, dl.5565 mm, 2 ks,  ozn.T1        - dodání</t>
  </si>
  <si>
    <t>(5,565*0,0247)*2*1,08   +8% prořez,  spodní rám, podélný směr</t>
  </si>
  <si>
    <t>Tyč průřezu HEA140, střední, jakost oceli S235, dl.4695 mm, 2 ks,  ozn.T2         - dodání</t>
  </si>
  <si>
    <t>(4,695*0,0247)*2*1,08   +8% prořez,  spodní rám, příčný směr</t>
  </si>
  <si>
    <t>Tyč průřezu HEA140, střední, jakost oceli S235, dl.3690 mm, 1 ks,  ozn. T3         - dodání</t>
  </si>
  <si>
    <t>(3,69*0,0247)*1*1,08   +8% prořez,  spodní rám, příčný směr</t>
  </si>
  <si>
    <t>Tyč průřezu HEA140, střední, jakost oceli S235,  dl.2305 mm,  2 ks,  ozn.T4         - dodání</t>
  </si>
  <si>
    <t>(2,305*0,0247)*2*1,08   +8% prořez,  spodní rám, podélný směr</t>
  </si>
  <si>
    <t>Tyč průřezu HEA140, střední, jakost oceli S235,  dl.1800 mm,  1 ks,   ozn. T5           - dodání</t>
  </si>
  <si>
    <t>(1,8*0,0247)*1*1,08   +8% prořez,  spodní rám, podélný směr</t>
  </si>
  <si>
    <t>Tyč průřezu HEA140, střední, jakost oceli S235,   dl.980 mm,  1 ks,     ozn. T6           - dodání</t>
  </si>
  <si>
    <t>(0,98*0,0247)*1*1,08   +8% prořez,  spodní rám, příčný směr</t>
  </si>
  <si>
    <t>JAKL 80/80/5 mm, dl. 2630 mm,  4 ks,  ozn. Z1,     - dodání</t>
  </si>
  <si>
    <t>(0,0115*2,63)*4*1,08   +8% ztratného,spodní rám, ztužení, na krajích navařené  připojovací T kusy</t>
  </si>
  <si>
    <t>JAKL 80/80/5 mm,  dl. 1915 mm.  2 ks,  ozn. Z2,     - dodání</t>
  </si>
  <si>
    <t>(0,0115*1,915)*2*1,08   +8% ztratného,spodní rám, ztužení, na krajích navařené  připojovací T kusy</t>
  </si>
  <si>
    <t>Úprava povrchů vnitřní</t>
  </si>
  <si>
    <t>Omítka stěn vnitřní, VPC jádro, vápen.štuk, ručně</t>
  </si>
  <si>
    <t>na pálené cihly a tvarovky</t>
  </si>
  <si>
    <t>(7,07*((0,51+0,19)/2))*2   omítka nadezdívky štítové zdi terasy</t>
  </si>
  <si>
    <t>(2,37*1,80)*2   omítka zazdívky okna</t>
  </si>
  <si>
    <t>Podlahy a podlahové konstrukce</t>
  </si>
  <si>
    <t>Násyp : expandovaný jíl 500 kg/m2,  tl. 300 mm,</t>
  </si>
  <si>
    <t>52,20*0,34   skladba F1</t>
  </si>
  <si>
    <t>Samonivelač. stěrka, ruční zpracování tl.1 mm</t>
  </si>
  <si>
    <t>52,20*1   skladba F1</t>
  </si>
  <si>
    <t>Vyrovnávací samonivelač. stěrka ,ruční zpracování tl.do10 mm,</t>
  </si>
  <si>
    <t>8,60*1   skladba F2</t>
  </si>
  <si>
    <t>Kladení venkovních dlaždic 400x400 mm , středně šedých matných na stavitel. terče plast.</t>
  </si>
  <si>
    <t>výškově stavitelné podstavce 35-85 mm, vč.dodání terčů a venkovní mrazuvzdorné dlažby s protiskluzovým povrchem R 11,  skladba F2</t>
  </si>
  <si>
    <t>8,6*1,05   +5% ztratného</t>
  </si>
  <si>
    <t>Montáž odvodňovacího  liniového žlabu - podlaha nekryté terasy</t>
  </si>
  <si>
    <t xml:space="preserve">Položka je určena pro montáž odvodňovacího žlabu včetně betonového lože. a včetně.montáže a dodání : chrlič atikový bílý, PVC, kulatý DN125,  s bitumenovou manžetou (modif. asf. pás), délka 600 mm, s ochrannou mřížkou. V ceně je úprava celkové délky.
</t>
  </si>
  <si>
    <t>3,23*1   </t>
  </si>
  <si>
    <t>Žlab venkovní  výška 60 mm, bez rámu, š. 135 mm, dl 1000 mm , celková délka 3,23 bm,  - dodání</t>
  </si>
  <si>
    <t>4*1   </t>
  </si>
  <si>
    <t>Rošt nerezový pro liniový podlahový žlab l=1050 mm , šířka do 150 mm, celková délka 3,23 bm,    ozn. Z1      - dodání</t>
  </si>
  <si>
    <t>Výplně otvorů</t>
  </si>
  <si>
    <t>Osazení zárubní dveřních ocelových, pl. do 2,5 m2  - pro dveře D3/P</t>
  </si>
  <si>
    <t>1*1   </t>
  </si>
  <si>
    <t>Zárubeň ocelová z žárově pozinkovaného plechu s polodrážkou HSE 100, 900x1970  P,   pro dveře ozn. D3/P  - dodání</t>
  </si>
  <si>
    <t>Izolace proti vodě</t>
  </si>
  <si>
    <t>Izolace proti vlhk. vodorovná- pásem , skladba podlah F2  - montáž</t>
  </si>
  <si>
    <t>8,60*1   </t>
  </si>
  <si>
    <t xml:space="preserve"> Hydroizolační PVC-P fólie s PES vložkou - šedočerná ,RAL 7021, s požární odolností B ROOF (t3) 1,8 mm   - dodání</t>
  </si>
  <si>
    <t>8,6*1,05   +5% ztratného,  skladba F2</t>
  </si>
  <si>
    <t>Přesun hmot pro izolace proti vodě, výšky do 6 m</t>
  </si>
  <si>
    <t>0,019*1   </t>
  </si>
  <si>
    <t>Izolace střech (živičné krytiny)</t>
  </si>
  <si>
    <t>Povlaková krytina střech do 10°, NAIP přitavením,  skladba střechy R</t>
  </si>
  <si>
    <t>(7,27*7,86)+(1,04*4,14)   </t>
  </si>
  <si>
    <t>61,447*1,05   +5% ztratného,  skladba R1</t>
  </si>
  <si>
    <t>Přesun hmot pro povlakové krytiny, výšky do 6 m</t>
  </si>
  <si>
    <t>0,16*1   </t>
  </si>
  <si>
    <t>Izolace tepelné</t>
  </si>
  <si>
    <t>Položení separační fólie včetně dodávky PE fólie, 2x    -skladba F1</t>
  </si>
  <si>
    <t>(15,80+36,40)*2   </t>
  </si>
  <si>
    <t>Izolace tepelná podlah na sucho, jednovrstvá,  skladba F1 - montáž</t>
  </si>
  <si>
    <t>15,80+36,40   </t>
  </si>
  <si>
    <t>Kročejová izolace z minerální vlny 100 kg/m3, stlačeno 2,5 %,  tl.40 mm, skladba F1,    - dodání</t>
  </si>
  <si>
    <t>52,2*1,05   +5% ztratného</t>
  </si>
  <si>
    <t>Montáž parozábrany stropů shora s přelepením spojů, skladba F2</t>
  </si>
  <si>
    <t>SBS modif.asfalt.pás s Al vložkou se sklenými vlákny jako parotěsná vrstva tl.4 mm - skladba F2,   - dodání</t>
  </si>
  <si>
    <t>8,60*1,05   +5% ztratného</t>
  </si>
  <si>
    <t>Izolace tepelná podlah na sucho, dvouvrstvá  - spádové klíny</t>
  </si>
  <si>
    <t>Deska polystyrenová  XPS  tl. 20 - 70 mm,  skladba F2   . - spádový klín ,    - dodání</t>
  </si>
  <si>
    <t>Deska polystyrenová XPS tl.240 mm, skladba F2,   - dodání</t>
  </si>
  <si>
    <t>Izolace tepelná střech do tl.300 mm, 3vrstvy, kotvy vč. jejich dodání,  skladba R1</t>
  </si>
  <si>
    <t>61,447*1   </t>
  </si>
  <si>
    <t>Deska polystyrenová EPS 100 tl. 100 mm,  skladba R1  - dodání</t>
  </si>
  <si>
    <t>61,44*3*1,05   +5% ztratného</t>
  </si>
  <si>
    <t>Přesun hmot pro izolace tepelné, výšky do 6 m</t>
  </si>
  <si>
    <t>1,13*1   </t>
  </si>
  <si>
    <t>Izolace akustické a protiotřesová opatření</t>
  </si>
  <si>
    <t>Montáž akust.vložek,se zabalením a zalepením vč. dodání lepidla</t>
  </si>
  <si>
    <t>15,80+36,40   skladba F1</t>
  </si>
  <si>
    <t>DSDI panel zvukově izolační deska 600 x 1000 x 6 mm   - dodání</t>
  </si>
  <si>
    <t>(52,50/0,6)*1,1   10% ztratného, skladba F1</t>
  </si>
  <si>
    <t>SDI - zvukově izolační panel  POUŽITÍ: Panel z polymerových vláken pro pokládku pod keramickou dlažbu. SDI panel je určen jako separační vložka pro eliminaci smykového napětí mezi dlažbou a deformujícím se podkladem, pro tlumení kročejového hluku a pro použití jako tepelná izolace. Je součástí systémového řešení RAKO SYSTEM . Barva: Podle odstínu zpracovávané textilie – melírovaná šedá. SLOŽENÍ: Textilní deska z polyesterového vlákna pojená latexem.  Orientační spotřeba 1,05-1,1 m2/m2  600x1000x6 mm</t>
  </si>
  <si>
    <t>Přesun hmot pro akustická opatření, výšky do 6 m</t>
  </si>
  <si>
    <t>0,078*1   </t>
  </si>
  <si>
    <t>Vzduchotechnika - odvětrání mezipřípravny jídla</t>
  </si>
  <si>
    <t>Montáž potrubí plechového kruhového do d 200 mm</t>
  </si>
  <si>
    <t>vč. dodání kotevních prvků</t>
  </si>
  <si>
    <t>0,40+1,75+0,55   </t>
  </si>
  <si>
    <t>Potrubí SPIRO  200/3, délka 3 m  - dodání</t>
  </si>
  <si>
    <t>Objímka M8/M10, 200 mm, pozink.  - dodání</t>
  </si>
  <si>
    <t>Mřížka kruhová KMM pr.200.30,   - dodání</t>
  </si>
  <si>
    <t>Oblouk segmentový 90°, d 200 mm Pz plech  - dodání</t>
  </si>
  <si>
    <t>Montáž komínové rotační hlavice na střeše</t>
  </si>
  <si>
    <t>1*1   pro odvětrání  mezipřípravny jídla</t>
  </si>
  <si>
    <t>Komínová rotační hlavice prům. 100 mm  - dodání</t>
  </si>
  <si>
    <t>Je kompatibilní se vzduchotechnickým potrubím od  průměru 100 až po  315 mm.</t>
  </si>
  <si>
    <t>Přesun hmot pro vzduchotechniku, výšky do 6 m</t>
  </si>
  <si>
    <t>0,0136*1   </t>
  </si>
  <si>
    <t>Konstrukce sklobetonové</t>
  </si>
  <si>
    <t>Sklobeton.stěny tl.10 cm, tvárnice 1910/F,N čiré</t>
  </si>
  <si>
    <t>- zasklení bývalého otvoru po oknu</t>
  </si>
  <si>
    <t>1,22*2,10   </t>
  </si>
  <si>
    <t>Přesun hmot pro sklobetonové konstr., výšky do 6 m</t>
  </si>
  <si>
    <t>0,316*1   </t>
  </si>
  <si>
    <t>Konstrukce tesařské</t>
  </si>
  <si>
    <t>Položení podlah. desek ve dvou vrstvách šroubovan. - součást skladby podlah</t>
  </si>
  <si>
    <t>Položení podlahových desek (OSB, Cetris) ve dvou vrstvách na rovinný únosný podklad. První vrstva položena volně, druhá přišroubována k první. V položce nejsou zakalkulovány náklady na dodávku desek. Dodávka se oceňuje ve specifikaci, ztratné se doporučuje ve výši 8 %.</t>
  </si>
  <si>
    <t>Deska dřevoštěpková OSB 3 N - 4PD tl. 18 mm,  skladba F1, 2x v ploše podlah    - dodání</t>
  </si>
  <si>
    <t>(15,80+36,40)*2*1,08   8% prořezu</t>
  </si>
  <si>
    <t>Spojovací a ochranné prostředky k položení podlah</t>
  </si>
  <si>
    <t>((15,80+36,40)*(0,018+0,018))*2   </t>
  </si>
  <si>
    <t>Montáž. bednění střech rovných z aglomer.desek šroubováním : opláštění ploché střechy ze spodní a z horní strany</t>
  </si>
  <si>
    <t>skladba R1</t>
  </si>
  <si>
    <t>61,447*2   </t>
  </si>
  <si>
    <t>Deska dřevoštěpková OSB 3 N - 4PD tl. 15 mm, skladba R1,    - dodání</t>
  </si>
  <si>
    <t>61,447*1,08   8% prořezu,  spodní deska konstrukce střechy</t>
  </si>
  <si>
    <t>Deska dřevoštěpková OSB 3 B - 4PD tl. 25 mm, skladba R1,      - dodání</t>
  </si>
  <si>
    <t>61,447*1,08   8% prořezu,  - horní deska konstrukce střechy</t>
  </si>
  <si>
    <t>Montáž z ostatních prvků průřezové plochy do 150 cm2 : dřevěné I nosníky</t>
  </si>
  <si>
    <t>7,29*8   </t>
  </si>
  <si>
    <t>Nosník I střešní  H 295 mm pásnice 90x40 mm,    - dodání</t>
  </si>
  <si>
    <t>(7,29*8)*1,08   +8% ztratného,   skladba střechy R1</t>
  </si>
  <si>
    <t>Konstrukční prvek profilu I, tvořený pásnicemi ze dřeva na stavební konstrukce podle ČSN 49 1531-1, nastavovaného zubovitým spojem podle ČSN EN 385 (49 1535) a stojinou z desky z orientovaných plochých třísek typu OSB/3 podle ČSN EN 300 (49 2615)  Jako nosné prvky dřevěných a smíšených stavebních konstrukcí zejména pro:  krovy - jako krokve a hambalky  podlahy a stropy – jako trámy  konstrukce nízkoenergetických staveb.</t>
  </si>
  <si>
    <t>Spojovací a ochranné prostředky pro střechy</t>
  </si>
  <si>
    <t>61,447*0,015   </t>
  </si>
  <si>
    <t>61,447*0,025   </t>
  </si>
  <si>
    <t>(7,29*0,295*0,030)*8*2   </t>
  </si>
  <si>
    <t>(0,09*0,04*7,29)*2*8   </t>
  </si>
  <si>
    <t>Přesun hmot pro tesařské konstrukce, výšky do 12 m</t>
  </si>
  <si>
    <t>Výška 12 m je nejmenší uvedená výška pro tesařské konstrukce v této databázi RTS položek.</t>
  </si>
  <si>
    <t>3,28*1   </t>
  </si>
  <si>
    <t>Konstrukce klempířské</t>
  </si>
  <si>
    <t>Oprava a obnovení vnějších parapetů z Pz plechu,rš 200 mm</t>
  </si>
  <si>
    <t>1,22+1,22+1,22+2,36   </t>
  </si>
  <si>
    <t>Závětrná lišta atikové zdi z Pz plechu - poplastovaného + RAL 9006,  rš 455 mm,   ozn. K1</t>
  </si>
  <si>
    <t>6,5*1   </t>
  </si>
  <si>
    <t>Vnější koutový profil z Pz plechu- poplastovaného+RAL 9006, rš 130 mm,  ozn. K2</t>
  </si>
  <si>
    <t>6*1   </t>
  </si>
  <si>
    <t>Oplechování parapetů včetně rohů Pz + RAL 9006, rš 340 mm:  cca 3ks parapetů, 6 bočních krytek  ozn.K3</t>
  </si>
  <si>
    <t>7,56*1   </t>
  </si>
  <si>
    <t>Žlaby z Pz plechu podokapní půlkruhové + RAL 9006, rš 400 mm,  ozn. K4</t>
  </si>
  <si>
    <t>Položka je kalkulována včetně háků, čel, rohů, rovných hrdel a dilatací.</t>
  </si>
  <si>
    <t>8,90*1   </t>
  </si>
  <si>
    <t>Odpadní trouby z Pz plechu+ RAL 9006, kruhové, D 125 mm,  ozn. K5</t>
  </si>
  <si>
    <t>Položka je kalkulována včetně nákladů na dodání zděří, manžet, odboček, kolen, odskoků, výpustí vody a přechodových kusů.</t>
  </si>
  <si>
    <t>Okapnička z Pz plechu- poplastovaného+ RAL 9006, rš 200 mm,   ozn. K6</t>
  </si>
  <si>
    <t>vč. přesahů pro případné spojovací drážky</t>
  </si>
  <si>
    <t>12,63*1   </t>
  </si>
  <si>
    <t>Oplechování říms z Pz plechu+ RAL 9006, rš 500 mm, ozn. K7</t>
  </si>
  <si>
    <t>12,69*1   </t>
  </si>
  <si>
    <t>Závětrná lišta z Pz plechu- poplastovaného + RAL 9006, rš 625 mm, ozn. K8</t>
  </si>
  <si>
    <t>7,29*1   </t>
  </si>
  <si>
    <t>Závětrná lišta z Pz plechu- poplastovaného+ RAL 9006, rš 290 až 380 mm,  ozn. K9</t>
  </si>
  <si>
    <t>1,78*1   </t>
  </si>
  <si>
    <t>Závětrná lišta z Pz plechu- poplastovaného+ RAL 9006, rš 250 mm,  ozn.K10</t>
  </si>
  <si>
    <t>vč. tmelu</t>
  </si>
  <si>
    <t>1,30*1   </t>
  </si>
  <si>
    <t>Ukončující profil ke svislé stěně z Pz plechu+RAL 9006, rš.260 mm, ozn. K11</t>
  </si>
  <si>
    <t>vč. tmelu a vč. hmoždinek</t>
  </si>
  <si>
    <t>19,10*1   </t>
  </si>
  <si>
    <t>Přesun hmot pro klempířské konstr., výšky do 6 m</t>
  </si>
  <si>
    <t>0,307*1   </t>
  </si>
  <si>
    <t>Truhlářské konstrukce a okna, dveře vč.povrchů</t>
  </si>
  <si>
    <t>Okna zdvojená otvíravá,do konstr.1kříd.nad 0,81 m2   - montáž</t>
  </si>
  <si>
    <t>2*1   okno O1</t>
  </si>
  <si>
    <t>Okno hliníkové jednokřídlové, 3 fixní části, dělené, trojsklo, vel.2520 x1660  mm (4,18 m2), paniková madla,    ozn O1 -dodání</t>
  </si>
  <si>
    <t>1*1   vč dodání podkladu s izolací pod rám,</t>
  </si>
  <si>
    <t>Okna zdvojená otvíravá,do konstr.2kříd.nad 2,10 m2,  - montáž</t>
  </si>
  <si>
    <t>1*1   okno O2</t>
  </si>
  <si>
    <t>Okno hliníkové dvoukřídlové - s automat. otevíračem, 3 fixní části, dělené, trojsklo, vel.2520 x1660 mm (4,18 m2), paniková madla,  ozn O2 -dodání</t>
  </si>
  <si>
    <t>Okna zdvojená otvíravá,do konstr .6kříd.nad 3,30 m2 - montáž</t>
  </si>
  <si>
    <t>vč. začištění ostění</t>
  </si>
  <si>
    <t>Okno hliníkové šestikřídlové, trojsklo, vel.2400 x1800  mm (4,32 m2), požár. odolnost EI30 DP1   ozn O5 -dodání</t>
  </si>
  <si>
    <t>Okna komplet. jednoduchá do rámů pl. nad 1,5 m2 - montáž</t>
  </si>
  <si>
    <t>1+1   okno O3, O4</t>
  </si>
  <si>
    <t>Okno ocelové ,požární, jednoduché fixní vel. 1220x2100 mm, (2,56 m2), požární sklo vč.venkovního plast.parapetu,PO EI 30 DP1 ,    ozn. O3  - dodání</t>
  </si>
  <si>
    <t>Okno ocelové ,požární, jednoduché fixní vel.1220x2100 mm,,požární sklo,vč.venkov.plast.parapetu ,PO EI 30 DP1,otvor-odvětrání,    ozn. O3  - dodání</t>
  </si>
  <si>
    <t>Okna komplet. jednoduchá do rámů pl. do 1,5 m2 - montáž</t>
  </si>
  <si>
    <t>2+1   okno O6, O7</t>
  </si>
  <si>
    <t>Nadsvětlík v příčce, fixní křídlo ,sklo tl. 6 mm, vel. 2500 x 600 mm,(1,50m2) ozn O6, - dodání</t>
  </si>
  <si>
    <t>2*1   </t>
  </si>
  <si>
    <t>Nadsvětlík v příčce, fixní křídlo ,sklo tl. 6 mm, vel. 1900 x 600 mm,(1,14m2) ozn O7, - dodání</t>
  </si>
  <si>
    <t>Balkón.dveře do rámu 1kříd.š. do 1m,s bočním světlíkem,  ozn. D1/P    - montáž</t>
  </si>
  <si>
    <t>Balkonové hliníkové dveře 90x197 cm s bočním světlíkem, izolační trojsklo, celková velikost: 1300 x 2150 mm (2,79m2),   ozn.D1/P,  - dodání</t>
  </si>
  <si>
    <t>Montáž zárubně a dveří ,otevíravých 1kř.nad 0,8 m,  pro dveře ozn. D2/L</t>
  </si>
  <si>
    <t>vč. dodání ocelového rámu 1300 x 2050 mm se zárubní 900 x 1970 mm</t>
  </si>
  <si>
    <t>Dveře vnitřní dřevěné, sklo 1kř. 90x197+boční světlík, vel.cca 1300 x 2050 mm, zarážka do podlahy, vč. kování, detailněji viz PD,  ozn.D2/L  -dodání</t>
  </si>
  <si>
    <t>Montáž dveří  - křídel protipožárních 1kříd. nad 80 cm,  - dveří D3/P</t>
  </si>
  <si>
    <t>- do ocelové zárubně</t>
  </si>
  <si>
    <t>Dveře protipožár. EI30 částečně prosklené 1kř. 90x197cm CPL,vč.kování , vč. zarážky do podlahy, detailněji viz PD,      ozn. D3/P  -dodání</t>
  </si>
  <si>
    <t>Dokování samozavírače na ocelovou zárubeň</t>
  </si>
  <si>
    <t>Zavírač dveří hydraulický K 204  č.14  stříbrná, ke dveřím č.D3/P , viz. Souhrn.technická zpráva      - dodání</t>
  </si>
  <si>
    <t>Přesun hmot pro truhlářské konstr., výšky do 6 m</t>
  </si>
  <si>
    <t>0,819*1   </t>
  </si>
  <si>
    <t>Konstrukce doplňkové stavební (zámečnické)</t>
  </si>
  <si>
    <t>Montáž stěn z ocelových profilů pro beztmelé zasklení, bez zasklení vč. kotvení do obvodových zdí domu a vč. dodání kotev</t>
  </si>
  <si>
    <t>7,50*3,58+3,69*3,08+8,35*3,08   </t>
  </si>
  <si>
    <t>JAKL 120/120/5 mm - profil čtvercový uzavř.svařovaný  S235,   dl.3,08 m,    9 ks,      - dodání</t>
  </si>
  <si>
    <t>(3,08*0,0178)*9*1,08   +8% ztratného,  hlavní sloupy rámu</t>
  </si>
  <si>
    <t>JAKL 100/100/5 mm, profil čtvercový uzavř.svařovaný  S235,  dl.3,39 m, 8 ks,        - dodání</t>
  </si>
  <si>
    <t>(0,0174*3,39)*8*1,08   +8% ztratného, podpůrné sloupky dřevěných I nosníků</t>
  </si>
  <si>
    <t>JAKL 80/80/5 mm, profil čtvercový uavř.svařovaný S235,  dl. 1,10 m.  2 ks,  ozn. Z5,     - dodání</t>
  </si>
  <si>
    <t>(0,0115*1,10)*2*1,08   +8% ztratného, ztužení.</t>
  </si>
  <si>
    <t>Montáž konstrukce zastropení z ocelových profilů, vč. svarů  a dodání šroubových spojů</t>
  </si>
  <si>
    <t>5,59*2+4,415+4,695+3,369+2,19+2,19+1,74+0,865   </t>
  </si>
  <si>
    <t>2,51*3   </t>
  </si>
  <si>
    <t>2,51*2   </t>
  </si>
  <si>
    <t>1,93*1   </t>
  </si>
  <si>
    <t>7,51*1   </t>
  </si>
  <si>
    <t>2,628*2   </t>
  </si>
  <si>
    <t>2,365*4   </t>
  </si>
  <si>
    <t>JAKL 140/140/5 mm, profil čtvercový uzavř.svařovaný S235  dl. 5,59 m,  2 ks,  ozn. T7 - dodání</t>
  </si>
  <si>
    <t>(5,59*0,021)*2*1,08   +8% ztratného, průvlak v podélném směru</t>
  </si>
  <si>
    <t>JAKL 140/140/5 mm, profil čtvercový uzavř.svařovaný S235  dl.  4,41m, 1 ks,   ozn.T8 - dodání</t>
  </si>
  <si>
    <t>(4,415*0,021)*1*1,08   +8% ztratného, průvlak v příčném směru</t>
  </si>
  <si>
    <t>JAKL 140/140/5 mm, profil čtvercový uzavř.svařovaný S235  dl.4,69 m,    1 ks,  ozn. T9,     - dodání</t>
  </si>
  <si>
    <t>(4,695*0,021)*1*1,08   +8% ztratného, průvlak v příčném směru</t>
  </si>
  <si>
    <t>JAKL 140/140/5 mm, profil čtvercový uzavř.svařovaný S235  dl. 3,69 m, 1 ks,  ozn. T10   - dodání</t>
  </si>
  <si>
    <t>(3,69*0,021)*1*1,08   +8% ztratného, průvlak v příčném směru</t>
  </si>
  <si>
    <t>JAKL 140/140/5 mm, profil čtvercový uzavř.svařovaný S235  dl. 2,19 m, 1 ks, .ozn.T11    - dodání</t>
  </si>
  <si>
    <t>(2,19*0,021)*1*1,08   +8% ztratného, průvlak v podélném směru</t>
  </si>
  <si>
    <t>JAKL 140/140/5 mm, profil čtvercový uzavř.svařovaný S235  dl. 2,19 m, 1 ks, .ozn.T12    - dodání</t>
  </si>
  <si>
    <t>JAKL 140/140/5 mm, profil čtvercový uzavř.svařovaný S235  dl. 1,74 m, 1 ks,  ozn.T13        - dodání</t>
  </si>
  <si>
    <t>(1,74*0,021)*1*1,08   +8% ztratného, průvlak v podélném směru</t>
  </si>
  <si>
    <t>JAKL 140/140/5 mm, profil čtvercový uzavř.svařovaný S235  dl. 0,86 m, 1 ks,  ozn. T14    - dodání</t>
  </si>
  <si>
    <t>(0,865*0,021)*1*1,08   +8% ztratného, průvlak v příčném směru</t>
  </si>
  <si>
    <t>JAKL 140/140/5 mm, profil čtvercový uzavř.svařovaný S235  dl. 2,51m, 3 ks,  ozn.T15,    - dodání</t>
  </si>
  <si>
    <t>(2,51*0,021)*3*1,08   +8% ztratného, rozpěra</t>
  </si>
  <si>
    <t>JAKL 100/100/5 mm, profil čtvercový uzavř.svařovaný  S235,  dl. 2,51 m,  2  ks,   ozn. T16        - dodání</t>
  </si>
  <si>
    <t>(2,51*0,0147)*2*1,08   +8% ztratného, rozpěra</t>
  </si>
  <si>
    <t>JAKL 100/100/5 mm, profil čtvercový uzavř.svařovaný  S235,  dl.1,93 m,   1 ks,   ozn. T17     - dodání</t>
  </si>
  <si>
    <t>(1,93*0,0147)*1*1,08   +8% ztratného, rozpěra</t>
  </si>
  <si>
    <t>JAKL 140/140/5 mm, profil čtvercový uzavř.svařovaný S235  dl. 7,51 m,  1 ks, ... ozn.T18   - dodání</t>
  </si>
  <si>
    <t>(7,51*0,021)*1*1,08   +8% ztratného, podpúrný průvlak dřev. I nosníků</t>
  </si>
  <si>
    <t>   v podélném směru</t>
  </si>
  <si>
    <t>Tyč ocelová kruhová jakost S235  D 16 mm, dl.2680 mm, 2 ks,   ozn.Z 3      - dodání</t>
  </si>
  <si>
    <t>(0,002*2,68)*2*1,08   +8 ztratného,  táhlo</t>
  </si>
  <si>
    <t>Tyč ocelová kruhová jakost S235  D 16 mm, dl.2365 mm, 4 ks,   ozn.Z 4      - dodání</t>
  </si>
  <si>
    <t>(0,002*2,365)*4*1,08   +8 ztratného, táhlo</t>
  </si>
  <si>
    <t>Montáž obložení stěn fasád z kovových lamel včetně montáže ocelového roštu</t>
  </si>
  <si>
    <t>ozn. A</t>
  </si>
  <si>
    <t>8,20+9,96   skladba W1,  W2.</t>
  </si>
  <si>
    <t>Fasádní obklad kovovými lamelami - FeZn tl. 1,0mm s povrchovou úpravou PES 25 um barva šedobílá RAL 9002 vč podklad. ocel.roštu tl.30 mm,    - dodání</t>
  </si>
  <si>
    <t>18,16*1,05   +5% ztratného,  ozn. W1,  W2.</t>
  </si>
  <si>
    <t>Montáž zábradlí plošného z trubek do zdiva a do ocel. sloupků - zábradlí terasy</t>
  </si>
  <si>
    <t>ozn. Z2</t>
  </si>
  <si>
    <t>2,70+3,25   </t>
  </si>
  <si>
    <t>Zábradlí terasy z pozinkované oceli+ lakováno RAL 9006,  detailněji  viz PD,      ozn. Z2  - dodání</t>
  </si>
  <si>
    <t>5,95*1,06   </t>
  </si>
  <si>
    <t>Montáž světlíků bodových pl.do 1,5 m2, otvíravých vč. všech konstr. uvedených v detailu č.2 vč. dodání:parozábrana,hydroizolace,těsnící silikon.hmot.</t>
  </si>
  <si>
    <t>hadicové těsnění,zvedací rám s přírubou, SPS náběhový klín apod. Položka také obsahuje montáž podstavce, kopule (jehlanu) a mechanického nebo elektrického ovládání včetně spojovacích prostředků.</t>
  </si>
  <si>
    <t>Světlík plastový -kopule obdélníková 90x120 cm 3vrstvá ml., výklopné křídlo, bílá barva, vč. distančního rámečku, a el.ovládání  - dodání</t>
  </si>
  <si>
    <t>Přesun hmot pro zámečnické konstr., výšky do 6 m</t>
  </si>
  <si>
    <t>3,15*1   </t>
  </si>
  <si>
    <t>Podlahy z dlaždic</t>
  </si>
  <si>
    <t>Penetrace podkladu pod dlažby</t>
  </si>
  <si>
    <t>Položka obsahuje montáž a dodávku penetračního nátěru pro zlepšení kontaktu s lepicím tmelem.</t>
  </si>
  <si>
    <t>15,80+36,40   skladba podlah F1,  krytá terasa a zimní zahrada</t>
  </si>
  <si>
    <t>Kladení dlažby keramické do cement. lepidla C2T vč. jeho dodání, dlažba vel 300 x 300 mm,          skladba F1</t>
  </si>
  <si>
    <t>15,80*1   krytá terasa</t>
  </si>
  <si>
    <t>36,40*1   zimní zahrada</t>
  </si>
  <si>
    <t>Keramická dlažba 300 x 300 mm, vnitřní, protiskluzová R9, dle výběru stavebníka,   - dodání</t>
  </si>
  <si>
    <t>36,40*1,05   +5 % ztratného,     skladba F1</t>
  </si>
  <si>
    <t>Obklad soklíků keram.rovných do MC, 25x6,5, H 6,5 cm</t>
  </si>
  <si>
    <t>7,51+2,10+5,31+0,90+2,10   krytá terasa</t>
  </si>
  <si>
    <t>0,90+5,30+0,86+0,58+1,74+0,50+8,04+3,20+0,34   zimní zahrada</t>
  </si>
  <si>
    <t>Sokl keramický, rovný,vnitřní vel.300 x 80 mm, tl.9 mm dle výběru stavebníka,  dodání</t>
  </si>
  <si>
    <t>(39,38/0,30)*1,05   +5% ztratného</t>
  </si>
  <si>
    <t>Přesun hmot pro podlahy z dlaždic, výšky do 6 m</t>
  </si>
  <si>
    <t>0,88*1   </t>
  </si>
  <si>
    <t>Malby</t>
  </si>
  <si>
    <t>Penetrace podkladu univerzální 1x, nových omítek</t>
  </si>
  <si>
    <t>13,48*1   </t>
  </si>
  <si>
    <t>Malba klasickým malířským nátěrem dle výběru investora , bílá,  2 x</t>
  </si>
  <si>
    <t>Penetrace podkladu univerzální, 1 x, - pro sádrokartonové plochy</t>
  </si>
  <si>
    <t>48,96+18,31+13,50+18,16+18,50   </t>
  </si>
  <si>
    <t>Nátěr SDK ploch: disperzní barva na bázi syntetických pryskyřic, bílý nátěr</t>
  </si>
  <si>
    <t>117,43*1   </t>
  </si>
  <si>
    <t>Žaluzie</t>
  </si>
  <si>
    <t>Žaluzie lamelové venkovní pro okna  - montáž</t>
  </si>
  <si>
    <t>vč. dodání doplňků jako jsou: vodící lišty, kolébkový spínač směrový, držáky apod.</t>
  </si>
  <si>
    <t>2+1   pro okna O1 a O2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</si>
</sst>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5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sz val="10"/>
      <color indexed="59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color indexed="16"/>
      <name val="Arial"/>
      <family val="0"/>
    </font>
    <font>
      <i/>
      <sz val="10"/>
      <color indexed="16"/>
      <name val="Arial"/>
      <family val="0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0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70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0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5" fillId="34" borderId="21" xfId="0" applyNumberFormat="1" applyFont="1" applyFill="1" applyBorder="1" applyAlignment="1" applyProtection="1">
      <alignment horizontal="center" vertical="center"/>
      <protection/>
    </xf>
    <xf numFmtId="49" fontId="16" fillId="0" borderId="22" xfId="0" applyNumberFormat="1" applyFont="1" applyFill="1" applyBorder="1" applyAlignment="1" applyProtection="1">
      <alignment horizontal="left" vertical="center"/>
      <protection/>
    </xf>
    <xf numFmtId="49" fontId="16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left" vertical="center"/>
      <protection/>
    </xf>
    <xf numFmtId="49" fontId="17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" fontId="17" fillId="0" borderId="21" xfId="0" applyNumberFormat="1" applyFont="1" applyFill="1" applyBorder="1" applyAlignment="1" applyProtection="1">
      <alignment horizontal="right" vertical="center"/>
      <protection/>
    </xf>
    <xf numFmtId="49" fontId="17" fillId="0" borderId="21" xfId="0" applyNumberFormat="1" applyFont="1" applyFill="1" applyBorder="1" applyAlignment="1" applyProtection="1">
      <alignment horizontal="right" vertical="center"/>
      <protection/>
    </xf>
    <xf numFmtId="4" fontId="17" fillId="0" borderId="27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6" fillId="34" borderId="31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4" fillId="35" borderId="34" xfId="0" applyNumberFormat="1" applyFont="1" applyFill="1" applyBorder="1" applyAlignment="1" applyProtection="1">
      <alignment horizontal="left" vertical="center"/>
      <protection/>
    </xf>
    <xf numFmtId="49" fontId="9" fillId="35" borderId="34" xfId="0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" fontId="9" fillId="35" borderId="34" xfId="0" applyNumberFormat="1" applyFont="1" applyFill="1" applyBorder="1" applyAlignment="1" applyProtection="1">
      <alignment horizontal="right" vertical="center"/>
      <protection/>
    </xf>
    <xf numFmtId="49" fontId="3" fillId="0" borderId="37" xfId="0" applyNumberFormat="1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4" fontId="19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1" applyNumberFormat="1" applyFont="1" applyFill="1" applyBorder="1" applyAlignment="1" applyProtection="1">
      <alignment/>
      <protection/>
    </xf>
    <xf numFmtId="4" fontId="20" fillId="0" borderId="0" xfId="0" applyNumberFormat="1" applyFont="1" applyFill="1" applyBorder="1" applyAlignment="1" applyProtection="1">
      <alignment horizontal="right" vertical="center"/>
      <protection/>
    </xf>
    <xf numFmtId="49" fontId="1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35" borderId="38" xfId="0" applyNumberFormat="1" applyFont="1" applyFill="1" applyBorder="1" applyAlignment="1" applyProtection="1">
      <alignment horizontal="left" vertical="center"/>
      <protection/>
    </xf>
    <xf numFmtId="49" fontId="9" fillId="35" borderId="38" xfId="0" applyNumberFormat="1" applyFont="1" applyFill="1" applyBorder="1" applyAlignment="1" applyProtection="1">
      <alignment horizontal="left" vertical="center"/>
      <protection/>
    </xf>
    <xf numFmtId="4" fontId="9" fillId="35" borderId="38" xfId="0" applyNumberFormat="1" applyFont="1" applyFill="1" applyBorder="1" applyAlignment="1" applyProtection="1">
      <alignment horizontal="right" vertical="center"/>
      <protection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1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 horizontal="right" vertical="center"/>
      <protection/>
    </xf>
    <xf numFmtId="49" fontId="19" fillId="36" borderId="39" xfId="0" applyNumberFormat="1" applyFont="1" applyFill="1" applyBorder="1" applyAlignment="1" applyProtection="1">
      <alignment horizontal="left" vertical="center"/>
      <protection/>
    </xf>
    <xf numFmtId="0" fontId="19" fillId="36" borderId="38" xfId="1" applyNumberFormat="1" applyFont="1" applyFill="1" applyBorder="1" applyAlignment="1" applyProtection="1">
      <alignment/>
      <protection/>
    </xf>
    <xf numFmtId="4" fontId="19" fillId="36" borderId="39" xfId="0" applyNumberFormat="1" applyFont="1" applyFill="1" applyBorder="1" applyAlignment="1" applyProtection="1">
      <alignment horizontal="right" vertical="center"/>
      <protection/>
    </xf>
    <xf numFmtId="4" fontId="20" fillId="36" borderId="38" xfId="0" applyNumberFormat="1" applyFont="1" applyFill="1" applyBorder="1" applyAlignment="1" applyProtection="1">
      <alignment horizontal="right" vertical="center"/>
      <protection/>
    </xf>
    <xf numFmtId="49" fontId="21" fillId="36" borderId="39" xfId="0" applyNumberFormat="1" applyFont="1" applyFill="1" applyBorder="1" applyAlignment="1" applyProtection="1">
      <alignment horizontal="left" vertical="center"/>
      <protection/>
    </xf>
    <xf numFmtId="0" fontId="21" fillId="36" borderId="38" xfId="1" applyNumberFormat="1" applyFont="1" applyFill="1" applyBorder="1" applyAlignment="1" applyProtection="1">
      <alignment/>
      <protection/>
    </xf>
    <xf numFmtId="4" fontId="21" fillId="36" borderId="39" xfId="0" applyNumberFormat="1" applyFont="1" applyFill="1" applyBorder="1" applyAlignment="1" applyProtection="1">
      <alignment horizontal="right" vertical="center"/>
      <protection/>
    </xf>
    <xf numFmtId="4" fontId="22" fillId="36" borderId="38" xfId="0" applyNumberFormat="1" applyFont="1" applyFill="1" applyBorder="1" applyAlignment="1" applyProtection="1">
      <alignment horizontal="right" vertical="center"/>
      <protection/>
    </xf>
    <xf numFmtId="0" fontId="19" fillId="0" borderId="11" xfId="0" applyNumberFormat="1" applyFont="1" applyFill="1" applyBorder="1" applyAlignment="1" applyProtection="1">
      <alignment vertical="center"/>
      <protection/>
    </xf>
    <xf numFmtId="4" fontId="2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49" fontId="14" fillId="0" borderId="42" xfId="0" applyNumberFormat="1" applyFont="1" applyFill="1" applyBorder="1" applyAlignment="1" applyProtection="1">
      <alignment horizontal="center" vertical="center"/>
      <protection/>
    </xf>
    <xf numFmtId="0" fontId="14" fillId="0" borderId="42" xfId="0" applyNumberFormat="1" applyFont="1" applyFill="1" applyBorder="1" applyAlignment="1" applyProtection="1">
      <alignment horizontal="center" vertical="center"/>
      <protection/>
    </xf>
    <xf numFmtId="49" fontId="18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NumberFormat="1" applyFont="1" applyFill="1" applyBorder="1" applyAlignment="1" applyProtection="1">
      <alignment horizontal="left" vertical="center"/>
      <protection/>
    </xf>
    <xf numFmtId="49" fontId="17" fillId="0" borderId="30" xfId="0" applyNumberFormat="1" applyFont="1" applyFill="1" applyBorder="1" applyAlignment="1" applyProtection="1">
      <alignment horizontal="left" vertical="center"/>
      <protection/>
    </xf>
    <xf numFmtId="0" fontId="17" fillId="0" borderId="31" xfId="0" applyNumberFormat="1" applyFont="1" applyFill="1" applyBorder="1" applyAlignment="1" applyProtection="1">
      <alignment horizontal="left" vertical="center"/>
      <protection/>
    </xf>
    <xf numFmtId="49" fontId="16" fillId="0" borderId="30" xfId="0" applyNumberFormat="1" applyFont="1" applyFill="1" applyBorder="1" applyAlignment="1" applyProtection="1">
      <alignment horizontal="left" vertical="center"/>
      <protection/>
    </xf>
    <xf numFmtId="0" fontId="16" fillId="0" borderId="31" xfId="0" applyNumberFormat="1" applyFont="1" applyFill="1" applyBorder="1" applyAlignment="1" applyProtection="1">
      <alignment horizontal="left" vertical="center"/>
      <protection/>
    </xf>
    <xf numFmtId="49" fontId="16" fillId="34" borderId="30" xfId="0" applyNumberFormat="1" applyFont="1" applyFill="1" applyBorder="1" applyAlignment="1" applyProtection="1">
      <alignment horizontal="left" vertical="center"/>
      <protection/>
    </xf>
    <xf numFmtId="0" fontId="16" fillId="34" borderId="42" xfId="0" applyNumberFormat="1" applyFont="1" applyFill="1" applyBorder="1" applyAlignment="1" applyProtection="1">
      <alignment horizontal="left" vertical="center"/>
      <protection/>
    </xf>
    <xf numFmtId="49" fontId="17" fillId="0" borderId="43" xfId="0" applyNumberFormat="1" applyFont="1" applyFill="1" applyBorder="1" applyAlignment="1" applyProtection="1">
      <alignment horizontal="left" vertical="center"/>
      <protection/>
    </xf>
    <xf numFmtId="0" fontId="17" fillId="0" borderId="18" xfId="0" applyNumberFormat="1" applyFont="1" applyFill="1" applyBorder="1" applyAlignment="1" applyProtection="1">
      <alignment horizontal="left" vertical="center"/>
      <protection/>
    </xf>
    <xf numFmtId="0" fontId="17" fillId="0" borderId="44" xfId="0" applyNumberFormat="1" applyFont="1" applyFill="1" applyBorder="1" applyAlignment="1" applyProtection="1">
      <alignment horizontal="left" vertical="center"/>
      <protection/>
    </xf>
    <xf numFmtId="49" fontId="17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45" xfId="0" applyNumberFormat="1" applyFont="1" applyFill="1" applyBorder="1" applyAlignment="1" applyProtection="1">
      <alignment horizontal="left" vertical="center"/>
      <protection/>
    </xf>
    <xf numFmtId="49" fontId="17" fillId="0" borderId="46" xfId="0" applyNumberFormat="1" applyFont="1" applyFill="1" applyBorder="1" applyAlignment="1" applyProtection="1">
      <alignment horizontal="left" vertical="center"/>
      <protection/>
    </xf>
    <xf numFmtId="0" fontId="17" fillId="0" borderId="47" xfId="0" applyNumberFormat="1" applyFont="1" applyFill="1" applyBorder="1" applyAlignment="1" applyProtection="1">
      <alignment horizontal="left" vertical="center"/>
      <protection/>
    </xf>
    <xf numFmtId="0" fontId="17" fillId="0" borderId="48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3" fillId="0" borderId="51" xfId="0" applyNumberFormat="1" applyFont="1" applyFill="1" applyBorder="1" applyAlignment="1" applyProtection="1">
      <alignment horizontal="left" vertical="center"/>
      <protection/>
    </xf>
    <xf numFmtId="0" fontId="3" fillId="0" borderId="5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54" xfId="0" applyNumberFormat="1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6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49" fontId="9" fillId="35" borderId="57" xfId="0" applyNumberFormat="1" applyFont="1" applyFill="1" applyBorder="1" applyAlignment="1" applyProtection="1">
      <alignment horizontal="left" vertical="center"/>
      <protection/>
    </xf>
    <xf numFmtId="0" fontId="9" fillId="37" borderId="18" xfId="0" applyNumberFormat="1" applyFont="1" applyFill="1" applyBorder="1" applyAlignment="1" applyProtection="1">
      <alignment horizontal="left" vertical="center"/>
      <protection/>
    </xf>
    <xf numFmtId="0" fontId="9" fillId="37" borderId="34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19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9" fontId="9" fillId="35" borderId="58" xfId="0" applyNumberFormat="1" applyFont="1" applyFill="1" applyBorder="1" applyAlignment="1" applyProtection="1">
      <alignment horizontal="left" vertical="center"/>
      <protection/>
    </xf>
    <xf numFmtId="0" fontId="9" fillId="37" borderId="0" xfId="0" applyNumberFormat="1" applyFont="1" applyFill="1" applyBorder="1" applyAlignment="1" applyProtection="1">
      <alignment horizontal="left" vertical="center"/>
      <protection/>
    </xf>
    <xf numFmtId="0" fontId="9" fillId="37" borderId="38" xfId="0" applyNumberFormat="1" applyFont="1" applyFill="1" applyBorder="1" applyAlignment="1" applyProtection="1">
      <alignment horizontal="left" vertical="center"/>
      <protection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49" fontId="19" fillId="36" borderId="59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horizontal="left" vertical="center"/>
      <protection/>
    </xf>
    <xf numFmtId="49" fontId="20" fillId="36" borderId="58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21" fillId="36" borderId="59" xfId="0" applyNumberFormat="1" applyFont="1" applyFill="1" applyBorder="1" applyAlignment="1" applyProtection="1">
      <alignment horizontal="left" vertical="center"/>
      <protection/>
    </xf>
    <xf numFmtId="0" fontId="7" fillId="0" borderId="39" xfId="0" applyNumberFormat="1" applyFont="1" applyFill="1" applyBorder="1" applyAlignment="1" applyProtection="1">
      <alignment horizontal="left" vertical="center"/>
      <protection/>
    </xf>
    <xf numFmtId="49" fontId="22" fillId="36" borderId="58" xfId="0" applyNumberFormat="1" applyFont="1" applyFill="1" applyBorder="1" applyAlignment="1" applyProtection="1">
      <alignment horizontal="left" vertical="center"/>
      <protection/>
    </xf>
    <xf numFmtId="49" fontId="2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21.57421875" style="0" customWidth="1"/>
    <col min="6" max="6" width="28.57421875" style="0" customWidth="1"/>
    <col min="7" max="7" width="15.28125" style="0" customWidth="1"/>
    <col min="8" max="8" width="16.140625" style="0" customWidth="1"/>
    <col min="9" max="9" width="22.8515625" style="0" customWidth="1"/>
  </cols>
  <sheetData>
    <row r="1" spans="1:9" ht="72.75" customHeight="1">
      <c r="A1" s="47"/>
      <c r="B1" s="4"/>
      <c r="C1" s="81" t="s">
        <v>220</v>
      </c>
      <c r="D1" s="82"/>
      <c r="E1" s="82"/>
      <c r="F1" s="82"/>
      <c r="G1" s="82"/>
      <c r="H1" s="82"/>
      <c r="I1" s="82"/>
    </row>
    <row r="2" spans="1:10" ht="12.75">
      <c r="A2" s="83" t="s">
        <v>250</v>
      </c>
      <c r="B2" s="84"/>
      <c r="C2" s="87" t="str">
        <f>'Stavební rozpočet'!C2</f>
        <v>Rekonstrukce terasy ve zvýšeném přízemí , Domov  Buda,k.ú,Nesměň u Zásmuk</v>
      </c>
      <c r="D2" s="88"/>
      <c r="E2" s="90" t="s">
        <v>110</v>
      </c>
      <c r="F2" s="90" t="str">
        <f>'Stavební rozpočet'!I2</f>
        <v>Domov Buda, Neměň 70, Zásmuky</v>
      </c>
      <c r="G2" s="84"/>
      <c r="H2" s="90" t="s">
        <v>245</v>
      </c>
      <c r="I2" s="91"/>
      <c r="J2" s="18"/>
    </row>
    <row r="3" spans="1:10" ht="25.5" customHeight="1">
      <c r="A3" s="85"/>
      <c r="B3" s="86"/>
      <c r="C3" s="89"/>
      <c r="D3" s="89"/>
      <c r="E3" s="86"/>
      <c r="F3" s="86"/>
      <c r="G3" s="86"/>
      <c r="H3" s="86"/>
      <c r="I3" s="92"/>
      <c r="J3" s="18"/>
    </row>
    <row r="4" spans="1:10" ht="12.75">
      <c r="A4" s="93" t="s">
        <v>251</v>
      </c>
      <c r="B4" s="86"/>
      <c r="C4" s="94" t="str">
        <f>'Stavební rozpočet'!C4</f>
        <v>rekonstrukce:zastřešení terasy</v>
      </c>
      <c r="D4" s="86"/>
      <c r="E4" s="94" t="s">
        <v>111</v>
      </c>
      <c r="F4" s="94" t="str">
        <f>'Stavební rozpočet'!I4</f>
        <v>Ing.arch.Martin Jirovský Ph.D., MBA</v>
      </c>
      <c r="G4" s="86"/>
      <c r="H4" s="94" t="s">
        <v>245</v>
      </c>
      <c r="I4" s="95"/>
      <c r="J4" s="18"/>
    </row>
    <row r="5" spans="1:10" ht="12.75">
      <c r="A5" s="85"/>
      <c r="B5" s="86"/>
      <c r="C5" s="86"/>
      <c r="D5" s="86"/>
      <c r="E5" s="86"/>
      <c r="F5" s="86"/>
      <c r="G5" s="86"/>
      <c r="H5" s="86"/>
      <c r="I5" s="92"/>
      <c r="J5" s="18"/>
    </row>
    <row r="6" spans="1:10" ht="12.75">
      <c r="A6" s="93" t="s">
        <v>252</v>
      </c>
      <c r="B6" s="86"/>
      <c r="C6" s="94" t="str">
        <f>'Stavební rozpočet'!C6</f>
        <v>Nesměň u Zásmuk</v>
      </c>
      <c r="D6" s="86"/>
      <c r="E6" s="94" t="s">
        <v>112</v>
      </c>
      <c r="F6" s="94" t="str">
        <f>'Stavební rozpočet'!I6</f>
        <v>Ing.Hana Rotová,M.A.A.T.Tábor</v>
      </c>
      <c r="G6" s="86"/>
      <c r="H6" s="94" t="s">
        <v>245</v>
      </c>
      <c r="I6" s="95"/>
      <c r="J6" s="18"/>
    </row>
    <row r="7" spans="1:10" ht="12.75">
      <c r="A7" s="85"/>
      <c r="B7" s="86"/>
      <c r="C7" s="86"/>
      <c r="D7" s="86"/>
      <c r="E7" s="86"/>
      <c r="F7" s="86"/>
      <c r="G7" s="86"/>
      <c r="H7" s="86"/>
      <c r="I7" s="92"/>
      <c r="J7" s="18"/>
    </row>
    <row r="8" spans="1:10" ht="12.75">
      <c r="A8" s="93" t="s">
        <v>95</v>
      </c>
      <c r="B8" s="86"/>
      <c r="C8" s="94" t="str">
        <f>'Stavební rozpočet'!F4</f>
        <v> </v>
      </c>
      <c r="D8" s="86"/>
      <c r="E8" s="94" t="s">
        <v>96</v>
      </c>
      <c r="F8" s="94" t="str">
        <f>'Stavební rozpočet'!F6</f>
        <v> </v>
      </c>
      <c r="G8" s="86"/>
      <c r="H8" s="96" t="s">
        <v>246</v>
      </c>
      <c r="I8" s="95" t="s">
        <v>474</v>
      </c>
      <c r="J8" s="18"/>
    </row>
    <row r="9" spans="1:10" ht="12.75">
      <c r="A9" s="85"/>
      <c r="B9" s="86"/>
      <c r="C9" s="86"/>
      <c r="D9" s="86"/>
      <c r="E9" s="86"/>
      <c r="F9" s="86"/>
      <c r="G9" s="86"/>
      <c r="H9" s="86"/>
      <c r="I9" s="92"/>
      <c r="J9" s="18"/>
    </row>
    <row r="10" spans="1:10" ht="12.75">
      <c r="A10" s="93" t="s">
        <v>253</v>
      </c>
      <c r="B10" s="86"/>
      <c r="C10" s="94" t="str">
        <f>'Stavební rozpočet'!C8</f>
        <v> </v>
      </c>
      <c r="D10" s="86"/>
      <c r="E10" s="94" t="s">
        <v>113</v>
      </c>
      <c r="F10" s="94" t="str">
        <f>'Stavební rozpočet'!I8</f>
        <v>Martina Kraftová, Tábor</v>
      </c>
      <c r="G10" s="86"/>
      <c r="H10" s="96" t="s">
        <v>247</v>
      </c>
      <c r="I10" s="99" t="str">
        <f>'Stavební rozpočet'!F8</f>
        <v>25.03.2020</v>
      </c>
      <c r="J10" s="18"/>
    </row>
    <row r="11" spans="1:10" ht="12.75">
      <c r="A11" s="97"/>
      <c r="B11" s="98"/>
      <c r="C11" s="98"/>
      <c r="D11" s="98"/>
      <c r="E11" s="98"/>
      <c r="F11" s="98"/>
      <c r="G11" s="98"/>
      <c r="H11" s="98"/>
      <c r="I11" s="100"/>
      <c r="J11" s="18"/>
    </row>
    <row r="12" spans="1:9" ht="23.25" customHeight="1">
      <c r="A12" s="101" t="s">
        <v>205</v>
      </c>
      <c r="B12" s="102"/>
      <c r="C12" s="102"/>
      <c r="D12" s="102"/>
      <c r="E12" s="102"/>
      <c r="F12" s="102"/>
      <c r="G12" s="102"/>
      <c r="H12" s="102"/>
      <c r="I12" s="102"/>
    </row>
    <row r="13" spans="1:10" ht="26.25" customHeight="1">
      <c r="A13" s="31" t="s">
        <v>206</v>
      </c>
      <c r="B13" s="103" t="s">
        <v>218</v>
      </c>
      <c r="C13" s="104"/>
      <c r="D13" s="31" t="s">
        <v>221</v>
      </c>
      <c r="E13" s="103" t="s">
        <v>230</v>
      </c>
      <c r="F13" s="104"/>
      <c r="G13" s="31" t="s">
        <v>231</v>
      </c>
      <c r="H13" s="103" t="s">
        <v>248</v>
      </c>
      <c r="I13" s="104"/>
      <c r="J13" s="18"/>
    </row>
    <row r="14" spans="1:10" ht="15" customHeight="1">
      <c r="A14" s="32" t="s">
        <v>207</v>
      </c>
      <c r="B14" s="36" t="s">
        <v>219</v>
      </c>
      <c r="C14" s="40">
        <f>SUM('Stavební rozpočet'!AA12:AA563)</f>
        <v>0</v>
      </c>
      <c r="D14" s="105" t="s">
        <v>222</v>
      </c>
      <c r="E14" s="106"/>
      <c r="F14" s="40">
        <v>0</v>
      </c>
      <c r="G14" s="105" t="s">
        <v>232</v>
      </c>
      <c r="H14" s="106"/>
      <c r="I14" s="40">
        <v>0</v>
      </c>
      <c r="J14" s="18"/>
    </row>
    <row r="15" spans="1:10" ht="15" customHeight="1">
      <c r="A15" s="33"/>
      <c r="B15" s="36" t="s">
        <v>123</v>
      </c>
      <c r="C15" s="40">
        <f>SUM('Stavební rozpočet'!AB12:AB563)</f>
        <v>0</v>
      </c>
      <c r="D15" s="105" t="s">
        <v>223</v>
      </c>
      <c r="E15" s="106"/>
      <c r="F15" s="40">
        <v>0</v>
      </c>
      <c r="G15" s="105" t="s">
        <v>233</v>
      </c>
      <c r="H15" s="106"/>
      <c r="I15" s="40">
        <v>0</v>
      </c>
      <c r="J15" s="18"/>
    </row>
    <row r="16" spans="1:10" ht="15" customHeight="1">
      <c r="A16" s="32" t="s">
        <v>208</v>
      </c>
      <c r="B16" s="36" t="s">
        <v>219</v>
      </c>
      <c r="C16" s="40">
        <f>SUM('Stavební rozpočet'!AC12:AC563)</f>
        <v>0</v>
      </c>
      <c r="D16" s="105" t="s">
        <v>224</v>
      </c>
      <c r="E16" s="106"/>
      <c r="F16" s="40">
        <v>0</v>
      </c>
      <c r="G16" s="105" t="s">
        <v>234</v>
      </c>
      <c r="H16" s="106"/>
      <c r="I16" s="40">
        <v>0</v>
      </c>
      <c r="J16" s="18"/>
    </row>
    <row r="17" spans="1:10" ht="15" customHeight="1">
      <c r="A17" s="33"/>
      <c r="B17" s="36" t="s">
        <v>123</v>
      </c>
      <c r="C17" s="40">
        <f>SUM('Stavební rozpočet'!AD12:AD563)</f>
        <v>0</v>
      </c>
      <c r="D17" s="105"/>
      <c r="E17" s="106"/>
      <c r="F17" s="41"/>
      <c r="G17" s="105" t="s">
        <v>235</v>
      </c>
      <c r="H17" s="106"/>
      <c r="I17" s="40">
        <v>0</v>
      </c>
      <c r="J17" s="18"/>
    </row>
    <row r="18" spans="1:10" ht="15" customHeight="1">
      <c r="A18" s="32" t="s">
        <v>209</v>
      </c>
      <c r="B18" s="36" t="s">
        <v>219</v>
      </c>
      <c r="C18" s="40">
        <f>SUM('Stavební rozpočet'!AE12:AE563)</f>
        <v>0</v>
      </c>
      <c r="D18" s="105"/>
      <c r="E18" s="106"/>
      <c r="F18" s="41"/>
      <c r="G18" s="105" t="s">
        <v>236</v>
      </c>
      <c r="H18" s="106"/>
      <c r="I18" s="40">
        <v>0</v>
      </c>
      <c r="J18" s="18"/>
    </row>
    <row r="19" spans="1:10" ht="15" customHeight="1">
      <c r="A19" s="33"/>
      <c r="B19" s="36" t="s">
        <v>123</v>
      </c>
      <c r="C19" s="40">
        <f>SUM('Stavební rozpočet'!AF12:AF563)</f>
        <v>0</v>
      </c>
      <c r="D19" s="105"/>
      <c r="E19" s="106"/>
      <c r="F19" s="41"/>
      <c r="G19" s="105" t="s">
        <v>237</v>
      </c>
      <c r="H19" s="106"/>
      <c r="I19" s="40">
        <v>0</v>
      </c>
      <c r="J19" s="18"/>
    </row>
    <row r="20" spans="1:10" ht="15" customHeight="1">
      <c r="A20" s="107" t="s">
        <v>210</v>
      </c>
      <c r="B20" s="108"/>
      <c r="C20" s="40">
        <f>SUM('Stavební rozpočet'!AG12:AG563)</f>
        <v>0</v>
      </c>
      <c r="D20" s="105"/>
      <c r="E20" s="106"/>
      <c r="F20" s="41"/>
      <c r="G20" s="105"/>
      <c r="H20" s="106"/>
      <c r="I20" s="41"/>
      <c r="J20" s="18"/>
    </row>
    <row r="21" spans="1:10" ht="15" customHeight="1">
      <c r="A21" s="107" t="s">
        <v>211</v>
      </c>
      <c r="B21" s="108"/>
      <c r="C21" s="40">
        <f>SUM('Stavební rozpočet'!Y12:Y563)</f>
        <v>0</v>
      </c>
      <c r="D21" s="105"/>
      <c r="E21" s="106"/>
      <c r="F21" s="41"/>
      <c r="G21" s="105"/>
      <c r="H21" s="106"/>
      <c r="I21" s="41"/>
      <c r="J21" s="18"/>
    </row>
    <row r="22" spans="1:10" ht="16.5" customHeight="1">
      <c r="A22" s="107" t="s">
        <v>212</v>
      </c>
      <c r="B22" s="108"/>
      <c r="C22" s="40">
        <f>SUM(C14:C21)</f>
        <v>0</v>
      </c>
      <c r="D22" s="107" t="s">
        <v>225</v>
      </c>
      <c r="E22" s="108"/>
      <c r="F22" s="40">
        <f>SUM(F14:F21)</f>
        <v>0</v>
      </c>
      <c r="G22" s="107" t="s">
        <v>238</v>
      </c>
      <c r="H22" s="108"/>
      <c r="I22" s="40">
        <f>SUM(I14:I21)</f>
        <v>0</v>
      </c>
      <c r="J22" s="18"/>
    </row>
    <row r="23" spans="1:10" ht="15" customHeight="1">
      <c r="A23" s="5"/>
      <c r="B23" s="5"/>
      <c r="C23" s="38"/>
      <c r="D23" s="107" t="s">
        <v>226</v>
      </c>
      <c r="E23" s="108"/>
      <c r="F23" s="42">
        <v>0</v>
      </c>
      <c r="G23" s="107" t="s">
        <v>239</v>
      </c>
      <c r="H23" s="108"/>
      <c r="I23" s="40">
        <v>0</v>
      </c>
      <c r="J23" s="18"/>
    </row>
    <row r="24" spans="4:9" ht="15" customHeight="1">
      <c r="D24" s="5"/>
      <c r="E24" s="5"/>
      <c r="F24" s="43"/>
      <c r="G24" s="107" t="s">
        <v>240</v>
      </c>
      <c r="H24" s="108"/>
      <c r="I24" s="45"/>
    </row>
    <row r="25" spans="6:10" ht="15" customHeight="1">
      <c r="F25" s="44"/>
      <c r="G25" s="107" t="s">
        <v>241</v>
      </c>
      <c r="H25" s="108"/>
      <c r="I25" s="40">
        <v>0</v>
      </c>
      <c r="J25" s="18"/>
    </row>
    <row r="26" spans="1:9" ht="12.75">
      <c r="A26" s="4"/>
      <c r="B26" s="4"/>
      <c r="C26" s="4"/>
      <c r="G26" s="5"/>
      <c r="H26" s="5"/>
      <c r="I26" s="5"/>
    </row>
    <row r="27" spans="1:9" ht="15" customHeight="1">
      <c r="A27" s="109" t="s">
        <v>213</v>
      </c>
      <c r="B27" s="110"/>
      <c r="C27" s="46">
        <f>SUM('Stavební rozpočet'!AI12:AI563)</f>
        <v>0</v>
      </c>
      <c r="D27" s="39"/>
      <c r="E27" s="4"/>
      <c r="F27" s="4"/>
      <c r="G27" s="4"/>
      <c r="H27" s="4"/>
      <c r="I27" s="4"/>
    </row>
    <row r="28" spans="1:10" ht="15" customHeight="1">
      <c r="A28" s="109" t="s">
        <v>214</v>
      </c>
      <c r="B28" s="110"/>
      <c r="C28" s="46">
        <f>SUM('Stavební rozpočet'!AJ12:AJ563)+(F22+I22+F23+I23+I24+I25)</f>
        <v>0</v>
      </c>
      <c r="D28" s="109" t="s">
        <v>227</v>
      </c>
      <c r="E28" s="110"/>
      <c r="F28" s="46">
        <f>ROUND(C28*(15/100),2)</f>
        <v>0</v>
      </c>
      <c r="G28" s="109" t="s">
        <v>242</v>
      </c>
      <c r="H28" s="110"/>
      <c r="I28" s="46">
        <f>SUM(C27:C29)</f>
        <v>0</v>
      </c>
      <c r="J28" s="18"/>
    </row>
    <row r="29" spans="1:10" ht="15" customHeight="1">
      <c r="A29" s="109" t="s">
        <v>215</v>
      </c>
      <c r="B29" s="110"/>
      <c r="C29" s="46">
        <f>SUM('Stavební rozpočet'!AK12:AK563)</f>
        <v>0</v>
      </c>
      <c r="D29" s="109" t="s">
        <v>228</v>
      </c>
      <c r="E29" s="110"/>
      <c r="F29" s="46">
        <f>ROUND(C29*(21/100),2)</f>
        <v>0</v>
      </c>
      <c r="G29" s="109" t="s">
        <v>243</v>
      </c>
      <c r="H29" s="110"/>
      <c r="I29" s="46">
        <f>SUM(F28:F29)+I28</f>
        <v>0</v>
      </c>
      <c r="J29" s="18"/>
    </row>
    <row r="30" spans="1:9" ht="12.75">
      <c r="A30" s="34"/>
      <c r="B30" s="34"/>
      <c r="C30" s="34"/>
      <c r="D30" s="34"/>
      <c r="E30" s="34"/>
      <c r="F30" s="34"/>
      <c r="G30" s="34"/>
      <c r="H30" s="34"/>
      <c r="I30" s="34"/>
    </row>
    <row r="31" spans="1:10" ht="14.25" customHeight="1">
      <c r="A31" s="111" t="s">
        <v>216</v>
      </c>
      <c r="B31" s="112"/>
      <c r="C31" s="113"/>
      <c r="D31" s="111" t="s">
        <v>229</v>
      </c>
      <c r="E31" s="112"/>
      <c r="F31" s="113"/>
      <c r="G31" s="111" t="s">
        <v>244</v>
      </c>
      <c r="H31" s="112"/>
      <c r="I31" s="113"/>
      <c r="J31" s="19"/>
    </row>
    <row r="32" spans="1:10" ht="14.25" customHeight="1">
      <c r="A32" s="114"/>
      <c r="B32" s="115"/>
      <c r="C32" s="116"/>
      <c r="D32" s="114"/>
      <c r="E32" s="115"/>
      <c r="F32" s="116"/>
      <c r="G32" s="114"/>
      <c r="H32" s="115"/>
      <c r="I32" s="116"/>
      <c r="J32" s="19"/>
    </row>
    <row r="33" spans="1:10" ht="14.25" customHeight="1">
      <c r="A33" s="114"/>
      <c r="B33" s="115"/>
      <c r="C33" s="116"/>
      <c r="D33" s="114"/>
      <c r="E33" s="115"/>
      <c r="F33" s="116"/>
      <c r="G33" s="114"/>
      <c r="H33" s="115"/>
      <c r="I33" s="116"/>
      <c r="J33" s="19"/>
    </row>
    <row r="34" spans="1:10" ht="14.25" customHeight="1">
      <c r="A34" s="114"/>
      <c r="B34" s="115"/>
      <c r="C34" s="116"/>
      <c r="D34" s="114"/>
      <c r="E34" s="115"/>
      <c r="F34" s="116"/>
      <c r="G34" s="114"/>
      <c r="H34" s="115"/>
      <c r="I34" s="116"/>
      <c r="J34" s="19"/>
    </row>
    <row r="35" spans="1:10" ht="20.25" customHeight="1">
      <c r="A35" s="117" t="s">
        <v>217</v>
      </c>
      <c r="B35" s="118"/>
      <c r="C35" s="119"/>
      <c r="D35" s="117" t="s">
        <v>217</v>
      </c>
      <c r="E35" s="118"/>
      <c r="F35" s="119"/>
      <c r="G35" s="117" t="s">
        <v>217</v>
      </c>
      <c r="H35" s="118"/>
      <c r="I35" s="119"/>
      <c r="J35" s="19"/>
    </row>
    <row r="36" spans="1:9" ht="11.25" customHeight="1">
      <c r="A36" s="35" t="s">
        <v>475</v>
      </c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94"/>
      <c r="B37" s="86"/>
      <c r="C37" s="86"/>
      <c r="D37" s="86"/>
      <c r="E37" s="86"/>
      <c r="F37" s="86"/>
      <c r="G37" s="86"/>
      <c r="H37" s="86"/>
      <c r="I37" s="86"/>
    </row>
  </sheetData>
  <sheetProtection/>
  <mergeCells count="83"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  <mergeCell ref="A31:C31"/>
    <mergeCell ref="D31:F31"/>
    <mergeCell ref="G31:I31"/>
    <mergeCell ref="A32:C32"/>
    <mergeCell ref="D32:F32"/>
    <mergeCell ref="G32:I32"/>
    <mergeCell ref="G25:H25"/>
    <mergeCell ref="A27:B27"/>
    <mergeCell ref="A28:B28"/>
    <mergeCell ref="D28:E28"/>
    <mergeCell ref="G28:H28"/>
    <mergeCell ref="A29:B29"/>
    <mergeCell ref="D29:E29"/>
    <mergeCell ref="G29:H29"/>
    <mergeCell ref="A22:B22"/>
    <mergeCell ref="D22:E22"/>
    <mergeCell ref="G22:H22"/>
    <mergeCell ref="D23:E23"/>
    <mergeCell ref="G23:H23"/>
    <mergeCell ref="G24:H24"/>
    <mergeCell ref="A20:B20"/>
    <mergeCell ref="D20:E20"/>
    <mergeCell ref="G20:H20"/>
    <mergeCell ref="A21:B21"/>
    <mergeCell ref="D21:E21"/>
    <mergeCell ref="G21:H21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A8:B9"/>
    <mergeCell ref="C8:D9"/>
    <mergeCell ref="A12:I12"/>
    <mergeCell ref="B13:C13"/>
    <mergeCell ref="E13:F13"/>
    <mergeCell ref="H13:I13"/>
    <mergeCell ref="A10:B11"/>
    <mergeCell ref="C10:D11"/>
    <mergeCell ref="E10:E11"/>
    <mergeCell ref="F10:G11"/>
    <mergeCell ref="H10:H11"/>
    <mergeCell ref="I10:I11"/>
    <mergeCell ref="E8:E9"/>
    <mergeCell ref="F8:G9"/>
    <mergeCell ref="H4:H5"/>
    <mergeCell ref="I4:I5"/>
    <mergeCell ref="H6:H7"/>
    <mergeCell ref="I6:I7"/>
    <mergeCell ref="H8:H9"/>
    <mergeCell ref="I8:I9"/>
    <mergeCell ref="A4:B5"/>
    <mergeCell ref="C4:D5"/>
    <mergeCell ref="E4:E5"/>
    <mergeCell ref="F4:G5"/>
    <mergeCell ref="A6:B7"/>
    <mergeCell ref="C6:D7"/>
    <mergeCell ref="E6:E7"/>
    <mergeCell ref="F6:G7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11.574218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0" style="0" hidden="1" customWidth="1"/>
  </cols>
  <sheetData>
    <row r="1" spans="1:7" ht="72.75" customHeight="1">
      <c r="A1" s="120" t="s">
        <v>197</v>
      </c>
      <c r="B1" s="82"/>
      <c r="C1" s="82"/>
      <c r="D1" s="82"/>
      <c r="E1" s="82"/>
      <c r="F1" s="82"/>
      <c r="G1" s="82"/>
    </row>
    <row r="2" spans="1:8" ht="12.75">
      <c r="A2" s="83" t="s">
        <v>250</v>
      </c>
      <c r="B2" s="87" t="str">
        <f>'Stavební rozpočet'!C2</f>
        <v>Rekonstrukce terasy ve zvýšeném přízemí , Domov  Buda,k.ú,Nesměň u Zásmuk</v>
      </c>
      <c r="C2" s="88"/>
      <c r="D2" s="90" t="s">
        <v>110</v>
      </c>
      <c r="E2" s="90" t="str">
        <f>'Stavební rozpočet'!I2</f>
        <v>Domov Buda, Neměň 70, Zásmuky</v>
      </c>
      <c r="F2" s="84"/>
      <c r="G2" s="121"/>
      <c r="H2" s="18"/>
    </row>
    <row r="3" spans="1:8" ht="12.75">
      <c r="A3" s="85"/>
      <c r="B3" s="89"/>
      <c r="C3" s="89"/>
      <c r="D3" s="86"/>
      <c r="E3" s="86"/>
      <c r="F3" s="86"/>
      <c r="G3" s="92"/>
      <c r="H3" s="18"/>
    </row>
    <row r="4" spans="1:8" ht="12.75">
      <c r="A4" s="93" t="s">
        <v>251</v>
      </c>
      <c r="B4" s="94" t="str">
        <f>'Stavební rozpočet'!C4</f>
        <v>rekonstrukce:zastřešení terasy</v>
      </c>
      <c r="C4" s="86"/>
      <c r="D4" s="94" t="s">
        <v>111</v>
      </c>
      <c r="E4" s="94" t="str">
        <f>'Stavební rozpočet'!I4</f>
        <v>Ing.arch.Martin Jirovský Ph.D., MBA</v>
      </c>
      <c r="F4" s="86"/>
      <c r="G4" s="92"/>
      <c r="H4" s="18"/>
    </row>
    <row r="5" spans="1:8" ht="12.75">
      <c r="A5" s="85"/>
      <c r="B5" s="86"/>
      <c r="C5" s="86"/>
      <c r="D5" s="86"/>
      <c r="E5" s="86"/>
      <c r="F5" s="86"/>
      <c r="G5" s="92"/>
      <c r="H5" s="18"/>
    </row>
    <row r="6" spans="1:8" ht="12.75">
      <c r="A6" s="93" t="s">
        <v>252</v>
      </c>
      <c r="B6" s="94" t="str">
        <f>'Stavební rozpočet'!C6</f>
        <v>Nesměň u Zásmuk</v>
      </c>
      <c r="C6" s="86"/>
      <c r="D6" s="94" t="s">
        <v>112</v>
      </c>
      <c r="E6" s="94" t="str">
        <f>'Stavební rozpočet'!I6</f>
        <v>Ing.Hana Rotová,M.A.A.T.Tábor</v>
      </c>
      <c r="F6" s="86"/>
      <c r="G6" s="92"/>
      <c r="H6" s="18"/>
    </row>
    <row r="7" spans="1:8" ht="12.75">
      <c r="A7" s="85"/>
      <c r="B7" s="86"/>
      <c r="C7" s="86"/>
      <c r="D7" s="86"/>
      <c r="E7" s="86"/>
      <c r="F7" s="86"/>
      <c r="G7" s="92"/>
      <c r="H7" s="18"/>
    </row>
    <row r="8" spans="1:8" ht="12.75">
      <c r="A8" s="93" t="s">
        <v>113</v>
      </c>
      <c r="B8" s="94" t="str">
        <f>'Stavební rozpočet'!I8</f>
        <v>Martina Kraftová, Tábor</v>
      </c>
      <c r="C8" s="86"/>
      <c r="D8" s="96" t="s">
        <v>97</v>
      </c>
      <c r="E8" s="94" t="str">
        <f>'Stavební rozpočet'!F8</f>
        <v>25.03.2020</v>
      </c>
      <c r="F8" s="86"/>
      <c r="G8" s="92"/>
      <c r="H8" s="18"/>
    </row>
    <row r="9" spans="1:8" ht="12.75">
      <c r="A9" s="122"/>
      <c r="B9" s="123"/>
      <c r="C9" s="123"/>
      <c r="D9" s="123"/>
      <c r="E9" s="123"/>
      <c r="F9" s="123"/>
      <c r="G9" s="124"/>
      <c r="H9" s="18"/>
    </row>
    <row r="10" spans="1:8" ht="12.75">
      <c r="A10" s="24" t="s">
        <v>198</v>
      </c>
      <c r="B10" s="26" t="s">
        <v>476</v>
      </c>
      <c r="C10" s="125" t="s">
        <v>199</v>
      </c>
      <c r="D10" s="126"/>
      <c r="E10" s="27" t="s">
        <v>200</v>
      </c>
      <c r="F10" s="27" t="s">
        <v>201</v>
      </c>
      <c r="G10" s="27" t="s">
        <v>202</v>
      </c>
      <c r="H10" s="18"/>
    </row>
    <row r="11" spans="1:9" ht="12.75">
      <c r="A11" s="25" t="s">
        <v>134</v>
      </c>
      <c r="B11" s="25"/>
      <c r="C11" s="127" t="s">
        <v>690</v>
      </c>
      <c r="D11" s="128"/>
      <c r="E11" s="29">
        <f>'Stavební rozpočet'!I12</f>
        <v>0</v>
      </c>
      <c r="F11" s="29">
        <f>'Stavební rozpočet'!J12</f>
        <v>0</v>
      </c>
      <c r="G11" s="29">
        <f>'Stavební rozpočet'!K12</f>
        <v>0</v>
      </c>
      <c r="H11" s="20" t="s">
        <v>203</v>
      </c>
      <c r="I11" s="20">
        <f aca="true" t="shared" si="0" ref="I11:I51">IF(H11="F",0,G11)</f>
        <v>0</v>
      </c>
    </row>
    <row r="12" spans="1:9" ht="12.75">
      <c r="A12" s="10" t="s">
        <v>134</v>
      </c>
      <c r="B12" s="10" t="s">
        <v>477</v>
      </c>
      <c r="C12" s="96" t="s">
        <v>691</v>
      </c>
      <c r="D12" s="86"/>
      <c r="E12" s="20">
        <f>'Stavební rozpočet'!I13</f>
        <v>0</v>
      </c>
      <c r="F12" s="20">
        <f>'Stavební rozpočet'!J13</f>
        <v>0</v>
      </c>
      <c r="G12" s="20">
        <f>'Stavební rozpočet'!K13</f>
        <v>0</v>
      </c>
      <c r="H12" s="20" t="s">
        <v>204</v>
      </c>
      <c r="I12" s="20">
        <f t="shared" si="0"/>
        <v>0</v>
      </c>
    </row>
    <row r="13" spans="1:9" ht="12.75">
      <c r="A13" s="10" t="s">
        <v>134</v>
      </c>
      <c r="B13" s="10" t="s">
        <v>351</v>
      </c>
      <c r="C13" s="96" t="s">
        <v>693</v>
      </c>
      <c r="D13" s="86"/>
      <c r="E13" s="20">
        <f>'Stavební rozpočet'!I15</f>
        <v>0</v>
      </c>
      <c r="F13" s="20">
        <f>'Stavební rozpočet'!J15</f>
        <v>0</v>
      </c>
      <c r="G13" s="20">
        <f>'Stavební rozpočet'!K15</f>
        <v>0</v>
      </c>
      <c r="H13" s="20" t="s">
        <v>204</v>
      </c>
      <c r="I13" s="20">
        <f t="shared" si="0"/>
        <v>0</v>
      </c>
    </row>
    <row r="14" spans="1:9" ht="12.75">
      <c r="A14" s="10" t="s">
        <v>134</v>
      </c>
      <c r="B14" s="10" t="s">
        <v>352</v>
      </c>
      <c r="C14" s="96" t="s">
        <v>718</v>
      </c>
      <c r="D14" s="86"/>
      <c r="E14" s="20">
        <f>'Stavební rozpočet'!I45</f>
        <v>0</v>
      </c>
      <c r="F14" s="20">
        <f>'Stavební rozpočet'!J45</f>
        <v>0</v>
      </c>
      <c r="G14" s="20">
        <f>'Stavební rozpočet'!K45</f>
        <v>0</v>
      </c>
      <c r="H14" s="20" t="s">
        <v>204</v>
      </c>
      <c r="I14" s="20">
        <f t="shared" si="0"/>
        <v>0</v>
      </c>
    </row>
    <row r="15" spans="1:9" ht="12.75">
      <c r="A15" s="10" t="s">
        <v>134</v>
      </c>
      <c r="B15" s="10" t="s">
        <v>491</v>
      </c>
      <c r="C15" s="96" t="s">
        <v>725</v>
      </c>
      <c r="D15" s="86"/>
      <c r="E15" s="20">
        <f>'Stavební rozpočet'!I52</f>
        <v>0</v>
      </c>
      <c r="F15" s="20">
        <f>'Stavební rozpočet'!J52</f>
        <v>0</v>
      </c>
      <c r="G15" s="20">
        <f>'Stavební rozpočet'!K52</f>
        <v>0</v>
      </c>
      <c r="H15" s="20" t="s">
        <v>204</v>
      </c>
      <c r="I15" s="20">
        <f t="shared" si="0"/>
        <v>0</v>
      </c>
    </row>
    <row r="16" spans="1:9" ht="12.75">
      <c r="A16" s="10" t="s">
        <v>135</v>
      </c>
      <c r="B16" s="10"/>
      <c r="C16" s="96" t="s">
        <v>733</v>
      </c>
      <c r="D16" s="86"/>
      <c r="E16" s="20">
        <f>'Stavební rozpočet'!I65</f>
        <v>0</v>
      </c>
      <c r="F16" s="20">
        <f>'Stavební rozpočet'!J65</f>
        <v>0</v>
      </c>
      <c r="G16" s="20">
        <f>'Stavební rozpočet'!K65</f>
        <v>0</v>
      </c>
      <c r="H16" s="20" t="s">
        <v>203</v>
      </c>
      <c r="I16" s="20">
        <f t="shared" si="0"/>
        <v>0</v>
      </c>
    </row>
    <row r="17" spans="1:9" ht="12.75">
      <c r="A17" s="10" t="s">
        <v>135</v>
      </c>
      <c r="B17" s="10" t="s">
        <v>477</v>
      </c>
      <c r="C17" s="96" t="s">
        <v>691</v>
      </c>
      <c r="D17" s="86"/>
      <c r="E17" s="20">
        <f>'Stavební rozpočet'!I66</f>
        <v>0</v>
      </c>
      <c r="F17" s="20">
        <f>'Stavební rozpočet'!J66</f>
        <v>0</v>
      </c>
      <c r="G17" s="20">
        <f>'Stavební rozpočet'!K66</f>
        <v>0</v>
      </c>
      <c r="H17" s="20" t="s">
        <v>204</v>
      </c>
      <c r="I17" s="20">
        <f t="shared" si="0"/>
        <v>0</v>
      </c>
    </row>
    <row r="18" spans="1:9" ht="12.75">
      <c r="A18" s="10" t="s">
        <v>135</v>
      </c>
      <c r="B18" s="10" t="s">
        <v>283</v>
      </c>
      <c r="C18" s="96" t="s">
        <v>736</v>
      </c>
      <c r="D18" s="86"/>
      <c r="E18" s="20">
        <f>'Stavební rozpočet'!I69</f>
        <v>0</v>
      </c>
      <c r="F18" s="20">
        <f>'Stavební rozpočet'!J69</f>
        <v>0</v>
      </c>
      <c r="G18" s="20">
        <f>'Stavební rozpočet'!K69</f>
        <v>0</v>
      </c>
      <c r="H18" s="20" t="s">
        <v>204</v>
      </c>
      <c r="I18" s="20">
        <f t="shared" si="0"/>
        <v>0</v>
      </c>
    </row>
    <row r="19" spans="1:9" ht="12.75">
      <c r="A19" s="10" t="s">
        <v>135</v>
      </c>
      <c r="B19" s="10" t="s">
        <v>286</v>
      </c>
      <c r="C19" s="96" t="s">
        <v>741</v>
      </c>
      <c r="D19" s="86"/>
      <c r="E19" s="20">
        <f>'Stavební rozpočet'!I74</f>
        <v>0</v>
      </c>
      <c r="F19" s="20">
        <f>'Stavební rozpočet'!J74</f>
        <v>0</v>
      </c>
      <c r="G19" s="20">
        <f>'Stavební rozpočet'!K74</f>
        <v>0</v>
      </c>
      <c r="H19" s="20" t="s">
        <v>204</v>
      </c>
      <c r="I19" s="20">
        <f t="shared" si="0"/>
        <v>0</v>
      </c>
    </row>
    <row r="20" spans="1:9" ht="12.75">
      <c r="A20" s="10" t="s">
        <v>135</v>
      </c>
      <c r="B20" s="10" t="s">
        <v>289</v>
      </c>
      <c r="C20" s="96" t="s">
        <v>747</v>
      </c>
      <c r="D20" s="86"/>
      <c r="E20" s="20">
        <f>'Stavební rozpočet'!I80</f>
        <v>0</v>
      </c>
      <c r="F20" s="20">
        <f>'Stavební rozpočet'!J80</f>
        <v>0</v>
      </c>
      <c r="G20" s="20">
        <f>'Stavební rozpočet'!K80</f>
        <v>0</v>
      </c>
      <c r="H20" s="20" t="s">
        <v>204</v>
      </c>
      <c r="I20" s="20">
        <f t="shared" si="0"/>
        <v>0</v>
      </c>
    </row>
    <row r="21" spans="1:9" ht="12.75">
      <c r="A21" s="10" t="s">
        <v>135</v>
      </c>
      <c r="B21" s="10" t="s">
        <v>296</v>
      </c>
      <c r="C21" s="96" t="s">
        <v>772</v>
      </c>
      <c r="D21" s="86"/>
      <c r="E21" s="20">
        <f>'Stavební rozpočet'!I106</f>
        <v>0</v>
      </c>
      <c r="F21" s="20">
        <f>'Stavební rozpočet'!J106</f>
        <v>0</v>
      </c>
      <c r="G21" s="20">
        <f>'Stavební rozpočet'!K106</f>
        <v>0</v>
      </c>
      <c r="H21" s="20" t="s">
        <v>204</v>
      </c>
      <c r="I21" s="20">
        <f t="shared" si="0"/>
        <v>0</v>
      </c>
    </row>
    <row r="22" spans="1:9" ht="12.75">
      <c r="A22" s="10" t="s">
        <v>135</v>
      </c>
      <c r="B22" s="10" t="s">
        <v>316</v>
      </c>
      <c r="C22" s="96" t="s">
        <v>793</v>
      </c>
      <c r="D22" s="86"/>
      <c r="E22" s="20">
        <f>'Stavební rozpočet'!I127</f>
        <v>0</v>
      </c>
      <c r="F22" s="20">
        <f>'Stavební rozpočet'!J127</f>
        <v>0</v>
      </c>
      <c r="G22" s="20">
        <f>'Stavební rozpočet'!K127</f>
        <v>0</v>
      </c>
      <c r="H22" s="20" t="s">
        <v>204</v>
      </c>
      <c r="I22" s="20">
        <f t="shared" si="0"/>
        <v>0</v>
      </c>
    </row>
    <row r="23" spans="1:9" ht="12.75">
      <c r="A23" s="10" t="s">
        <v>135</v>
      </c>
      <c r="B23" s="10" t="s">
        <v>318</v>
      </c>
      <c r="C23" s="96" t="s">
        <v>798</v>
      </c>
      <c r="D23" s="86"/>
      <c r="E23" s="20">
        <f>'Stavební rozpočet'!I132</f>
        <v>0</v>
      </c>
      <c r="F23" s="20">
        <f>'Stavební rozpočet'!J132</f>
        <v>0</v>
      </c>
      <c r="G23" s="20">
        <f>'Stavební rozpočet'!K132</f>
        <v>0</v>
      </c>
      <c r="H23" s="20" t="s">
        <v>204</v>
      </c>
      <c r="I23" s="20">
        <f t="shared" si="0"/>
        <v>0</v>
      </c>
    </row>
    <row r="24" spans="1:9" ht="12.75">
      <c r="A24" s="10" t="s">
        <v>135</v>
      </c>
      <c r="B24" s="10" t="s">
        <v>319</v>
      </c>
      <c r="C24" s="96" t="s">
        <v>814</v>
      </c>
      <c r="D24" s="86"/>
      <c r="E24" s="20">
        <f>'Stavební rozpočet'!I149</f>
        <v>0</v>
      </c>
      <c r="F24" s="20">
        <f>'Stavební rozpočet'!J149</f>
        <v>0</v>
      </c>
      <c r="G24" s="20">
        <f>'Stavební rozpočet'!K149</f>
        <v>0</v>
      </c>
      <c r="H24" s="20" t="s">
        <v>204</v>
      </c>
      <c r="I24" s="20">
        <f t="shared" si="0"/>
        <v>0</v>
      </c>
    </row>
    <row r="25" spans="1:9" ht="12.75">
      <c r="A25" s="10" t="s">
        <v>135</v>
      </c>
      <c r="B25" s="10" t="s">
        <v>522</v>
      </c>
      <c r="C25" s="96" t="s">
        <v>818</v>
      </c>
      <c r="D25" s="86"/>
      <c r="E25" s="20">
        <f>'Stavební rozpočet'!I154</f>
        <v>0</v>
      </c>
      <c r="F25" s="20">
        <f>'Stavební rozpočet'!J154</f>
        <v>0</v>
      </c>
      <c r="G25" s="20">
        <f>'Stavební rozpočet'!K154</f>
        <v>0</v>
      </c>
      <c r="H25" s="20" t="s">
        <v>204</v>
      </c>
      <c r="I25" s="20">
        <f t="shared" si="0"/>
        <v>0</v>
      </c>
    </row>
    <row r="26" spans="1:9" ht="12.75">
      <c r="A26" s="10" t="s">
        <v>135</v>
      </c>
      <c r="B26" s="10" t="s">
        <v>526</v>
      </c>
      <c r="C26" s="96" t="s">
        <v>825</v>
      </c>
      <c r="D26" s="86"/>
      <c r="E26" s="20">
        <f>'Stavební rozpočet'!I161</f>
        <v>0</v>
      </c>
      <c r="F26" s="20">
        <f>'Stavební rozpočet'!J161</f>
        <v>0</v>
      </c>
      <c r="G26" s="20">
        <f>'Stavební rozpočet'!K161</f>
        <v>0</v>
      </c>
      <c r="H26" s="20" t="s">
        <v>204</v>
      </c>
      <c r="I26" s="20">
        <f t="shared" si="0"/>
        <v>0</v>
      </c>
    </row>
    <row r="27" spans="1:9" ht="12.75">
      <c r="A27" s="10" t="s">
        <v>135</v>
      </c>
      <c r="B27" s="10" t="s">
        <v>529</v>
      </c>
      <c r="C27" s="96" t="s">
        <v>831</v>
      </c>
      <c r="D27" s="86"/>
      <c r="E27" s="20">
        <f>'Stavební rozpočet'!I168</f>
        <v>0</v>
      </c>
      <c r="F27" s="20">
        <f>'Stavební rozpočet'!J168</f>
        <v>0</v>
      </c>
      <c r="G27" s="20">
        <f>'Stavební rozpočet'!K168</f>
        <v>0</v>
      </c>
      <c r="H27" s="20" t="s">
        <v>204</v>
      </c>
      <c r="I27" s="20">
        <f t="shared" si="0"/>
        <v>0</v>
      </c>
    </row>
    <row r="28" spans="1:9" ht="12.75">
      <c r="A28" s="10" t="s">
        <v>135</v>
      </c>
      <c r="B28" s="10" t="s">
        <v>541</v>
      </c>
      <c r="C28" s="96" t="s">
        <v>850</v>
      </c>
      <c r="D28" s="86"/>
      <c r="E28" s="20">
        <f>'Stavební rozpočet'!I191</f>
        <v>0</v>
      </c>
      <c r="F28" s="20">
        <f>'Stavební rozpočet'!J191</f>
        <v>0</v>
      </c>
      <c r="G28" s="20">
        <f>'Stavební rozpočet'!K191</f>
        <v>0</v>
      </c>
      <c r="H28" s="20" t="s">
        <v>204</v>
      </c>
      <c r="I28" s="20">
        <f t="shared" si="0"/>
        <v>0</v>
      </c>
    </row>
    <row r="29" spans="1:9" ht="12.75">
      <c r="A29" s="10" t="s">
        <v>135</v>
      </c>
      <c r="B29" s="10" t="s">
        <v>545</v>
      </c>
      <c r="C29" s="96" t="s">
        <v>858</v>
      </c>
      <c r="D29" s="86"/>
      <c r="E29" s="20">
        <f>'Stavební rozpočet'!I199</f>
        <v>0</v>
      </c>
      <c r="F29" s="20">
        <f>'Stavební rozpočet'!J199</f>
        <v>0</v>
      </c>
      <c r="G29" s="20">
        <f>'Stavební rozpočet'!K199</f>
        <v>0</v>
      </c>
      <c r="H29" s="20" t="s">
        <v>204</v>
      </c>
      <c r="I29" s="20">
        <f t="shared" si="0"/>
        <v>0</v>
      </c>
    </row>
    <row r="30" spans="1:9" ht="12.75">
      <c r="A30" s="10" t="s">
        <v>135</v>
      </c>
      <c r="B30" s="10" t="s">
        <v>554</v>
      </c>
      <c r="C30" s="96" t="s">
        <v>872</v>
      </c>
      <c r="D30" s="86"/>
      <c r="E30" s="20">
        <f>'Stavební rozpočet'!I218</f>
        <v>0</v>
      </c>
      <c r="F30" s="20">
        <f>'Stavební rozpočet'!J218</f>
        <v>0</v>
      </c>
      <c r="G30" s="20">
        <f>'Stavební rozpočet'!K218</f>
        <v>0</v>
      </c>
      <c r="H30" s="20" t="s">
        <v>204</v>
      </c>
      <c r="I30" s="20">
        <f t="shared" si="0"/>
        <v>0</v>
      </c>
    </row>
    <row r="31" spans="1:9" ht="12.75">
      <c r="A31" s="10" t="s">
        <v>135</v>
      </c>
      <c r="B31" s="10" t="s">
        <v>557</v>
      </c>
      <c r="C31" s="96" t="s">
        <v>878</v>
      </c>
      <c r="D31" s="86"/>
      <c r="E31" s="20">
        <f>'Stavební rozpočet'!I224</f>
        <v>0</v>
      </c>
      <c r="F31" s="20">
        <f>'Stavební rozpočet'!J224</f>
        <v>0</v>
      </c>
      <c r="G31" s="20">
        <f>'Stavební rozpočet'!K224</f>
        <v>0</v>
      </c>
      <c r="H31" s="20" t="s">
        <v>204</v>
      </c>
      <c r="I31" s="20">
        <f t="shared" si="0"/>
        <v>0</v>
      </c>
    </row>
    <row r="32" spans="1:9" ht="12.75">
      <c r="A32" s="10" t="s">
        <v>135</v>
      </c>
      <c r="B32" s="10" t="s">
        <v>568</v>
      </c>
      <c r="C32" s="96" t="s">
        <v>905</v>
      </c>
      <c r="D32" s="86"/>
      <c r="E32" s="20">
        <f>'Stavební rozpočet'!I252</f>
        <v>0</v>
      </c>
      <c r="F32" s="20">
        <f>'Stavební rozpočet'!J252</f>
        <v>0</v>
      </c>
      <c r="G32" s="20">
        <f>'Stavební rozpočet'!K252</f>
        <v>0</v>
      </c>
      <c r="H32" s="20" t="s">
        <v>204</v>
      </c>
      <c r="I32" s="20">
        <f t="shared" si="0"/>
        <v>0</v>
      </c>
    </row>
    <row r="33" spans="1:9" ht="12.75">
      <c r="A33" s="10" t="s">
        <v>135</v>
      </c>
      <c r="B33" s="10" t="s">
        <v>582</v>
      </c>
      <c r="C33" s="96" t="s">
        <v>936</v>
      </c>
      <c r="D33" s="86"/>
      <c r="E33" s="20">
        <f>'Stavební rozpočet'!I286</f>
        <v>0</v>
      </c>
      <c r="F33" s="20">
        <f>'Stavební rozpočet'!J286</f>
        <v>0</v>
      </c>
      <c r="G33" s="20">
        <f>'Stavební rozpočet'!K286</f>
        <v>0</v>
      </c>
      <c r="H33" s="20" t="s">
        <v>204</v>
      </c>
      <c r="I33" s="20">
        <f t="shared" si="0"/>
        <v>0</v>
      </c>
    </row>
    <row r="34" spans="1:9" ht="12.75">
      <c r="A34" s="10" t="s">
        <v>135</v>
      </c>
      <c r="B34" s="10" t="s">
        <v>601</v>
      </c>
      <c r="C34" s="96" t="s">
        <v>968</v>
      </c>
      <c r="D34" s="86"/>
      <c r="E34" s="20">
        <f>'Stavební rozpočet'!I333</f>
        <v>0</v>
      </c>
      <c r="F34" s="20">
        <f>'Stavební rozpočet'!J333</f>
        <v>0</v>
      </c>
      <c r="G34" s="20">
        <f>'Stavební rozpočet'!K333</f>
        <v>0</v>
      </c>
      <c r="H34" s="20" t="s">
        <v>204</v>
      </c>
      <c r="I34" s="20">
        <f t="shared" si="0"/>
        <v>0</v>
      </c>
    </row>
    <row r="35" spans="1:9" ht="12.75">
      <c r="A35" s="10" t="s">
        <v>135</v>
      </c>
      <c r="B35" s="10" t="s">
        <v>614</v>
      </c>
      <c r="C35" s="96" t="s">
        <v>1028</v>
      </c>
      <c r="D35" s="86"/>
      <c r="E35" s="20">
        <f>'Stavební rozpočet'!I396</f>
        <v>0</v>
      </c>
      <c r="F35" s="20">
        <f>'Stavební rozpočet'!J396</f>
        <v>0</v>
      </c>
      <c r="G35" s="20">
        <f>'Stavební rozpočet'!K396</f>
        <v>0</v>
      </c>
      <c r="H35" s="20" t="s">
        <v>204</v>
      </c>
      <c r="I35" s="20">
        <f t="shared" si="0"/>
        <v>0</v>
      </c>
    </row>
    <row r="36" spans="1:9" ht="12.75">
      <c r="A36" s="10" t="s">
        <v>135</v>
      </c>
      <c r="B36" s="10" t="s">
        <v>621</v>
      </c>
      <c r="C36" s="96" t="s">
        <v>1044</v>
      </c>
      <c r="D36" s="86"/>
      <c r="E36" s="20">
        <f>'Stavební rozpočet'!I412</f>
        <v>0</v>
      </c>
      <c r="F36" s="20">
        <f>'Stavební rozpočet'!J412</f>
        <v>0</v>
      </c>
      <c r="G36" s="20">
        <f>'Stavební rozpočet'!K412</f>
        <v>0</v>
      </c>
      <c r="H36" s="20" t="s">
        <v>204</v>
      </c>
      <c r="I36" s="20">
        <f t="shared" si="0"/>
        <v>0</v>
      </c>
    </row>
    <row r="37" spans="1:9" ht="12.75">
      <c r="A37" s="10" t="s">
        <v>135</v>
      </c>
      <c r="B37" s="10" t="s">
        <v>626</v>
      </c>
      <c r="C37" s="96" t="s">
        <v>1052</v>
      </c>
      <c r="D37" s="86"/>
      <c r="E37" s="20">
        <f>'Stavební rozpočet'!I421</f>
        <v>0</v>
      </c>
      <c r="F37" s="20">
        <f>'Stavební rozpočet'!J421</f>
        <v>0</v>
      </c>
      <c r="G37" s="20">
        <f>'Stavební rozpočet'!K421</f>
        <v>0</v>
      </c>
      <c r="H37" s="20" t="s">
        <v>204</v>
      </c>
      <c r="I37" s="20">
        <f t="shared" si="0"/>
        <v>0</v>
      </c>
    </row>
    <row r="38" spans="1:9" ht="12.75">
      <c r="A38" s="10" t="s">
        <v>135</v>
      </c>
      <c r="B38" s="10" t="s">
        <v>349</v>
      </c>
      <c r="C38" s="96" t="s">
        <v>3</v>
      </c>
      <c r="D38" s="86"/>
      <c r="E38" s="20">
        <f>'Stavební rozpočet'!I429</f>
        <v>0</v>
      </c>
      <c r="F38" s="20">
        <f>'Stavební rozpočet'!J429</f>
        <v>0</v>
      </c>
      <c r="G38" s="20">
        <f>'Stavební rozpočet'!K429</f>
        <v>0</v>
      </c>
      <c r="H38" s="20" t="s">
        <v>204</v>
      </c>
      <c r="I38" s="20">
        <f t="shared" si="0"/>
        <v>0</v>
      </c>
    </row>
    <row r="39" spans="1:9" ht="12.75">
      <c r="A39" s="10" t="s">
        <v>135</v>
      </c>
      <c r="B39" s="10" t="s">
        <v>350</v>
      </c>
      <c r="C39" s="96" t="s">
        <v>19</v>
      </c>
      <c r="D39" s="86"/>
      <c r="E39" s="20">
        <f>'Stavební rozpočet'!I447</f>
        <v>0</v>
      </c>
      <c r="F39" s="20">
        <f>'Stavební rozpočet'!J447</f>
        <v>0</v>
      </c>
      <c r="G39" s="20">
        <f>'Stavební rozpočet'!K447</f>
        <v>0</v>
      </c>
      <c r="H39" s="20" t="s">
        <v>204</v>
      </c>
      <c r="I39" s="20">
        <f t="shared" si="0"/>
        <v>0</v>
      </c>
    </row>
    <row r="40" spans="1:9" ht="12.75">
      <c r="A40" s="10" t="s">
        <v>135</v>
      </c>
      <c r="B40" s="10" t="s">
        <v>644</v>
      </c>
      <c r="C40" s="96" t="s">
        <v>32</v>
      </c>
      <c r="D40" s="86"/>
      <c r="E40" s="20">
        <f>'Stavební rozpočet'!I464</f>
        <v>0</v>
      </c>
      <c r="F40" s="20">
        <f>'Stavební rozpočet'!J464</f>
        <v>0</v>
      </c>
      <c r="G40" s="20">
        <f>'Stavební rozpočet'!K464</f>
        <v>0</v>
      </c>
      <c r="H40" s="20" t="s">
        <v>204</v>
      </c>
      <c r="I40" s="20">
        <f t="shared" si="0"/>
        <v>0</v>
      </c>
    </row>
    <row r="41" spans="1:9" ht="12.75">
      <c r="A41" s="10" t="s">
        <v>136</v>
      </c>
      <c r="B41" s="10"/>
      <c r="C41" s="96" t="s">
        <v>35</v>
      </c>
      <c r="D41" s="86"/>
      <c r="E41" s="20">
        <f>'Stavební rozpočet'!I467</f>
        <v>0</v>
      </c>
      <c r="F41" s="20">
        <f>'Stavební rozpočet'!J467</f>
        <v>0</v>
      </c>
      <c r="G41" s="20">
        <f>'Stavební rozpočet'!K467</f>
        <v>0</v>
      </c>
      <c r="H41" s="20" t="s">
        <v>203</v>
      </c>
      <c r="I41" s="20">
        <f t="shared" si="0"/>
        <v>0</v>
      </c>
    </row>
    <row r="42" spans="1:9" ht="12.75">
      <c r="A42" s="10" t="s">
        <v>136</v>
      </c>
      <c r="B42" s="10" t="s">
        <v>529</v>
      </c>
      <c r="C42" s="96" t="s">
        <v>831</v>
      </c>
      <c r="D42" s="86"/>
      <c r="E42" s="20">
        <f>'Stavební rozpočet'!I468</f>
        <v>0</v>
      </c>
      <c r="F42" s="20">
        <f>'Stavební rozpočet'!J468</f>
        <v>0</v>
      </c>
      <c r="G42" s="20">
        <f>'Stavební rozpočet'!K468</f>
        <v>0</v>
      </c>
      <c r="H42" s="20" t="s">
        <v>204</v>
      </c>
      <c r="I42" s="20">
        <f t="shared" si="0"/>
        <v>0</v>
      </c>
    </row>
    <row r="43" spans="1:9" ht="12.75">
      <c r="A43" s="10" t="s">
        <v>136</v>
      </c>
      <c r="B43" s="10" t="s">
        <v>650</v>
      </c>
      <c r="C43" s="96" t="s">
        <v>44</v>
      </c>
      <c r="D43" s="86"/>
      <c r="E43" s="20">
        <f>'Stavební rozpočet'!I479</f>
        <v>0</v>
      </c>
      <c r="F43" s="20">
        <f>'Stavební rozpočet'!J479</f>
        <v>0</v>
      </c>
      <c r="G43" s="20">
        <f>'Stavební rozpočet'!K479</f>
        <v>0</v>
      </c>
      <c r="H43" s="20" t="s">
        <v>204</v>
      </c>
      <c r="I43" s="20">
        <f t="shared" si="0"/>
        <v>0</v>
      </c>
    </row>
    <row r="44" spans="1:9" ht="12.75">
      <c r="A44" s="10" t="s">
        <v>136</v>
      </c>
      <c r="B44" s="10" t="s">
        <v>665</v>
      </c>
      <c r="C44" s="96" t="s">
        <v>64</v>
      </c>
      <c r="D44" s="86"/>
      <c r="E44" s="20">
        <f>'Stavební rozpočet'!I509</f>
        <v>0</v>
      </c>
      <c r="F44" s="20">
        <f>'Stavební rozpočet'!J509</f>
        <v>0</v>
      </c>
      <c r="G44" s="20">
        <f>'Stavební rozpočet'!K509</f>
        <v>0</v>
      </c>
      <c r="H44" s="20" t="s">
        <v>204</v>
      </c>
      <c r="I44" s="20">
        <f t="shared" si="0"/>
        <v>0</v>
      </c>
    </row>
    <row r="45" spans="1:9" ht="12.75">
      <c r="A45" s="10" t="s">
        <v>136</v>
      </c>
      <c r="B45" s="10" t="s">
        <v>674</v>
      </c>
      <c r="C45" s="96" t="s">
        <v>75</v>
      </c>
      <c r="D45" s="86"/>
      <c r="E45" s="20">
        <f>'Stavební rozpočet'!I532</f>
        <v>0</v>
      </c>
      <c r="F45" s="20">
        <f>'Stavební rozpočet'!J532</f>
        <v>0</v>
      </c>
      <c r="G45" s="20">
        <f>'Stavební rozpočet'!K532</f>
        <v>0</v>
      </c>
      <c r="H45" s="20" t="s">
        <v>204</v>
      </c>
      <c r="I45" s="20">
        <f t="shared" si="0"/>
        <v>0</v>
      </c>
    </row>
    <row r="46" spans="1:9" ht="12.75">
      <c r="A46" s="10" t="s">
        <v>136</v>
      </c>
      <c r="B46" s="10" t="s">
        <v>350</v>
      </c>
      <c r="C46" s="96" t="s">
        <v>19</v>
      </c>
      <c r="D46" s="86"/>
      <c r="E46" s="20">
        <f>'Stavební rozpočet'!I542</f>
        <v>0</v>
      </c>
      <c r="F46" s="20">
        <f>'Stavební rozpočet'!J542</f>
        <v>0</v>
      </c>
      <c r="G46" s="20">
        <f>'Stavební rozpočet'!K542</f>
        <v>0</v>
      </c>
      <c r="H46" s="20" t="s">
        <v>204</v>
      </c>
      <c r="I46" s="20">
        <f t="shared" si="0"/>
        <v>0</v>
      </c>
    </row>
    <row r="47" spans="1:9" ht="12.75">
      <c r="A47" s="10" t="s">
        <v>136</v>
      </c>
      <c r="B47" s="10" t="s">
        <v>354</v>
      </c>
      <c r="C47" s="96" t="s">
        <v>83</v>
      </c>
      <c r="D47" s="86"/>
      <c r="E47" s="20">
        <f>'Stavební rozpočet'!I545</f>
        <v>0</v>
      </c>
      <c r="F47" s="20">
        <f>'Stavební rozpočet'!J545</f>
        <v>0</v>
      </c>
      <c r="G47" s="20">
        <f>'Stavební rozpočet'!K545</f>
        <v>0</v>
      </c>
      <c r="H47" s="20" t="s">
        <v>204</v>
      </c>
      <c r="I47" s="20">
        <f t="shared" si="0"/>
        <v>0</v>
      </c>
    </row>
    <row r="48" spans="1:9" ht="12.75">
      <c r="A48" s="10" t="s">
        <v>137</v>
      </c>
      <c r="B48" s="10"/>
      <c r="C48" s="96" t="s">
        <v>85</v>
      </c>
      <c r="D48" s="86"/>
      <c r="E48" s="20">
        <f>'Stavební rozpočet'!I548</f>
        <v>0</v>
      </c>
      <c r="F48" s="20">
        <f>'Stavební rozpočet'!J548</f>
        <v>0</v>
      </c>
      <c r="G48" s="20">
        <f>'Stavební rozpočet'!K548</f>
        <v>0</v>
      </c>
      <c r="H48" s="20" t="s">
        <v>203</v>
      </c>
      <c r="I48" s="20">
        <f t="shared" si="0"/>
        <v>0</v>
      </c>
    </row>
    <row r="49" spans="1:9" ht="12.75">
      <c r="A49" s="10" t="s">
        <v>137</v>
      </c>
      <c r="B49" s="10" t="s">
        <v>477</v>
      </c>
      <c r="C49" s="96" t="s">
        <v>691</v>
      </c>
      <c r="D49" s="86"/>
      <c r="E49" s="20">
        <f>'Stavební rozpočet'!I549</f>
        <v>0</v>
      </c>
      <c r="F49" s="20">
        <f>'Stavební rozpočet'!J549</f>
        <v>0</v>
      </c>
      <c r="G49" s="20">
        <f>'Stavební rozpočet'!K549</f>
        <v>0</v>
      </c>
      <c r="H49" s="20" t="s">
        <v>204</v>
      </c>
      <c r="I49" s="20">
        <f t="shared" si="0"/>
        <v>0</v>
      </c>
    </row>
    <row r="50" spans="1:9" ht="12.75">
      <c r="A50" s="10" t="s">
        <v>138</v>
      </c>
      <c r="B50" s="10"/>
      <c r="C50" s="96" t="s">
        <v>87</v>
      </c>
      <c r="D50" s="86"/>
      <c r="E50" s="20">
        <f>'Stavební rozpočet'!I552</f>
        <v>0</v>
      </c>
      <c r="F50" s="20">
        <f>'Stavební rozpočet'!J552</f>
        <v>0</v>
      </c>
      <c r="G50" s="20">
        <f>'Stavební rozpočet'!K552</f>
        <v>0</v>
      </c>
      <c r="H50" s="20" t="s">
        <v>203</v>
      </c>
      <c r="I50" s="20">
        <f t="shared" si="0"/>
        <v>0</v>
      </c>
    </row>
    <row r="51" spans="1:9" ht="12.75">
      <c r="A51" s="10" t="s">
        <v>138</v>
      </c>
      <c r="B51" s="10" t="s">
        <v>353</v>
      </c>
      <c r="C51" s="96" t="s">
        <v>87</v>
      </c>
      <c r="D51" s="86"/>
      <c r="E51" s="20">
        <f>'Stavební rozpočet'!I553</f>
        <v>0</v>
      </c>
      <c r="F51" s="20">
        <f>'Stavební rozpočet'!J553</f>
        <v>0</v>
      </c>
      <c r="G51" s="20">
        <f>'Stavební rozpočet'!K553</f>
        <v>0</v>
      </c>
      <c r="H51" s="20" t="s">
        <v>204</v>
      </c>
      <c r="I51" s="20">
        <f t="shared" si="0"/>
        <v>0</v>
      </c>
    </row>
    <row r="53" spans="6:7" ht="12.75">
      <c r="F53" s="28" t="s">
        <v>122</v>
      </c>
      <c r="G53" s="30">
        <f>SUM(I11:I51)</f>
        <v>0</v>
      </c>
    </row>
  </sheetData>
  <sheetProtection/>
  <mergeCells count="59">
    <mergeCell ref="C50:D50"/>
    <mergeCell ref="C51:D51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66"/>
  <sheetViews>
    <sheetView zoomScalePageLayoutView="0" workbookViewId="0" topLeftCell="A1">
      <pane ySplit="11" topLeftCell="A519" activePane="bottomLeft" state="frozen"/>
      <selection pane="topLeft" activeCell="A1" sqref="A1"/>
      <selection pane="bottomLeft" activeCell="C211" sqref="C211:E21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128.8515625" style="0" customWidth="1"/>
    <col min="4" max="5" width="11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23" width="11.57421875" style="0" customWidth="1"/>
    <col min="24" max="61" width="12.140625" style="0" hidden="1" customWidth="1"/>
  </cols>
  <sheetData>
    <row r="1" spans="1:11" ht="72.75" customHeight="1">
      <c r="A1" s="120" t="s">
        <v>249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2" ht="12.75">
      <c r="A2" s="83" t="s">
        <v>250</v>
      </c>
      <c r="B2" s="84"/>
      <c r="C2" s="87" t="s">
        <v>685</v>
      </c>
      <c r="D2" s="129" t="s">
        <v>94</v>
      </c>
      <c r="E2" s="84"/>
      <c r="F2" s="129" t="s">
        <v>255</v>
      </c>
      <c r="G2" s="84"/>
      <c r="H2" s="90" t="s">
        <v>110</v>
      </c>
      <c r="I2" s="90" t="s">
        <v>116</v>
      </c>
      <c r="J2" s="84"/>
      <c r="K2" s="84"/>
      <c r="L2" s="18"/>
    </row>
    <row r="3" spans="1:12" ht="12.75">
      <c r="A3" s="85"/>
      <c r="B3" s="86"/>
      <c r="C3" s="89"/>
      <c r="D3" s="86"/>
      <c r="E3" s="86"/>
      <c r="F3" s="86"/>
      <c r="G3" s="86"/>
      <c r="H3" s="86"/>
      <c r="I3" s="86"/>
      <c r="J3" s="86"/>
      <c r="K3" s="86"/>
      <c r="L3" s="18"/>
    </row>
    <row r="4" spans="1:12" ht="12.75">
      <c r="A4" s="93" t="s">
        <v>251</v>
      </c>
      <c r="B4" s="86"/>
      <c r="C4" s="94" t="s">
        <v>686</v>
      </c>
      <c r="D4" s="96" t="s">
        <v>95</v>
      </c>
      <c r="E4" s="86"/>
      <c r="F4" s="96" t="s">
        <v>255</v>
      </c>
      <c r="G4" s="86"/>
      <c r="H4" s="94" t="s">
        <v>111</v>
      </c>
      <c r="I4" s="94" t="s">
        <v>117</v>
      </c>
      <c r="J4" s="86"/>
      <c r="K4" s="86"/>
      <c r="L4" s="18"/>
    </row>
    <row r="5" spans="1:12" ht="12.75">
      <c r="A5" s="85"/>
      <c r="B5" s="86"/>
      <c r="C5" s="86"/>
      <c r="D5" s="86"/>
      <c r="E5" s="86"/>
      <c r="F5" s="86"/>
      <c r="G5" s="86"/>
      <c r="H5" s="86"/>
      <c r="I5" s="86"/>
      <c r="J5" s="86"/>
      <c r="K5" s="86"/>
      <c r="L5" s="18"/>
    </row>
    <row r="6" spans="1:12" ht="12.75">
      <c r="A6" s="93" t="s">
        <v>252</v>
      </c>
      <c r="B6" s="86"/>
      <c r="C6" s="94" t="s">
        <v>687</v>
      </c>
      <c r="D6" s="96" t="s">
        <v>96</v>
      </c>
      <c r="E6" s="86"/>
      <c r="F6" s="96" t="s">
        <v>255</v>
      </c>
      <c r="G6" s="86"/>
      <c r="H6" s="94" t="s">
        <v>112</v>
      </c>
      <c r="I6" s="94" t="s">
        <v>118</v>
      </c>
      <c r="J6" s="86"/>
      <c r="K6" s="86"/>
      <c r="L6" s="18"/>
    </row>
    <row r="7" spans="1:12" ht="12.75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18"/>
    </row>
    <row r="8" spans="1:12" ht="12.75">
      <c r="A8" s="93" t="s">
        <v>253</v>
      </c>
      <c r="B8" s="86"/>
      <c r="C8" s="94" t="s">
        <v>255</v>
      </c>
      <c r="D8" s="96" t="s">
        <v>97</v>
      </c>
      <c r="E8" s="86"/>
      <c r="F8" s="96" t="s">
        <v>98</v>
      </c>
      <c r="G8" s="86"/>
      <c r="H8" s="94" t="s">
        <v>113</v>
      </c>
      <c r="I8" s="94" t="s">
        <v>119</v>
      </c>
      <c r="J8" s="86"/>
      <c r="K8" s="86"/>
      <c r="L8" s="18"/>
    </row>
    <row r="9" spans="1:12" ht="12.75">
      <c r="A9" s="122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8"/>
    </row>
    <row r="10" spans="1:12" ht="12.75">
      <c r="A10" s="1" t="s">
        <v>254</v>
      </c>
      <c r="B10" s="7" t="s">
        <v>476</v>
      </c>
      <c r="C10" s="130" t="s">
        <v>688</v>
      </c>
      <c r="D10" s="131"/>
      <c r="E10" s="132"/>
      <c r="F10" s="7" t="s">
        <v>99</v>
      </c>
      <c r="G10" s="11" t="s">
        <v>109</v>
      </c>
      <c r="H10" s="14" t="s">
        <v>114</v>
      </c>
      <c r="I10" s="133" t="s">
        <v>120</v>
      </c>
      <c r="J10" s="134"/>
      <c r="K10" s="135"/>
      <c r="L10" s="19"/>
    </row>
    <row r="11" spans="1:61" ht="12.75">
      <c r="A11" s="48" t="s">
        <v>255</v>
      </c>
      <c r="B11" s="49" t="s">
        <v>255</v>
      </c>
      <c r="C11" s="136" t="s">
        <v>689</v>
      </c>
      <c r="D11" s="137"/>
      <c r="E11" s="138"/>
      <c r="F11" s="49" t="s">
        <v>255</v>
      </c>
      <c r="G11" s="49" t="s">
        <v>255</v>
      </c>
      <c r="H11" s="52" t="s">
        <v>115</v>
      </c>
      <c r="I11" s="53" t="s">
        <v>121</v>
      </c>
      <c r="J11" s="54" t="s">
        <v>123</v>
      </c>
      <c r="K11" s="56" t="s">
        <v>124</v>
      </c>
      <c r="L11" s="19"/>
      <c r="Y11" s="15" t="s">
        <v>125</v>
      </c>
      <c r="Z11" s="15" t="s">
        <v>126</v>
      </c>
      <c r="AA11" s="15" t="s">
        <v>127</v>
      </c>
      <c r="AB11" s="15" t="s">
        <v>128</v>
      </c>
      <c r="AC11" s="15" t="s">
        <v>129</v>
      </c>
      <c r="AD11" s="15" t="s">
        <v>130</v>
      </c>
      <c r="AE11" s="15" t="s">
        <v>131</v>
      </c>
      <c r="AF11" s="15" t="s">
        <v>132</v>
      </c>
      <c r="AG11" s="15" t="s">
        <v>133</v>
      </c>
      <c r="BG11" s="15" t="s">
        <v>194</v>
      </c>
      <c r="BH11" s="15" t="s">
        <v>195</v>
      </c>
      <c r="BI11" s="15" t="s">
        <v>196</v>
      </c>
    </row>
    <row r="12" spans="1:11" ht="12.75">
      <c r="A12" s="50"/>
      <c r="B12" s="51"/>
      <c r="C12" s="139" t="s">
        <v>690</v>
      </c>
      <c r="D12" s="140"/>
      <c r="E12" s="141"/>
      <c r="F12" s="50" t="s">
        <v>255</v>
      </c>
      <c r="G12" s="50" t="s">
        <v>255</v>
      </c>
      <c r="H12" s="50" t="s">
        <v>255</v>
      </c>
      <c r="I12" s="55">
        <f>I13+I15+I45+I52</f>
        <v>0</v>
      </c>
      <c r="J12" s="55">
        <f>J13+J15+J45+J52</f>
        <v>0</v>
      </c>
      <c r="K12" s="55">
        <f>K13+K15+K45+K52</f>
        <v>0</v>
      </c>
    </row>
    <row r="13" spans="1:46" ht="12.75">
      <c r="A13" s="2"/>
      <c r="B13" s="8" t="s">
        <v>477</v>
      </c>
      <c r="C13" s="142" t="s">
        <v>691</v>
      </c>
      <c r="D13" s="143"/>
      <c r="E13" s="143"/>
      <c r="F13" s="2" t="s">
        <v>255</v>
      </c>
      <c r="G13" s="2" t="s">
        <v>255</v>
      </c>
      <c r="H13" s="2" t="s">
        <v>255</v>
      </c>
      <c r="I13" s="22">
        <f>SUM(I14:I14)</f>
        <v>0</v>
      </c>
      <c r="J13" s="22">
        <f>SUM(J14:J14)</f>
        <v>0</v>
      </c>
      <c r="K13" s="22">
        <f>SUM(K14:K14)</f>
        <v>0</v>
      </c>
      <c r="AH13" s="15" t="s">
        <v>134</v>
      </c>
      <c r="AR13" s="22">
        <f>SUM(AI14:AI14)</f>
        <v>0</v>
      </c>
      <c r="AS13" s="22">
        <f>SUM(AJ14:AJ14)</f>
        <v>0</v>
      </c>
      <c r="AT13" s="22">
        <f>SUM(AK14:AK14)</f>
        <v>0</v>
      </c>
    </row>
    <row r="14" spans="1:61" ht="22.5" customHeight="1">
      <c r="A14" s="3" t="s">
        <v>256</v>
      </c>
      <c r="B14" s="3" t="s">
        <v>478</v>
      </c>
      <c r="C14" s="144" t="s">
        <v>692</v>
      </c>
      <c r="D14" s="145"/>
      <c r="E14" s="145"/>
      <c r="F14" s="3"/>
      <c r="G14" s="12">
        <v>0</v>
      </c>
      <c r="H14" s="12">
        <v>0</v>
      </c>
      <c r="I14" s="12">
        <f>G14*AN14</f>
        <v>0</v>
      </c>
      <c r="J14" s="12">
        <f>G14*AO14</f>
        <v>0</v>
      </c>
      <c r="K14" s="12">
        <f>G14*H14</f>
        <v>0</v>
      </c>
      <c r="Y14" s="20">
        <f>IF(AP14="5",BI14,0)</f>
        <v>0</v>
      </c>
      <c r="AA14" s="20">
        <f>IF(AP14="1",BG14,0)</f>
        <v>0</v>
      </c>
      <c r="AB14" s="20">
        <f>IF(AP14="1",BH14,0)</f>
        <v>0</v>
      </c>
      <c r="AC14" s="20">
        <f>IF(AP14="7",BG14,0)</f>
        <v>0</v>
      </c>
      <c r="AD14" s="20">
        <f>IF(AP14="7",BH14,0)</f>
        <v>0</v>
      </c>
      <c r="AE14" s="20">
        <f>IF(AP14="2",BG14,0)</f>
        <v>0</v>
      </c>
      <c r="AF14" s="20">
        <f>IF(AP14="2",BH14,0)</f>
        <v>0</v>
      </c>
      <c r="AG14" s="20">
        <f>IF(AP14="0",BI14,0)</f>
        <v>0</v>
      </c>
      <c r="AH14" s="15" t="s">
        <v>134</v>
      </c>
      <c r="AI14" s="12">
        <f>IF(AM14=0,K14,0)</f>
        <v>0</v>
      </c>
      <c r="AJ14" s="12">
        <f>IF(AM14=15,K14,0)</f>
        <v>0</v>
      </c>
      <c r="AK14" s="12">
        <f>IF(AM14=21,K14,0)</f>
        <v>0</v>
      </c>
      <c r="AM14" s="20">
        <v>15</v>
      </c>
      <c r="AN14" s="20">
        <f>H14*0</f>
        <v>0</v>
      </c>
      <c r="AO14" s="20">
        <f>H14*(1-0)</f>
        <v>0</v>
      </c>
      <c r="AP14" s="16" t="s">
        <v>256</v>
      </c>
      <c r="AU14" s="20">
        <f>AV14+AW14</f>
        <v>0</v>
      </c>
      <c r="AV14" s="20">
        <f>G14*AN14</f>
        <v>0</v>
      </c>
      <c r="AW14" s="20">
        <f>G14*AO14</f>
        <v>0</v>
      </c>
      <c r="AX14" s="21" t="s">
        <v>139</v>
      </c>
      <c r="AY14" s="21" t="s">
        <v>171</v>
      </c>
      <c r="AZ14" s="15" t="s">
        <v>189</v>
      </c>
      <c r="BB14" s="20">
        <f>AV14+AW14</f>
        <v>0</v>
      </c>
      <c r="BC14" s="20">
        <f>H14/(100-BD14)*100</f>
        <v>0</v>
      </c>
      <c r="BD14" s="20">
        <v>0</v>
      </c>
      <c r="BE14" s="20">
        <f>14</f>
        <v>14</v>
      </c>
      <c r="BG14" s="12">
        <f>G14*AN14</f>
        <v>0</v>
      </c>
      <c r="BH14" s="12">
        <f>G14*AO14</f>
        <v>0</v>
      </c>
      <c r="BI14" s="12">
        <f>G14*H14</f>
        <v>0</v>
      </c>
    </row>
    <row r="15" spans="1:46" ht="12.75">
      <c r="A15" s="2"/>
      <c r="B15" s="8" t="s">
        <v>351</v>
      </c>
      <c r="C15" s="142" t="s">
        <v>693</v>
      </c>
      <c r="D15" s="143"/>
      <c r="E15" s="143"/>
      <c r="F15" s="2" t="s">
        <v>255</v>
      </c>
      <c r="G15" s="2" t="s">
        <v>255</v>
      </c>
      <c r="H15" s="2" t="s">
        <v>255</v>
      </c>
      <c r="I15" s="22">
        <f>SUM(I16:I43)</f>
        <v>0</v>
      </c>
      <c r="J15" s="22">
        <f>SUM(J16:J43)</f>
        <v>0</v>
      </c>
      <c r="K15" s="22">
        <f>SUM(K16:K43)</f>
        <v>0</v>
      </c>
      <c r="AH15" s="15" t="s">
        <v>134</v>
      </c>
      <c r="AR15" s="22">
        <f>SUM(AI16:AI43)</f>
        <v>0</v>
      </c>
      <c r="AS15" s="22">
        <f>SUM(AJ16:AJ43)</f>
        <v>0</v>
      </c>
      <c r="AT15" s="22">
        <f>SUM(AK16:AK43)</f>
        <v>0</v>
      </c>
    </row>
    <row r="16" spans="1:61" ht="12.75">
      <c r="A16" s="57" t="s">
        <v>257</v>
      </c>
      <c r="B16" s="57" t="s">
        <v>479</v>
      </c>
      <c r="C16" s="146" t="s">
        <v>694</v>
      </c>
      <c r="D16" s="145"/>
      <c r="E16" s="145"/>
      <c r="F16" s="57" t="s">
        <v>100</v>
      </c>
      <c r="G16" s="58">
        <v>62.78</v>
      </c>
      <c r="H16" s="58">
        <v>0</v>
      </c>
      <c r="I16" s="58">
        <f>G16*AN16</f>
        <v>0</v>
      </c>
      <c r="J16" s="58">
        <f>G16*AO16</f>
        <v>0</v>
      </c>
      <c r="K16" s="58">
        <f>G16*H16</f>
        <v>0</v>
      </c>
      <c r="Y16" s="20">
        <f>IF(AP16="5",BI16,0)</f>
        <v>0</v>
      </c>
      <c r="AA16" s="20">
        <f>IF(AP16="1",BG16,0)</f>
        <v>0</v>
      </c>
      <c r="AB16" s="20">
        <f>IF(AP16="1",BH16,0)</f>
        <v>0</v>
      </c>
      <c r="AC16" s="20">
        <f>IF(AP16="7",BG16,0)</f>
        <v>0</v>
      </c>
      <c r="AD16" s="20">
        <f>IF(AP16="7",BH16,0)</f>
        <v>0</v>
      </c>
      <c r="AE16" s="20">
        <f>IF(AP16="2",BG16,0)</f>
        <v>0</v>
      </c>
      <c r="AF16" s="20">
        <f>IF(AP16="2",BH16,0)</f>
        <v>0</v>
      </c>
      <c r="AG16" s="20">
        <f>IF(AP16="0",BI16,0)</f>
        <v>0</v>
      </c>
      <c r="AH16" s="15" t="s">
        <v>134</v>
      </c>
      <c r="AI16" s="12">
        <f>IF(AM16=0,K16,0)</f>
        <v>0</v>
      </c>
      <c r="AJ16" s="12">
        <f>IF(AM16=15,K16,0)</f>
        <v>0</v>
      </c>
      <c r="AK16" s="12">
        <f>IF(AM16=21,K16,0)</f>
        <v>0</v>
      </c>
      <c r="AM16" s="20">
        <v>15</v>
      </c>
      <c r="AN16" s="20">
        <f>H16*0</f>
        <v>0</v>
      </c>
      <c r="AO16" s="20">
        <f>H16*(1-0)</f>
        <v>0</v>
      </c>
      <c r="AP16" s="16" t="s">
        <v>256</v>
      </c>
      <c r="AU16" s="20">
        <f>AV16+AW16</f>
        <v>0</v>
      </c>
      <c r="AV16" s="20">
        <f>G16*AN16</f>
        <v>0</v>
      </c>
      <c r="AW16" s="20">
        <f>G16*AO16</f>
        <v>0</v>
      </c>
      <c r="AX16" s="21" t="s">
        <v>140</v>
      </c>
      <c r="AY16" s="21" t="s">
        <v>172</v>
      </c>
      <c r="AZ16" s="15" t="s">
        <v>189</v>
      </c>
      <c r="BB16" s="20">
        <f>AV16+AW16</f>
        <v>0</v>
      </c>
      <c r="BC16" s="20">
        <f>H16/(100-BD16)*100</f>
        <v>0</v>
      </c>
      <c r="BD16" s="20">
        <v>0</v>
      </c>
      <c r="BE16" s="20">
        <f>16</f>
        <v>16</v>
      </c>
      <c r="BG16" s="12">
        <f>G16*AN16</f>
        <v>0</v>
      </c>
      <c r="BH16" s="12">
        <f>G16*AO16</f>
        <v>0</v>
      </c>
      <c r="BI16" s="12">
        <f>G16*H16</f>
        <v>0</v>
      </c>
    </row>
    <row r="17" spans="3:5" ht="12.75">
      <c r="C17" s="147" t="s">
        <v>695</v>
      </c>
      <c r="D17" s="148"/>
      <c r="E17" s="148"/>
    </row>
    <row r="18" spans="1:11" ht="12.75">
      <c r="A18" s="59"/>
      <c r="B18" s="59"/>
      <c r="C18" s="149" t="s">
        <v>696</v>
      </c>
      <c r="D18" s="150"/>
      <c r="E18" s="150"/>
      <c r="F18" s="59"/>
      <c r="G18" s="60">
        <v>62.78</v>
      </c>
      <c r="H18" s="59"/>
      <c r="I18" s="59"/>
      <c r="J18" s="59"/>
      <c r="K18" s="59"/>
    </row>
    <row r="19" spans="1:61" ht="12.75">
      <c r="A19" s="57" t="s">
        <v>258</v>
      </c>
      <c r="B19" s="57" t="s">
        <v>480</v>
      </c>
      <c r="C19" s="146" t="s">
        <v>697</v>
      </c>
      <c r="D19" s="145"/>
      <c r="E19" s="145"/>
      <c r="F19" s="57" t="s">
        <v>100</v>
      </c>
      <c r="G19" s="58">
        <v>62.78</v>
      </c>
      <c r="H19" s="58">
        <v>0</v>
      </c>
      <c r="I19" s="58">
        <f>G19*AN19</f>
        <v>0</v>
      </c>
      <c r="J19" s="58">
        <f>G19*AO19</f>
        <v>0</v>
      </c>
      <c r="K19" s="58">
        <f>G19*H19</f>
        <v>0</v>
      </c>
      <c r="Y19" s="20">
        <f>IF(AP19="5",BI19,0)</f>
        <v>0</v>
      </c>
      <c r="AA19" s="20">
        <f>IF(AP19="1",BG19,0)</f>
        <v>0</v>
      </c>
      <c r="AB19" s="20">
        <f>IF(AP19="1",BH19,0)</f>
        <v>0</v>
      </c>
      <c r="AC19" s="20">
        <f>IF(AP19="7",BG19,0)</f>
        <v>0</v>
      </c>
      <c r="AD19" s="20">
        <f>IF(AP19="7",BH19,0)</f>
        <v>0</v>
      </c>
      <c r="AE19" s="20">
        <f>IF(AP19="2",BG19,0)</f>
        <v>0</v>
      </c>
      <c r="AF19" s="20">
        <f>IF(AP19="2",BH19,0)</f>
        <v>0</v>
      </c>
      <c r="AG19" s="20">
        <f>IF(AP19="0",BI19,0)</f>
        <v>0</v>
      </c>
      <c r="AH19" s="15" t="s">
        <v>134</v>
      </c>
      <c r="AI19" s="12">
        <f>IF(AM19=0,K19,0)</f>
        <v>0</v>
      </c>
      <c r="AJ19" s="12">
        <f>IF(AM19=15,K19,0)</f>
        <v>0</v>
      </c>
      <c r="AK19" s="12">
        <f>IF(AM19=21,K19,0)</f>
        <v>0</v>
      </c>
      <c r="AM19" s="20">
        <v>15</v>
      </c>
      <c r="AN19" s="20">
        <f>H19*0</f>
        <v>0</v>
      </c>
      <c r="AO19" s="20">
        <f>H19*(1-0)</f>
        <v>0</v>
      </c>
      <c r="AP19" s="16" t="s">
        <v>256</v>
      </c>
      <c r="AU19" s="20">
        <f>AV19+AW19</f>
        <v>0</v>
      </c>
      <c r="AV19" s="20">
        <f>G19*AN19</f>
        <v>0</v>
      </c>
      <c r="AW19" s="20">
        <f>G19*AO19</f>
        <v>0</v>
      </c>
      <c r="AX19" s="21" t="s">
        <v>140</v>
      </c>
      <c r="AY19" s="21" t="s">
        <v>172</v>
      </c>
      <c r="AZ19" s="15" t="s">
        <v>189</v>
      </c>
      <c r="BB19" s="20">
        <f>AV19+AW19</f>
        <v>0</v>
      </c>
      <c r="BC19" s="20">
        <f>H19/(100-BD19)*100</f>
        <v>0</v>
      </c>
      <c r="BD19" s="20">
        <v>0</v>
      </c>
      <c r="BE19" s="20">
        <f>19</f>
        <v>19</v>
      </c>
      <c r="BG19" s="12">
        <f>G19*AN19</f>
        <v>0</v>
      </c>
      <c r="BH19" s="12">
        <f>G19*AO19</f>
        <v>0</v>
      </c>
      <c r="BI19" s="12">
        <f>G19*H19</f>
        <v>0</v>
      </c>
    </row>
    <row r="20" spans="1:11" ht="12.75">
      <c r="A20" s="59"/>
      <c r="B20" s="59"/>
      <c r="C20" s="149" t="s">
        <v>696</v>
      </c>
      <c r="D20" s="150"/>
      <c r="E20" s="150"/>
      <c r="F20" s="59"/>
      <c r="G20" s="60">
        <v>62.78</v>
      </c>
      <c r="H20" s="59"/>
      <c r="I20" s="59"/>
      <c r="J20" s="59"/>
      <c r="K20" s="59"/>
    </row>
    <row r="21" spans="1:61" ht="12.75">
      <c r="A21" s="57" t="s">
        <v>259</v>
      </c>
      <c r="B21" s="57" t="s">
        <v>481</v>
      </c>
      <c r="C21" s="146" t="s">
        <v>698</v>
      </c>
      <c r="D21" s="145"/>
      <c r="E21" s="145"/>
      <c r="F21" s="57" t="s">
        <v>100</v>
      </c>
      <c r="G21" s="58">
        <v>62.78</v>
      </c>
      <c r="H21" s="58">
        <v>0</v>
      </c>
      <c r="I21" s="58">
        <f>G21*AN21</f>
        <v>0</v>
      </c>
      <c r="J21" s="58">
        <f>G21*AO21</f>
        <v>0</v>
      </c>
      <c r="K21" s="58">
        <f>G21*H21</f>
        <v>0</v>
      </c>
      <c r="Y21" s="20">
        <f>IF(AP21="5",BI21,0)</f>
        <v>0</v>
      </c>
      <c r="AA21" s="20">
        <f>IF(AP21="1",BG21,0)</f>
        <v>0</v>
      </c>
      <c r="AB21" s="20">
        <f>IF(AP21="1",BH21,0)</f>
        <v>0</v>
      </c>
      <c r="AC21" s="20">
        <f>IF(AP21="7",BG21,0)</f>
        <v>0</v>
      </c>
      <c r="AD21" s="20">
        <f>IF(AP21="7",BH21,0)</f>
        <v>0</v>
      </c>
      <c r="AE21" s="20">
        <f>IF(AP21="2",BG21,0)</f>
        <v>0</v>
      </c>
      <c r="AF21" s="20">
        <f>IF(AP21="2",BH21,0)</f>
        <v>0</v>
      </c>
      <c r="AG21" s="20">
        <f>IF(AP21="0",BI21,0)</f>
        <v>0</v>
      </c>
      <c r="AH21" s="15" t="s">
        <v>134</v>
      </c>
      <c r="AI21" s="12">
        <f>IF(AM21=0,K21,0)</f>
        <v>0</v>
      </c>
      <c r="AJ21" s="12">
        <f>IF(AM21=15,K21,0)</f>
        <v>0</v>
      </c>
      <c r="AK21" s="12">
        <f>IF(AM21=21,K21,0)</f>
        <v>0</v>
      </c>
      <c r="AM21" s="20">
        <v>15</v>
      </c>
      <c r="AN21" s="20">
        <f>H21*0</f>
        <v>0</v>
      </c>
      <c r="AO21" s="20">
        <f>H21*(1-0)</f>
        <v>0</v>
      </c>
      <c r="AP21" s="16" t="s">
        <v>256</v>
      </c>
      <c r="AU21" s="20">
        <f>AV21+AW21</f>
        <v>0</v>
      </c>
      <c r="AV21" s="20">
        <f>G21*AN21</f>
        <v>0</v>
      </c>
      <c r="AW21" s="20">
        <f>G21*AO21</f>
        <v>0</v>
      </c>
      <c r="AX21" s="21" t="s">
        <v>140</v>
      </c>
      <c r="AY21" s="21" t="s">
        <v>172</v>
      </c>
      <c r="AZ21" s="15" t="s">
        <v>189</v>
      </c>
      <c r="BB21" s="20">
        <f>AV21+AW21</f>
        <v>0</v>
      </c>
      <c r="BC21" s="20">
        <f>H21/(100-BD21)*100</f>
        <v>0</v>
      </c>
      <c r="BD21" s="20">
        <v>0</v>
      </c>
      <c r="BE21" s="20">
        <f>21</f>
        <v>21</v>
      </c>
      <c r="BG21" s="12">
        <f>G21*AN21</f>
        <v>0</v>
      </c>
      <c r="BH21" s="12">
        <f>G21*AO21</f>
        <v>0</v>
      </c>
      <c r="BI21" s="12">
        <f>G21*H21</f>
        <v>0</v>
      </c>
    </row>
    <row r="22" spans="3:5" ht="12.75">
      <c r="C22" s="147" t="s">
        <v>699</v>
      </c>
      <c r="D22" s="148"/>
      <c r="E22" s="148"/>
    </row>
    <row r="23" spans="1:11" ht="12.75">
      <c r="A23" s="59"/>
      <c r="B23" s="59"/>
      <c r="C23" s="149" t="s">
        <v>696</v>
      </c>
      <c r="D23" s="150"/>
      <c r="E23" s="150"/>
      <c r="F23" s="59"/>
      <c r="G23" s="60">
        <v>62.78</v>
      </c>
      <c r="H23" s="59"/>
      <c r="I23" s="59"/>
      <c r="J23" s="59"/>
      <c r="K23" s="59"/>
    </row>
    <row r="24" spans="1:61" ht="12.75">
      <c r="A24" s="57" t="s">
        <v>260</v>
      </c>
      <c r="B24" s="57" t="s">
        <v>482</v>
      </c>
      <c r="C24" s="146" t="s">
        <v>700</v>
      </c>
      <c r="D24" s="145"/>
      <c r="E24" s="145"/>
      <c r="F24" s="57" t="s">
        <v>101</v>
      </c>
      <c r="G24" s="58">
        <v>3.139</v>
      </c>
      <c r="H24" s="58">
        <v>0</v>
      </c>
      <c r="I24" s="58">
        <f>G24*AN24</f>
        <v>0</v>
      </c>
      <c r="J24" s="58">
        <f>G24*AO24</f>
        <v>0</v>
      </c>
      <c r="K24" s="58">
        <f>G24*H24</f>
        <v>0</v>
      </c>
      <c r="Y24" s="20">
        <f>IF(AP24="5",BI24,0)</f>
        <v>0</v>
      </c>
      <c r="AA24" s="20">
        <f>IF(AP24="1",BG24,0)</f>
        <v>0</v>
      </c>
      <c r="AB24" s="20">
        <f>IF(AP24="1",BH24,0)</f>
        <v>0</v>
      </c>
      <c r="AC24" s="20">
        <f>IF(AP24="7",BG24,0)</f>
        <v>0</v>
      </c>
      <c r="AD24" s="20">
        <f>IF(AP24="7",BH24,0)</f>
        <v>0</v>
      </c>
      <c r="AE24" s="20">
        <f>IF(AP24="2",BG24,0)</f>
        <v>0</v>
      </c>
      <c r="AF24" s="20">
        <f>IF(AP24="2",BH24,0)</f>
        <v>0</v>
      </c>
      <c r="AG24" s="20">
        <f>IF(AP24="0",BI24,0)</f>
        <v>0</v>
      </c>
      <c r="AH24" s="15" t="s">
        <v>134</v>
      </c>
      <c r="AI24" s="12">
        <f>IF(AM24=0,K24,0)</f>
        <v>0</v>
      </c>
      <c r="AJ24" s="12">
        <f>IF(AM24=15,K24,0)</f>
        <v>0</v>
      </c>
      <c r="AK24" s="12">
        <f>IF(AM24=21,K24,0)</f>
        <v>0</v>
      </c>
      <c r="AM24" s="20">
        <v>15</v>
      </c>
      <c r="AN24" s="20">
        <f>H24*0</f>
        <v>0</v>
      </c>
      <c r="AO24" s="20">
        <f>H24*(1-0)</f>
        <v>0</v>
      </c>
      <c r="AP24" s="16" t="s">
        <v>256</v>
      </c>
      <c r="AU24" s="20">
        <f>AV24+AW24</f>
        <v>0</v>
      </c>
      <c r="AV24" s="20">
        <f>G24*AN24</f>
        <v>0</v>
      </c>
      <c r="AW24" s="20">
        <f>G24*AO24</f>
        <v>0</v>
      </c>
      <c r="AX24" s="21" t="s">
        <v>140</v>
      </c>
      <c r="AY24" s="21" t="s">
        <v>172</v>
      </c>
      <c r="AZ24" s="15" t="s">
        <v>189</v>
      </c>
      <c r="BB24" s="20">
        <f>AV24+AW24</f>
        <v>0</v>
      </c>
      <c r="BC24" s="20">
        <f>H24/(100-BD24)*100</f>
        <v>0</v>
      </c>
      <c r="BD24" s="20">
        <v>0</v>
      </c>
      <c r="BE24" s="20">
        <f>24</f>
        <v>24</v>
      </c>
      <c r="BG24" s="12">
        <f>G24*AN24</f>
        <v>0</v>
      </c>
      <c r="BH24" s="12">
        <f>G24*AO24</f>
        <v>0</v>
      </c>
      <c r="BI24" s="12">
        <f>G24*H24</f>
        <v>0</v>
      </c>
    </row>
    <row r="25" spans="3:5" ht="12.75">
      <c r="C25" s="147" t="s">
        <v>701</v>
      </c>
      <c r="D25" s="148"/>
      <c r="E25" s="148"/>
    </row>
    <row r="26" spans="1:11" ht="12.75">
      <c r="A26" s="59"/>
      <c r="B26" s="59"/>
      <c r="C26" s="149" t="s">
        <v>702</v>
      </c>
      <c r="D26" s="150"/>
      <c r="E26" s="150"/>
      <c r="F26" s="59"/>
      <c r="G26" s="60">
        <v>3.139</v>
      </c>
      <c r="H26" s="59"/>
      <c r="I26" s="59"/>
      <c r="J26" s="59"/>
      <c r="K26" s="59"/>
    </row>
    <row r="27" spans="1:61" ht="12.75">
      <c r="A27" s="57" t="s">
        <v>261</v>
      </c>
      <c r="B27" s="57" t="s">
        <v>483</v>
      </c>
      <c r="C27" s="146" t="s">
        <v>703</v>
      </c>
      <c r="D27" s="145"/>
      <c r="E27" s="145"/>
      <c r="F27" s="57" t="s">
        <v>100</v>
      </c>
      <c r="G27" s="58">
        <v>62.78</v>
      </c>
      <c r="H27" s="58">
        <v>0</v>
      </c>
      <c r="I27" s="58">
        <f>G27*AN27</f>
        <v>0</v>
      </c>
      <c r="J27" s="58">
        <f>G27*AO27</f>
        <v>0</v>
      </c>
      <c r="K27" s="58">
        <f>G27*H27</f>
        <v>0</v>
      </c>
      <c r="Y27" s="20">
        <f>IF(AP27="5",BI27,0)</f>
        <v>0</v>
      </c>
      <c r="AA27" s="20">
        <f>IF(AP27="1",BG27,0)</f>
        <v>0</v>
      </c>
      <c r="AB27" s="20">
        <f>IF(AP27="1",BH27,0)</f>
        <v>0</v>
      </c>
      <c r="AC27" s="20">
        <f>IF(AP27="7",BG27,0)</f>
        <v>0</v>
      </c>
      <c r="AD27" s="20">
        <f>IF(AP27="7",BH27,0)</f>
        <v>0</v>
      </c>
      <c r="AE27" s="20">
        <f>IF(AP27="2",BG27,0)</f>
        <v>0</v>
      </c>
      <c r="AF27" s="20">
        <f>IF(AP27="2",BH27,0)</f>
        <v>0</v>
      </c>
      <c r="AG27" s="20">
        <f>IF(AP27="0",BI27,0)</f>
        <v>0</v>
      </c>
      <c r="AH27" s="15" t="s">
        <v>134</v>
      </c>
      <c r="AI27" s="12">
        <f>IF(AM27=0,K27,0)</f>
        <v>0</v>
      </c>
      <c r="AJ27" s="12">
        <f>IF(AM27=15,K27,0)</f>
        <v>0</v>
      </c>
      <c r="AK27" s="12">
        <f>IF(AM27=21,K27,0)</f>
        <v>0</v>
      </c>
      <c r="AM27" s="20">
        <v>15</v>
      </c>
      <c r="AN27" s="20">
        <f>H27*0</f>
        <v>0</v>
      </c>
      <c r="AO27" s="20">
        <f>H27*(1-0)</f>
        <v>0</v>
      </c>
      <c r="AP27" s="16" t="s">
        <v>256</v>
      </c>
      <c r="AU27" s="20">
        <f>AV27+AW27</f>
        <v>0</v>
      </c>
      <c r="AV27" s="20">
        <f>G27*AN27</f>
        <v>0</v>
      </c>
      <c r="AW27" s="20">
        <f>G27*AO27</f>
        <v>0</v>
      </c>
      <c r="AX27" s="21" t="s">
        <v>140</v>
      </c>
      <c r="AY27" s="21" t="s">
        <v>172</v>
      </c>
      <c r="AZ27" s="15" t="s">
        <v>189</v>
      </c>
      <c r="BB27" s="20">
        <f>AV27+AW27</f>
        <v>0</v>
      </c>
      <c r="BC27" s="20">
        <f>H27/(100-BD27)*100</f>
        <v>0</v>
      </c>
      <c r="BD27" s="20">
        <v>0</v>
      </c>
      <c r="BE27" s="20">
        <f>27</f>
        <v>27</v>
      </c>
      <c r="BG27" s="12">
        <f>G27*AN27</f>
        <v>0</v>
      </c>
      <c r="BH27" s="12">
        <f>G27*AO27</f>
        <v>0</v>
      </c>
      <c r="BI27" s="12">
        <f>G27*H27</f>
        <v>0</v>
      </c>
    </row>
    <row r="28" spans="3:5" ht="12.75">
      <c r="C28" s="147" t="s">
        <v>704</v>
      </c>
      <c r="D28" s="148"/>
      <c r="E28" s="148"/>
    </row>
    <row r="29" spans="1:11" ht="12.75">
      <c r="A29" s="59"/>
      <c r="B29" s="59"/>
      <c r="C29" s="149" t="s">
        <v>696</v>
      </c>
      <c r="D29" s="150"/>
      <c r="E29" s="150"/>
      <c r="F29" s="59"/>
      <c r="G29" s="60">
        <v>62.78</v>
      </c>
      <c r="H29" s="59"/>
      <c r="I29" s="59"/>
      <c r="J29" s="59"/>
      <c r="K29" s="59"/>
    </row>
    <row r="30" spans="1:61" ht="12.75">
      <c r="A30" s="57" t="s">
        <v>262</v>
      </c>
      <c r="B30" s="57" t="s">
        <v>482</v>
      </c>
      <c r="C30" s="146" t="s">
        <v>705</v>
      </c>
      <c r="D30" s="145"/>
      <c r="E30" s="145"/>
      <c r="F30" s="57" t="s">
        <v>101</v>
      </c>
      <c r="G30" s="58">
        <v>5.0224</v>
      </c>
      <c r="H30" s="58">
        <v>0</v>
      </c>
      <c r="I30" s="58">
        <f>G30*AN30</f>
        <v>0</v>
      </c>
      <c r="J30" s="58">
        <f>G30*AO30</f>
        <v>0</v>
      </c>
      <c r="K30" s="58">
        <f>G30*H30</f>
        <v>0</v>
      </c>
      <c r="Y30" s="20">
        <f>IF(AP30="5",BI30,0)</f>
        <v>0</v>
      </c>
      <c r="AA30" s="20">
        <f>IF(AP30="1",BG30,0)</f>
        <v>0</v>
      </c>
      <c r="AB30" s="20">
        <f>IF(AP30="1",BH30,0)</f>
        <v>0</v>
      </c>
      <c r="AC30" s="20">
        <f>IF(AP30="7",BG30,0)</f>
        <v>0</v>
      </c>
      <c r="AD30" s="20">
        <f>IF(AP30="7",BH30,0)</f>
        <v>0</v>
      </c>
      <c r="AE30" s="20">
        <f>IF(AP30="2",BG30,0)</f>
        <v>0</v>
      </c>
      <c r="AF30" s="20">
        <f>IF(AP30="2",BH30,0)</f>
        <v>0</v>
      </c>
      <c r="AG30" s="20">
        <f>IF(AP30="0",BI30,0)</f>
        <v>0</v>
      </c>
      <c r="AH30" s="15" t="s">
        <v>134</v>
      </c>
      <c r="AI30" s="12">
        <f>IF(AM30=0,K30,0)</f>
        <v>0</v>
      </c>
      <c r="AJ30" s="12">
        <f>IF(AM30=15,K30,0)</f>
        <v>0</v>
      </c>
      <c r="AK30" s="12">
        <f>IF(AM30=21,K30,0)</f>
        <v>0</v>
      </c>
      <c r="AM30" s="20">
        <v>15</v>
      </c>
      <c r="AN30" s="20">
        <f>H30*0</f>
        <v>0</v>
      </c>
      <c r="AO30" s="20">
        <f>H30*(1-0)</f>
        <v>0</v>
      </c>
      <c r="AP30" s="16" t="s">
        <v>256</v>
      </c>
      <c r="AU30" s="20">
        <f>AV30+AW30</f>
        <v>0</v>
      </c>
      <c r="AV30" s="20">
        <f>G30*AN30</f>
        <v>0</v>
      </c>
      <c r="AW30" s="20">
        <f>G30*AO30</f>
        <v>0</v>
      </c>
      <c r="AX30" s="21" t="s">
        <v>140</v>
      </c>
      <c r="AY30" s="21" t="s">
        <v>172</v>
      </c>
      <c r="AZ30" s="15" t="s">
        <v>189</v>
      </c>
      <c r="BB30" s="20">
        <f>AV30+AW30</f>
        <v>0</v>
      </c>
      <c r="BC30" s="20">
        <f>H30/(100-BD30)*100</f>
        <v>0</v>
      </c>
      <c r="BD30" s="20">
        <v>0</v>
      </c>
      <c r="BE30" s="20">
        <f>30</f>
        <v>30</v>
      </c>
      <c r="BG30" s="12">
        <f>G30*AN30</f>
        <v>0</v>
      </c>
      <c r="BH30" s="12">
        <f>G30*AO30</f>
        <v>0</v>
      </c>
      <c r="BI30" s="12">
        <f>G30*H30</f>
        <v>0</v>
      </c>
    </row>
    <row r="31" spans="3:5" ht="12.75">
      <c r="C31" s="147" t="s">
        <v>701</v>
      </c>
      <c r="D31" s="148"/>
      <c r="E31" s="148"/>
    </row>
    <row r="32" spans="1:11" ht="12.75">
      <c r="A32" s="59"/>
      <c r="B32" s="59"/>
      <c r="C32" s="149" t="s">
        <v>706</v>
      </c>
      <c r="D32" s="150"/>
      <c r="E32" s="150"/>
      <c r="F32" s="59"/>
      <c r="G32" s="60">
        <v>5.0224</v>
      </c>
      <c r="H32" s="59"/>
      <c r="I32" s="59"/>
      <c r="J32" s="59"/>
      <c r="K32" s="59"/>
    </row>
    <row r="33" spans="1:61" ht="12.75">
      <c r="A33" s="57" t="s">
        <v>263</v>
      </c>
      <c r="B33" s="57" t="s">
        <v>484</v>
      </c>
      <c r="C33" s="146" t="s">
        <v>707</v>
      </c>
      <c r="D33" s="145"/>
      <c r="E33" s="145"/>
      <c r="F33" s="57" t="s">
        <v>101</v>
      </c>
      <c r="G33" s="58">
        <v>5.6502</v>
      </c>
      <c r="H33" s="58">
        <v>0</v>
      </c>
      <c r="I33" s="58">
        <f>G33*AN33</f>
        <v>0</v>
      </c>
      <c r="J33" s="58">
        <f>G33*AO33</f>
        <v>0</v>
      </c>
      <c r="K33" s="58">
        <f>G33*H33</f>
        <v>0</v>
      </c>
      <c r="Y33" s="20">
        <f>IF(AP33="5",BI33,0)</f>
        <v>0</v>
      </c>
      <c r="AA33" s="20">
        <f>IF(AP33="1",BG33,0)</f>
        <v>0</v>
      </c>
      <c r="AB33" s="20">
        <f>IF(AP33="1",BH33,0)</f>
        <v>0</v>
      </c>
      <c r="AC33" s="20">
        <f>IF(AP33="7",BG33,0)</f>
        <v>0</v>
      </c>
      <c r="AD33" s="20">
        <f>IF(AP33="7",BH33,0)</f>
        <v>0</v>
      </c>
      <c r="AE33" s="20">
        <f>IF(AP33="2",BG33,0)</f>
        <v>0</v>
      </c>
      <c r="AF33" s="20">
        <f>IF(AP33="2",BH33,0)</f>
        <v>0</v>
      </c>
      <c r="AG33" s="20">
        <f>IF(AP33="0",BI33,0)</f>
        <v>0</v>
      </c>
      <c r="AH33" s="15" t="s">
        <v>134</v>
      </c>
      <c r="AI33" s="12">
        <f>IF(AM33=0,K33,0)</f>
        <v>0</v>
      </c>
      <c r="AJ33" s="12">
        <f>IF(AM33=15,K33,0)</f>
        <v>0</v>
      </c>
      <c r="AK33" s="12">
        <f>IF(AM33=21,K33,0)</f>
        <v>0</v>
      </c>
      <c r="AM33" s="20">
        <v>15</v>
      </c>
      <c r="AN33" s="20">
        <f>H33*0</f>
        <v>0</v>
      </c>
      <c r="AO33" s="20">
        <f>H33*(1-0)</f>
        <v>0</v>
      </c>
      <c r="AP33" s="16" t="s">
        <v>256</v>
      </c>
      <c r="AU33" s="20">
        <f>AV33+AW33</f>
        <v>0</v>
      </c>
      <c r="AV33" s="20">
        <f>G33*AN33</f>
        <v>0</v>
      </c>
      <c r="AW33" s="20">
        <f>G33*AO33</f>
        <v>0</v>
      </c>
      <c r="AX33" s="21" t="s">
        <v>140</v>
      </c>
      <c r="AY33" s="21" t="s">
        <v>172</v>
      </c>
      <c r="AZ33" s="15" t="s">
        <v>189</v>
      </c>
      <c r="BB33" s="20">
        <f>AV33+AW33</f>
        <v>0</v>
      </c>
      <c r="BC33" s="20">
        <f>H33/(100-BD33)*100</f>
        <v>0</v>
      </c>
      <c r="BD33" s="20">
        <v>0</v>
      </c>
      <c r="BE33" s="20">
        <f>33</f>
        <v>33</v>
      </c>
      <c r="BG33" s="12">
        <f>G33*AN33</f>
        <v>0</v>
      </c>
      <c r="BH33" s="12">
        <f>G33*AO33</f>
        <v>0</v>
      </c>
      <c r="BI33" s="12">
        <f>G33*H33</f>
        <v>0</v>
      </c>
    </row>
    <row r="34" spans="3:5" ht="12.75">
      <c r="C34" s="147" t="s">
        <v>704</v>
      </c>
      <c r="D34" s="148"/>
      <c r="E34" s="148"/>
    </row>
    <row r="35" spans="1:11" ht="12.75">
      <c r="A35" s="59"/>
      <c r="B35" s="59"/>
      <c r="C35" s="149" t="s">
        <v>708</v>
      </c>
      <c r="D35" s="150"/>
      <c r="E35" s="150"/>
      <c r="F35" s="59"/>
      <c r="G35" s="60">
        <v>5.6502</v>
      </c>
      <c r="H35" s="59"/>
      <c r="I35" s="59"/>
      <c r="J35" s="59"/>
      <c r="K35" s="59"/>
    </row>
    <row r="36" spans="1:61" ht="12.75">
      <c r="A36" s="57" t="s">
        <v>264</v>
      </c>
      <c r="B36" s="57" t="s">
        <v>485</v>
      </c>
      <c r="C36" s="146" t="s">
        <v>709</v>
      </c>
      <c r="D36" s="145"/>
      <c r="E36" s="145"/>
      <c r="F36" s="57" t="s">
        <v>100</v>
      </c>
      <c r="G36" s="58">
        <v>1.71</v>
      </c>
      <c r="H36" s="58">
        <v>0</v>
      </c>
      <c r="I36" s="58">
        <f>G36*AN36</f>
        <v>0</v>
      </c>
      <c r="J36" s="58">
        <f>G36*AO36</f>
        <v>0</v>
      </c>
      <c r="K36" s="58">
        <f>G36*H36</f>
        <v>0</v>
      </c>
      <c r="Y36" s="20">
        <f>IF(AP36="5",BI36,0)</f>
        <v>0</v>
      </c>
      <c r="AA36" s="20">
        <f>IF(AP36="1",BG36,0)</f>
        <v>0</v>
      </c>
      <c r="AB36" s="20">
        <f>IF(AP36="1",BH36,0)</f>
        <v>0</v>
      </c>
      <c r="AC36" s="20">
        <f>IF(AP36="7",BG36,0)</f>
        <v>0</v>
      </c>
      <c r="AD36" s="20">
        <f>IF(AP36="7",BH36,0)</f>
        <v>0</v>
      </c>
      <c r="AE36" s="20">
        <f>IF(AP36="2",BG36,0)</f>
        <v>0</v>
      </c>
      <c r="AF36" s="20">
        <f>IF(AP36="2",BH36,0)</f>
        <v>0</v>
      </c>
      <c r="AG36" s="20">
        <f>IF(AP36="0",BI36,0)</f>
        <v>0</v>
      </c>
      <c r="AH36" s="15" t="s">
        <v>134</v>
      </c>
      <c r="AI36" s="12">
        <f>IF(AM36=0,K36,0)</f>
        <v>0</v>
      </c>
      <c r="AJ36" s="12">
        <f>IF(AM36=15,K36,0)</f>
        <v>0</v>
      </c>
      <c r="AK36" s="12">
        <f>IF(AM36=21,K36,0)</f>
        <v>0</v>
      </c>
      <c r="AM36" s="20">
        <v>15</v>
      </c>
      <c r="AN36" s="20">
        <f>H36*0.120627802690583</f>
        <v>0</v>
      </c>
      <c r="AO36" s="20">
        <f>H36*(1-0.120627802690583)</f>
        <v>0</v>
      </c>
      <c r="AP36" s="16" t="s">
        <v>256</v>
      </c>
      <c r="AU36" s="20">
        <f>AV36+AW36</f>
        <v>0</v>
      </c>
      <c r="AV36" s="20">
        <f>G36*AN36</f>
        <v>0</v>
      </c>
      <c r="AW36" s="20">
        <f>G36*AO36</f>
        <v>0</v>
      </c>
      <c r="AX36" s="21" t="s">
        <v>140</v>
      </c>
      <c r="AY36" s="21" t="s">
        <v>172</v>
      </c>
      <c r="AZ36" s="15" t="s">
        <v>189</v>
      </c>
      <c r="BB36" s="20">
        <f>AV36+AW36</f>
        <v>0</v>
      </c>
      <c r="BC36" s="20">
        <f>H36/(100-BD36)*100</f>
        <v>0</v>
      </c>
      <c r="BD36" s="20">
        <v>0</v>
      </c>
      <c r="BE36" s="20">
        <f>36</f>
        <v>36</v>
      </c>
      <c r="BG36" s="12">
        <f>G36*AN36</f>
        <v>0</v>
      </c>
      <c r="BH36" s="12">
        <f>G36*AO36</f>
        <v>0</v>
      </c>
      <c r="BI36" s="12">
        <f>G36*H36</f>
        <v>0</v>
      </c>
    </row>
    <row r="37" spans="1:11" ht="12.75">
      <c r="A37" s="59"/>
      <c r="B37" s="59"/>
      <c r="C37" s="149" t="s">
        <v>710</v>
      </c>
      <c r="D37" s="150"/>
      <c r="E37" s="150"/>
      <c r="F37" s="59"/>
      <c r="G37" s="60">
        <v>1.71</v>
      </c>
      <c r="H37" s="59"/>
      <c r="I37" s="59"/>
      <c r="J37" s="59"/>
      <c r="K37" s="59"/>
    </row>
    <row r="38" spans="1:61" ht="12.75">
      <c r="A38" s="57" t="s">
        <v>265</v>
      </c>
      <c r="B38" s="57" t="s">
        <v>486</v>
      </c>
      <c r="C38" s="146" t="s">
        <v>711</v>
      </c>
      <c r="D38" s="145"/>
      <c r="E38" s="145"/>
      <c r="F38" s="57" t="s">
        <v>100</v>
      </c>
      <c r="G38" s="58">
        <v>5.04</v>
      </c>
      <c r="H38" s="58">
        <v>0</v>
      </c>
      <c r="I38" s="58">
        <f>G38*AN38</f>
        <v>0</v>
      </c>
      <c r="J38" s="58">
        <f>G38*AO38</f>
        <v>0</v>
      </c>
      <c r="K38" s="58">
        <f>G38*H38</f>
        <v>0</v>
      </c>
      <c r="Y38" s="20">
        <f>IF(AP38="5",BI38,0)</f>
        <v>0</v>
      </c>
      <c r="AA38" s="20">
        <f>IF(AP38="1",BG38,0)</f>
        <v>0</v>
      </c>
      <c r="AB38" s="20">
        <f>IF(AP38="1",BH38,0)</f>
        <v>0</v>
      </c>
      <c r="AC38" s="20">
        <f>IF(AP38="7",BG38,0)</f>
        <v>0</v>
      </c>
      <c r="AD38" s="20">
        <f>IF(AP38="7",BH38,0)</f>
        <v>0</v>
      </c>
      <c r="AE38" s="20">
        <f>IF(AP38="2",BG38,0)</f>
        <v>0</v>
      </c>
      <c r="AF38" s="20">
        <f>IF(AP38="2",BH38,0)</f>
        <v>0</v>
      </c>
      <c r="AG38" s="20">
        <f>IF(AP38="0",BI38,0)</f>
        <v>0</v>
      </c>
      <c r="AH38" s="15" t="s">
        <v>134</v>
      </c>
      <c r="AI38" s="12">
        <f>IF(AM38=0,K38,0)</f>
        <v>0</v>
      </c>
      <c r="AJ38" s="12">
        <f>IF(AM38=15,K38,0)</f>
        <v>0</v>
      </c>
      <c r="AK38" s="12">
        <f>IF(AM38=21,K38,0)</f>
        <v>0</v>
      </c>
      <c r="AM38" s="20">
        <v>15</v>
      </c>
      <c r="AN38" s="20">
        <f>H38*0.135185185185185</f>
        <v>0</v>
      </c>
      <c r="AO38" s="20">
        <f>H38*(1-0.135185185185185)</f>
        <v>0</v>
      </c>
      <c r="AP38" s="16" t="s">
        <v>256</v>
      </c>
      <c r="AU38" s="20">
        <f>AV38+AW38</f>
        <v>0</v>
      </c>
      <c r="AV38" s="20">
        <f>G38*AN38</f>
        <v>0</v>
      </c>
      <c r="AW38" s="20">
        <f>G38*AO38</f>
        <v>0</v>
      </c>
      <c r="AX38" s="21" t="s">
        <v>140</v>
      </c>
      <c r="AY38" s="21" t="s">
        <v>172</v>
      </c>
      <c r="AZ38" s="15" t="s">
        <v>189</v>
      </c>
      <c r="BB38" s="20">
        <f>AV38+AW38</f>
        <v>0</v>
      </c>
      <c r="BC38" s="20">
        <f>H38/(100-BD38)*100</f>
        <v>0</v>
      </c>
      <c r="BD38" s="20">
        <v>0</v>
      </c>
      <c r="BE38" s="20">
        <f>38</f>
        <v>38</v>
      </c>
      <c r="BG38" s="12">
        <f>G38*AN38</f>
        <v>0</v>
      </c>
      <c r="BH38" s="12">
        <f>G38*AO38</f>
        <v>0</v>
      </c>
      <c r="BI38" s="12">
        <f>G38*H38</f>
        <v>0</v>
      </c>
    </row>
    <row r="39" spans="1:11" ht="12.75">
      <c r="A39" s="59"/>
      <c r="B39" s="59"/>
      <c r="C39" s="149" t="s">
        <v>712</v>
      </c>
      <c r="D39" s="150"/>
      <c r="E39" s="150"/>
      <c r="F39" s="59"/>
      <c r="G39" s="60">
        <v>5.04</v>
      </c>
      <c r="H39" s="59"/>
      <c r="I39" s="59"/>
      <c r="J39" s="59"/>
      <c r="K39" s="59"/>
    </row>
    <row r="40" spans="1:61" ht="12.75">
      <c r="A40" s="57" t="s">
        <v>266</v>
      </c>
      <c r="B40" s="57" t="s">
        <v>487</v>
      </c>
      <c r="C40" s="146" t="s">
        <v>713</v>
      </c>
      <c r="D40" s="145"/>
      <c r="E40" s="145"/>
      <c r="F40" s="57" t="s">
        <v>100</v>
      </c>
      <c r="G40" s="58">
        <v>8.514</v>
      </c>
      <c r="H40" s="58">
        <v>0</v>
      </c>
      <c r="I40" s="58">
        <f>G40*AN40</f>
        <v>0</v>
      </c>
      <c r="J40" s="58">
        <f>G40*AO40</f>
        <v>0</v>
      </c>
      <c r="K40" s="58">
        <f>G40*H40</f>
        <v>0</v>
      </c>
      <c r="Y40" s="20">
        <f>IF(AP40="5",BI40,0)</f>
        <v>0</v>
      </c>
      <c r="AA40" s="20">
        <f>IF(AP40="1",BG40,0)</f>
        <v>0</v>
      </c>
      <c r="AB40" s="20">
        <f>IF(AP40="1",BH40,0)</f>
        <v>0</v>
      </c>
      <c r="AC40" s="20">
        <f>IF(AP40="7",BG40,0)</f>
        <v>0</v>
      </c>
      <c r="AD40" s="20">
        <f>IF(AP40="7",BH40,0)</f>
        <v>0</v>
      </c>
      <c r="AE40" s="20">
        <f>IF(AP40="2",BG40,0)</f>
        <v>0</v>
      </c>
      <c r="AF40" s="20">
        <f>IF(AP40="2",BH40,0)</f>
        <v>0</v>
      </c>
      <c r="AG40" s="20">
        <f>IF(AP40="0",BI40,0)</f>
        <v>0</v>
      </c>
      <c r="AH40" s="15" t="s">
        <v>134</v>
      </c>
      <c r="AI40" s="12">
        <f>IF(AM40=0,K40,0)</f>
        <v>0</v>
      </c>
      <c r="AJ40" s="12">
        <f>IF(AM40=15,K40,0)</f>
        <v>0</v>
      </c>
      <c r="AK40" s="12">
        <f>IF(AM40=21,K40,0)</f>
        <v>0</v>
      </c>
      <c r="AM40" s="20">
        <v>15</v>
      </c>
      <c r="AN40" s="20">
        <f>H40*0.138377681221768</f>
        <v>0</v>
      </c>
      <c r="AO40" s="20">
        <f>H40*(1-0.138377681221768)</f>
        <v>0</v>
      </c>
      <c r="AP40" s="16" t="s">
        <v>256</v>
      </c>
      <c r="AU40" s="20">
        <f>AV40+AW40</f>
        <v>0</v>
      </c>
      <c r="AV40" s="20">
        <f>G40*AN40</f>
        <v>0</v>
      </c>
      <c r="AW40" s="20">
        <f>G40*AO40</f>
        <v>0</v>
      </c>
      <c r="AX40" s="21" t="s">
        <v>140</v>
      </c>
      <c r="AY40" s="21" t="s">
        <v>172</v>
      </c>
      <c r="AZ40" s="15" t="s">
        <v>189</v>
      </c>
      <c r="BB40" s="20">
        <f>AV40+AW40</f>
        <v>0</v>
      </c>
      <c r="BC40" s="20">
        <f>H40/(100-BD40)*100</f>
        <v>0</v>
      </c>
      <c r="BD40" s="20">
        <v>0</v>
      </c>
      <c r="BE40" s="20">
        <f>40</f>
        <v>40</v>
      </c>
      <c r="BG40" s="12">
        <f>G40*AN40</f>
        <v>0</v>
      </c>
      <c r="BH40" s="12">
        <f>G40*AO40</f>
        <v>0</v>
      </c>
      <c r="BI40" s="12">
        <f>G40*H40</f>
        <v>0</v>
      </c>
    </row>
    <row r="41" spans="1:11" ht="12.75">
      <c r="A41" s="59"/>
      <c r="B41" s="59"/>
      <c r="C41" s="149" t="s">
        <v>714</v>
      </c>
      <c r="D41" s="150"/>
      <c r="E41" s="150"/>
      <c r="F41" s="59"/>
      <c r="G41" s="60">
        <v>4.266</v>
      </c>
      <c r="H41" s="59"/>
      <c r="I41" s="59"/>
      <c r="J41" s="59"/>
      <c r="K41" s="59"/>
    </row>
    <row r="42" spans="1:11" ht="12.75">
      <c r="A42" s="59"/>
      <c r="B42" s="59"/>
      <c r="C42" s="149" t="s">
        <v>715</v>
      </c>
      <c r="D42" s="150"/>
      <c r="E42" s="150"/>
      <c r="F42" s="59"/>
      <c r="G42" s="60">
        <v>4.248</v>
      </c>
      <c r="H42" s="59"/>
      <c r="I42" s="59"/>
      <c r="J42" s="59"/>
      <c r="K42" s="59"/>
    </row>
    <row r="43" spans="1:61" ht="12.75">
      <c r="A43" s="57" t="s">
        <v>267</v>
      </c>
      <c r="B43" s="57" t="s">
        <v>488</v>
      </c>
      <c r="C43" s="146" t="s">
        <v>716</v>
      </c>
      <c r="D43" s="145"/>
      <c r="E43" s="145"/>
      <c r="F43" s="57" t="s">
        <v>102</v>
      </c>
      <c r="G43" s="58">
        <v>7.12</v>
      </c>
      <c r="H43" s="58">
        <v>0</v>
      </c>
      <c r="I43" s="58">
        <f>G43*AN43</f>
        <v>0</v>
      </c>
      <c r="J43" s="58">
        <f>G43*AO43</f>
        <v>0</v>
      </c>
      <c r="K43" s="58">
        <f>G43*H43</f>
        <v>0</v>
      </c>
      <c r="Y43" s="20">
        <f>IF(AP43="5",BI43,0)</f>
        <v>0</v>
      </c>
      <c r="AA43" s="20">
        <f>IF(AP43="1",BG43,0)</f>
        <v>0</v>
      </c>
      <c r="AB43" s="20">
        <f>IF(AP43="1",BH43,0)</f>
        <v>0</v>
      </c>
      <c r="AC43" s="20">
        <f>IF(AP43="7",BG43,0)</f>
        <v>0</v>
      </c>
      <c r="AD43" s="20">
        <f>IF(AP43="7",BH43,0)</f>
        <v>0</v>
      </c>
      <c r="AE43" s="20">
        <f>IF(AP43="2",BG43,0)</f>
        <v>0</v>
      </c>
      <c r="AF43" s="20">
        <f>IF(AP43="2",BH43,0)</f>
        <v>0</v>
      </c>
      <c r="AG43" s="20">
        <f>IF(AP43="0",BI43,0)</f>
        <v>0</v>
      </c>
      <c r="AH43" s="15" t="s">
        <v>134</v>
      </c>
      <c r="AI43" s="12">
        <f>IF(AM43=0,K43,0)</f>
        <v>0</v>
      </c>
      <c r="AJ43" s="12">
        <f>IF(AM43=15,K43,0)</f>
        <v>0</v>
      </c>
      <c r="AK43" s="12">
        <f>IF(AM43=21,K43,0)</f>
        <v>0</v>
      </c>
      <c r="AM43" s="20">
        <v>15</v>
      </c>
      <c r="AN43" s="20">
        <f>H43*0.0700520833333333</f>
        <v>0</v>
      </c>
      <c r="AO43" s="20">
        <f>H43*(1-0.0700520833333333)</f>
        <v>0</v>
      </c>
      <c r="AP43" s="16" t="s">
        <v>256</v>
      </c>
      <c r="AU43" s="20">
        <f>AV43+AW43</f>
        <v>0</v>
      </c>
      <c r="AV43" s="20">
        <f>G43*AN43</f>
        <v>0</v>
      </c>
      <c r="AW43" s="20">
        <f>G43*AO43</f>
        <v>0</v>
      </c>
      <c r="AX43" s="21" t="s">
        <v>140</v>
      </c>
      <c r="AY43" s="21" t="s">
        <v>172</v>
      </c>
      <c r="AZ43" s="15" t="s">
        <v>189</v>
      </c>
      <c r="BB43" s="20">
        <f>AV43+AW43</f>
        <v>0</v>
      </c>
      <c r="BC43" s="20">
        <f>H43/(100-BD43)*100</f>
        <v>0</v>
      </c>
      <c r="BD43" s="20">
        <v>0</v>
      </c>
      <c r="BE43" s="20">
        <f>43</f>
        <v>43</v>
      </c>
      <c r="BG43" s="12">
        <f>G43*AN43</f>
        <v>0</v>
      </c>
      <c r="BH43" s="12">
        <f>G43*AO43</f>
        <v>0</v>
      </c>
      <c r="BI43" s="12">
        <f>G43*H43</f>
        <v>0</v>
      </c>
    </row>
    <row r="44" spans="1:11" ht="12.75">
      <c r="A44" s="59"/>
      <c r="B44" s="59"/>
      <c r="C44" s="149" t="s">
        <v>717</v>
      </c>
      <c r="D44" s="150"/>
      <c r="E44" s="150"/>
      <c r="F44" s="59"/>
      <c r="G44" s="60">
        <v>7.12</v>
      </c>
      <c r="H44" s="59"/>
      <c r="I44" s="59"/>
      <c r="J44" s="59"/>
      <c r="K44" s="59"/>
    </row>
    <row r="45" spans="1:46" ht="12.75">
      <c r="A45" s="2"/>
      <c r="B45" s="8" t="s">
        <v>352</v>
      </c>
      <c r="C45" s="142" t="s">
        <v>718</v>
      </c>
      <c r="D45" s="143"/>
      <c r="E45" s="143"/>
      <c r="F45" s="2" t="s">
        <v>255</v>
      </c>
      <c r="G45" s="2" t="s">
        <v>255</v>
      </c>
      <c r="H45" s="2" t="s">
        <v>255</v>
      </c>
      <c r="I45" s="22">
        <f>SUM(I46:I49)</f>
        <v>0</v>
      </c>
      <c r="J45" s="22">
        <f>SUM(J46:J49)</f>
        <v>0</v>
      </c>
      <c r="K45" s="22">
        <f>SUM(K46:K49)</f>
        <v>0</v>
      </c>
      <c r="AH45" s="15" t="s">
        <v>134</v>
      </c>
      <c r="AR45" s="22">
        <f>SUM(AI46:AI49)</f>
        <v>0</v>
      </c>
      <c r="AS45" s="22">
        <f>SUM(AJ46:AJ49)</f>
        <v>0</v>
      </c>
      <c r="AT45" s="22">
        <f>SUM(AK46:AK49)</f>
        <v>0</v>
      </c>
    </row>
    <row r="46" spans="1:61" ht="12.75">
      <c r="A46" s="57" t="s">
        <v>268</v>
      </c>
      <c r="B46" s="57" t="s">
        <v>489</v>
      </c>
      <c r="C46" s="146" t="s">
        <v>719</v>
      </c>
      <c r="D46" s="145"/>
      <c r="E46" s="145"/>
      <c r="F46" s="57" t="s">
        <v>102</v>
      </c>
      <c r="G46" s="58">
        <v>22.06</v>
      </c>
      <c r="H46" s="58">
        <v>0</v>
      </c>
      <c r="I46" s="58">
        <f>G46*AN46</f>
        <v>0</v>
      </c>
      <c r="J46" s="58">
        <f>G46*AO46</f>
        <v>0</v>
      </c>
      <c r="K46" s="58">
        <f>G46*H46</f>
        <v>0</v>
      </c>
      <c r="Y46" s="20">
        <f>IF(AP46="5",BI46,0)</f>
        <v>0</v>
      </c>
      <c r="AA46" s="20">
        <f>IF(AP46="1",BG46,0)</f>
        <v>0</v>
      </c>
      <c r="AB46" s="20">
        <f>IF(AP46="1",BH46,0)</f>
        <v>0</v>
      </c>
      <c r="AC46" s="20">
        <f>IF(AP46="7",BG46,0)</f>
        <v>0</v>
      </c>
      <c r="AD46" s="20">
        <f>IF(AP46="7",BH46,0)</f>
        <v>0</v>
      </c>
      <c r="AE46" s="20">
        <f>IF(AP46="2",BG46,0)</f>
        <v>0</v>
      </c>
      <c r="AF46" s="20">
        <f>IF(AP46="2",BH46,0)</f>
        <v>0</v>
      </c>
      <c r="AG46" s="20">
        <f>IF(AP46="0",BI46,0)</f>
        <v>0</v>
      </c>
      <c r="AH46" s="15" t="s">
        <v>134</v>
      </c>
      <c r="AI46" s="12">
        <f>IF(AM46=0,K46,0)</f>
        <v>0</v>
      </c>
      <c r="AJ46" s="12">
        <f>IF(AM46=15,K46,0)</f>
        <v>0</v>
      </c>
      <c r="AK46" s="12">
        <f>IF(AM46=21,K46,0)</f>
        <v>0</v>
      </c>
      <c r="AM46" s="20">
        <v>15</v>
      </c>
      <c r="AN46" s="20">
        <f>H46*0</f>
        <v>0</v>
      </c>
      <c r="AO46" s="20">
        <f>H46*(1-0)</f>
        <v>0</v>
      </c>
      <c r="AP46" s="16" t="s">
        <v>256</v>
      </c>
      <c r="AU46" s="20">
        <f>AV46+AW46</f>
        <v>0</v>
      </c>
      <c r="AV46" s="20">
        <f>G46*AN46</f>
        <v>0</v>
      </c>
      <c r="AW46" s="20">
        <f>G46*AO46</f>
        <v>0</v>
      </c>
      <c r="AX46" s="21" t="s">
        <v>141</v>
      </c>
      <c r="AY46" s="21" t="s">
        <v>172</v>
      </c>
      <c r="AZ46" s="15" t="s">
        <v>189</v>
      </c>
      <c r="BB46" s="20">
        <f>AV46+AW46</f>
        <v>0</v>
      </c>
      <c r="BC46" s="20">
        <f>H46/(100-BD46)*100</f>
        <v>0</v>
      </c>
      <c r="BD46" s="20">
        <v>0</v>
      </c>
      <c r="BE46" s="20">
        <f>46</f>
        <v>46</v>
      </c>
      <c r="BG46" s="12">
        <f>G46*AN46</f>
        <v>0</v>
      </c>
      <c r="BH46" s="12">
        <f>G46*AO46</f>
        <v>0</v>
      </c>
      <c r="BI46" s="12">
        <f>G46*H46</f>
        <v>0</v>
      </c>
    </row>
    <row r="47" spans="1:11" ht="12.75">
      <c r="A47" s="59"/>
      <c r="B47" s="59"/>
      <c r="C47" s="149" t="s">
        <v>720</v>
      </c>
      <c r="D47" s="150"/>
      <c r="E47" s="150"/>
      <c r="F47" s="59"/>
      <c r="G47" s="60">
        <v>14.99</v>
      </c>
      <c r="H47" s="59"/>
      <c r="I47" s="59"/>
      <c r="J47" s="59"/>
      <c r="K47" s="59"/>
    </row>
    <row r="48" spans="1:11" ht="12.75">
      <c r="A48" s="59"/>
      <c r="B48" s="59"/>
      <c r="C48" s="149" t="s">
        <v>721</v>
      </c>
      <c r="D48" s="150"/>
      <c r="E48" s="150"/>
      <c r="F48" s="59"/>
      <c r="G48" s="60">
        <v>7.07</v>
      </c>
      <c r="H48" s="59"/>
      <c r="I48" s="59"/>
      <c r="J48" s="59"/>
      <c r="K48" s="59"/>
    </row>
    <row r="49" spans="1:61" ht="12.75">
      <c r="A49" s="57" t="s">
        <v>269</v>
      </c>
      <c r="B49" s="57" t="s">
        <v>490</v>
      </c>
      <c r="C49" s="146" t="s">
        <v>722</v>
      </c>
      <c r="D49" s="145"/>
      <c r="E49" s="145"/>
      <c r="F49" s="57" t="s">
        <v>102</v>
      </c>
      <c r="G49" s="58">
        <v>7.07</v>
      </c>
      <c r="H49" s="58">
        <v>0</v>
      </c>
      <c r="I49" s="58">
        <f>G49*AN49</f>
        <v>0</v>
      </c>
      <c r="J49" s="58">
        <f>G49*AO49</f>
        <v>0</v>
      </c>
      <c r="K49" s="58">
        <f>G49*H49</f>
        <v>0</v>
      </c>
      <c r="Y49" s="20">
        <f>IF(AP49="5",BI49,0)</f>
        <v>0</v>
      </c>
      <c r="AA49" s="20">
        <f>IF(AP49="1",BG49,0)</f>
        <v>0</v>
      </c>
      <c r="AB49" s="20">
        <f>IF(AP49="1",BH49,0)</f>
        <v>0</v>
      </c>
      <c r="AC49" s="20">
        <f>IF(AP49="7",BG49,0)</f>
        <v>0</v>
      </c>
      <c r="AD49" s="20">
        <f>IF(AP49="7",BH49,0)</f>
        <v>0</v>
      </c>
      <c r="AE49" s="20">
        <f>IF(AP49="2",BG49,0)</f>
        <v>0</v>
      </c>
      <c r="AF49" s="20">
        <f>IF(AP49="2",BH49,0)</f>
        <v>0</v>
      </c>
      <c r="AG49" s="20">
        <f>IF(AP49="0",BI49,0)</f>
        <v>0</v>
      </c>
      <c r="AH49" s="15" t="s">
        <v>134</v>
      </c>
      <c r="AI49" s="12">
        <f>IF(AM49=0,K49,0)</f>
        <v>0</v>
      </c>
      <c r="AJ49" s="12">
        <f>IF(AM49=15,K49,0)</f>
        <v>0</v>
      </c>
      <c r="AK49" s="12">
        <f>IF(AM49=21,K49,0)</f>
        <v>0</v>
      </c>
      <c r="AM49" s="20">
        <v>15</v>
      </c>
      <c r="AN49" s="20">
        <f>H49*0</f>
        <v>0</v>
      </c>
      <c r="AO49" s="20">
        <f>H49*(1-0)</f>
        <v>0</v>
      </c>
      <c r="AP49" s="16" t="s">
        <v>256</v>
      </c>
      <c r="AU49" s="20">
        <f>AV49+AW49</f>
        <v>0</v>
      </c>
      <c r="AV49" s="20">
        <f>G49*AN49</f>
        <v>0</v>
      </c>
      <c r="AW49" s="20">
        <f>G49*AO49</f>
        <v>0</v>
      </c>
      <c r="AX49" s="21" t="s">
        <v>141</v>
      </c>
      <c r="AY49" s="21" t="s">
        <v>172</v>
      </c>
      <c r="AZ49" s="15" t="s">
        <v>189</v>
      </c>
      <c r="BB49" s="20">
        <f>AV49+AW49</f>
        <v>0</v>
      </c>
      <c r="BC49" s="20">
        <f>H49/(100-BD49)*100</f>
        <v>0</v>
      </c>
      <c r="BD49" s="20">
        <v>0</v>
      </c>
      <c r="BE49" s="20">
        <f>49</f>
        <v>49</v>
      </c>
      <c r="BG49" s="12">
        <f>G49*AN49</f>
        <v>0</v>
      </c>
      <c r="BH49" s="12">
        <f>G49*AO49</f>
        <v>0</v>
      </c>
      <c r="BI49" s="12">
        <f>G49*H49</f>
        <v>0</v>
      </c>
    </row>
    <row r="50" spans="3:5" ht="12.75">
      <c r="C50" s="147" t="s">
        <v>723</v>
      </c>
      <c r="D50" s="148"/>
      <c r="E50" s="148"/>
    </row>
    <row r="51" spans="1:11" ht="12.75">
      <c r="A51" s="59"/>
      <c r="B51" s="59"/>
      <c r="C51" s="149" t="s">
        <v>724</v>
      </c>
      <c r="D51" s="150"/>
      <c r="E51" s="150"/>
      <c r="F51" s="59"/>
      <c r="G51" s="60">
        <v>7.07</v>
      </c>
      <c r="H51" s="59"/>
      <c r="I51" s="59"/>
      <c r="J51" s="59"/>
      <c r="K51" s="59"/>
    </row>
    <row r="52" spans="1:46" ht="12.75">
      <c r="A52" s="61"/>
      <c r="B52" s="62" t="s">
        <v>491</v>
      </c>
      <c r="C52" s="151" t="s">
        <v>725</v>
      </c>
      <c r="D52" s="143"/>
      <c r="E52" s="143"/>
      <c r="F52" s="61" t="s">
        <v>255</v>
      </c>
      <c r="G52" s="61" t="s">
        <v>255</v>
      </c>
      <c r="H52" s="61" t="s">
        <v>255</v>
      </c>
      <c r="I52" s="63">
        <f>SUM(I53:I63)</f>
        <v>0</v>
      </c>
      <c r="J52" s="63">
        <f>SUM(J53:J63)</f>
        <v>0</v>
      </c>
      <c r="K52" s="63">
        <f>SUM(K53:K63)</f>
        <v>0</v>
      </c>
      <c r="AH52" s="15" t="s">
        <v>134</v>
      </c>
      <c r="AR52" s="22">
        <f>SUM(AI53:AI63)</f>
        <v>0</v>
      </c>
      <c r="AS52" s="22">
        <f>SUM(AJ53:AJ63)</f>
        <v>0</v>
      </c>
      <c r="AT52" s="22">
        <f>SUM(AK53:AK63)</f>
        <v>0</v>
      </c>
    </row>
    <row r="53" spans="1:61" ht="12.75">
      <c r="A53" s="57" t="s">
        <v>270</v>
      </c>
      <c r="B53" s="57" t="s">
        <v>492</v>
      </c>
      <c r="C53" s="146" t="s">
        <v>726</v>
      </c>
      <c r="D53" s="145"/>
      <c r="E53" s="145"/>
      <c r="F53" s="57" t="s">
        <v>103</v>
      </c>
      <c r="G53" s="58">
        <v>34.69</v>
      </c>
      <c r="H53" s="58">
        <v>0</v>
      </c>
      <c r="I53" s="58">
        <f>G53*AN53</f>
        <v>0</v>
      </c>
      <c r="J53" s="58">
        <f>G53*AO53</f>
        <v>0</v>
      </c>
      <c r="K53" s="58">
        <f>G53*H53</f>
        <v>0</v>
      </c>
      <c r="Y53" s="20">
        <f>IF(AP53="5",BI53,0)</f>
        <v>0</v>
      </c>
      <c r="AA53" s="20">
        <f>IF(AP53="1",BG53,0)</f>
        <v>0</v>
      </c>
      <c r="AB53" s="20">
        <f>IF(AP53="1",BH53,0)</f>
        <v>0</v>
      </c>
      <c r="AC53" s="20">
        <f>IF(AP53="7",BG53,0)</f>
        <v>0</v>
      </c>
      <c r="AD53" s="20">
        <f>IF(AP53="7",BH53,0)</f>
        <v>0</v>
      </c>
      <c r="AE53" s="20">
        <f>IF(AP53="2",BG53,0)</f>
        <v>0</v>
      </c>
      <c r="AF53" s="20">
        <f>IF(AP53="2",BH53,0)</f>
        <v>0</v>
      </c>
      <c r="AG53" s="20">
        <f>IF(AP53="0",BI53,0)</f>
        <v>0</v>
      </c>
      <c r="AH53" s="15" t="s">
        <v>134</v>
      </c>
      <c r="AI53" s="12">
        <f>IF(AM53=0,K53,0)</f>
        <v>0</v>
      </c>
      <c r="AJ53" s="12">
        <f>IF(AM53=15,K53,0)</f>
        <v>0</v>
      </c>
      <c r="AK53" s="12">
        <f>IF(AM53=21,K53,0)</f>
        <v>0</v>
      </c>
      <c r="AM53" s="20">
        <v>15</v>
      </c>
      <c r="AN53" s="20">
        <f>H53*0</f>
        <v>0</v>
      </c>
      <c r="AO53" s="20">
        <f>H53*(1-0)</f>
        <v>0</v>
      </c>
      <c r="AP53" s="16" t="s">
        <v>260</v>
      </c>
      <c r="AU53" s="20">
        <f>AV53+AW53</f>
        <v>0</v>
      </c>
      <c r="AV53" s="20">
        <f>G53*AN53</f>
        <v>0</v>
      </c>
      <c r="AW53" s="20">
        <f>G53*AO53</f>
        <v>0</v>
      </c>
      <c r="AX53" s="21" t="s">
        <v>142</v>
      </c>
      <c r="AY53" s="21" t="s">
        <v>172</v>
      </c>
      <c r="AZ53" s="15" t="s">
        <v>189</v>
      </c>
      <c r="BB53" s="20">
        <f>AV53+AW53</f>
        <v>0</v>
      </c>
      <c r="BC53" s="20">
        <f>H53/(100-BD53)*100</f>
        <v>0</v>
      </c>
      <c r="BD53" s="20">
        <v>0</v>
      </c>
      <c r="BE53" s="20">
        <f>53</f>
        <v>53</v>
      </c>
      <c r="BG53" s="12">
        <f>G53*AN53</f>
        <v>0</v>
      </c>
      <c r="BH53" s="12">
        <f>G53*AO53</f>
        <v>0</v>
      </c>
      <c r="BI53" s="12">
        <f>G53*H53</f>
        <v>0</v>
      </c>
    </row>
    <row r="54" spans="1:11" ht="12.75">
      <c r="A54" s="59"/>
      <c r="B54" s="59"/>
      <c r="C54" s="149" t="s">
        <v>727</v>
      </c>
      <c r="D54" s="150"/>
      <c r="E54" s="150"/>
      <c r="F54" s="59"/>
      <c r="G54" s="60">
        <v>34.69</v>
      </c>
      <c r="H54" s="59"/>
      <c r="I54" s="59"/>
      <c r="J54" s="59"/>
      <c r="K54" s="59"/>
    </row>
    <row r="55" spans="1:61" ht="12.75">
      <c r="A55" s="57" t="s">
        <v>271</v>
      </c>
      <c r="B55" s="57" t="s">
        <v>493</v>
      </c>
      <c r="C55" s="146" t="s">
        <v>728</v>
      </c>
      <c r="D55" s="145"/>
      <c r="E55" s="145"/>
      <c r="F55" s="57" t="s">
        <v>103</v>
      </c>
      <c r="G55" s="58">
        <v>34.69</v>
      </c>
      <c r="H55" s="58">
        <v>0</v>
      </c>
      <c r="I55" s="58">
        <f>G55*AN55</f>
        <v>0</v>
      </c>
      <c r="J55" s="58">
        <f>G55*AO55</f>
        <v>0</v>
      </c>
      <c r="K55" s="58">
        <f>G55*H55</f>
        <v>0</v>
      </c>
      <c r="Y55" s="20">
        <f>IF(AP55="5",BI55,0)</f>
        <v>0</v>
      </c>
      <c r="AA55" s="20">
        <f>IF(AP55="1",BG55,0)</f>
        <v>0</v>
      </c>
      <c r="AB55" s="20">
        <f>IF(AP55="1",BH55,0)</f>
        <v>0</v>
      </c>
      <c r="AC55" s="20">
        <f>IF(AP55="7",BG55,0)</f>
        <v>0</v>
      </c>
      <c r="AD55" s="20">
        <f>IF(AP55="7",BH55,0)</f>
        <v>0</v>
      </c>
      <c r="AE55" s="20">
        <f>IF(AP55="2",BG55,0)</f>
        <v>0</v>
      </c>
      <c r="AF55" s="20">
        <f>IF(AP55="2",BH55,0)</f>
        <v>0</v>
      </c>
      <c r="AG55" s="20">
        <f>IF(AP55="0",BI55,0)</f>
        <v>0</v>
      </c>
      <c r="AH55" s="15" t="s">
        <v>134</v>
      </c>
      <c r="AI55" s="12">
        <f>IF(AM55=0,K55,0)</f>
        <v>0</v>
      </c>
      <c r="AJ55" s="12">
        <f>IF(AM55=15,K55,0)</f>
        <v>0</v>
      </c>
      <c r="AK55" s="12">
        <f>IF(AM55=21,K55,0)</f>
        <v>0</v>
      </c>
      <c r="AM55" s="20">
        <v>15</v>
      </c>
      <c r="AN55" s="20">
        <f>H55*0</f>
        <v>0</v>
      </c>
      <c r="AO55" s="20">
        <f>H55*(1-0)</f>
        <v>0</v>
      </c>
      <c r="AP55" s="16" t="s">
        <v>260</v>
      </c>
      <c r="AU55" s="20">
        <f>AV55+AW55</f>
        <v>0</v>
      </c>
      <c r="AV55" s="20">
        <f>G55*AN55</f>
        <v>0</v>
      </c>
      <c r="AW55" s="20">
        <f>G55*AO55</f>
        <v>0</v>
      </c>
      <c r="AX55" s="21" t="s">
        <v>142</v>
      </c>
      <c r="AY55" s="21" t="s">
        <v>172</v>
      </c>
      <c r="AZ55" s="15" t="s">
        <v>189</v>
      </c>
      <c r="BB55" s="20">
        <f>AV55+AW55</f>
        <v>0</v>
      </c>
      <c r="BC55" s="20">
        <f>H55/(100-BD55)*100</f>
        <v>0</v>
      </c>
      <c r="BD55" s="20">
        <v>0</v>
      </c>
      <c r="BE55" s="20">
        <f>55</f>
        <v>55</v>
      </c>
      <c r="BG55" s="12">
        <f>G55*AN55</f>
        <v>0</v>
      </c>
      <c r="BH55" s="12">
        <f>G55*AO55</f>
        <v>0</v>
      </c>
      <c r="BI55" s="12">
        <f>G55*H55</f>
        <v>0</v>
      </c>
    </row>
    <row r="56" spans="1:11" ht="12.75">
      <c r="A56" s="59"/>
      <c r="B56" s="59"/>
      <c r="C56" s="149" t="s">
        <v>727</v>
      </c>
      <c r="D56" s="150"/>
      <c r="E56" s="150"/>
      <c r="F56" s="59"/>
      <c r="G56" s="60">
        <v>34.69</v>
      </c>
      <c r="H56" s="59"/>
      <c r="I56" s="59"/>
      <c r="J56" s="59"/>
      <c r="K56" s="59"/>
    </row>
    <row r="57" spans="1:61" ht="12.75">
      <c r="A57" s="57" t="s">
        <v>272</v>
      </c>
      <c r="B57" s="57" t="s">
        <v>494</v>
      </c>
      <c r="C57" s="146" t="s">
        <v>729</v>
      </c>
      <c r="D57" s="145"/>
      <c r="E57" s="145"/>
      <c r="F57" s="57" t="s">
        <v>103</v>
      </c>
      <c r="G57" s="58">
        <v>34.69</v>
      </c>
      <c r="H57" s="58">
        <v>0</v>
      </c>
      <c r="I57" s="58">
        <f>G57*AN57</f>
        <v>0</v>
      </c>
      <c r="J57" s="58">
        <f>G57*AO57</f>
        <v>0</v>
      </c>
      <c r="K57" s="58">
        <f>G57*H57</f>
        <v>0</v>
      </c>
      <c r="Y57" s="20">
        <f>IF(AP57="5",BI57,0)</f>
        <v>0</v>
      </c>
      <c r="AA57" s="20">
        <f>IF(AP57="1",BG57,0)</f>
        <v>0</v>
      </c>
      <c r="AB57" s="20">
        <f>IF(AP57="1",BH57,0)</f>
        <v>0</v>
      </c>
      <c r="AC57" s="20">
        <f>IF(AP57="7",BG57,0)</f>
        <v>0</v>
      </c>
      <c r="AD57" s="20">
        <f>IF(AP57="7",BH57,0)</f>
        <v>0</v>
      </c>
      <c r="AE57" s="20">
        <f>IF(AP57="2",BG57,0)</f>
        <v>0</v>
      </c>
      <c r="AF57" s="20">
        <f>IF(AP57="2",BH57,0)</f>
        <v>0</v>
      </c>
      <c r="AG57" s="20">
        <f>IF(AP57="0",BI57,0)</f>
        <v>0</v>
      </c>
      <c r="AH57" s="15" t="s">
        <v>134</v>
      </c>
      <c r="AI57" s="12">
        <f>IF(AM57=0,K57,0)</f>
        <v>0</v>
      </c>
      <c r="AJ57" s="12">
        <f>IF(AM57=15,K57,0)</f>
        <v>0</v>
      </c>
      <c r="AK57" s="12">
        <f>IF(AM57=21,K57,0)</f>
        <v>0</v>
      </c>
      <c r="AM57" s="20">
        <v>15</v>
      </c>
      <c r="AN57" s="20">
        <f>H57*0</f>
        <v>0</v>
      </c>
      <c r="AO57" s="20">
        <f>H57*(1-0)</f>
        <v>0</v>
      </c>
      <c r="AP57" s="16" t="s">
        <v>260</v>
      </c>
      <c r="AU57" s="20">
        <f>AV57+AW57</f>
        <v>0</v>
      </c>
      <c r="AV57" s="20">
        <f>G57*AN57</f>
        <v>0</v>
      </c>
      <c r="AW57" s="20">
        <f>G57*AO57</f>
        <v>0</v>
      </c>
      <c r="AX57" s="21" t="s">
        <v>142</v>
      </c>
      <c r="AY57" s="21" t="s">
        <v>172</v>
      </c>
      <c r="AZ57" s="15" t="s">
        <v>189</v>
      </c>
      <c r="BB57" s="20">
        <f>AV57+AW57</f>
        <v>0</v>
      </c>
      <c r="BC57" s="20">
        <f>H57/(100-BD57)*100</f>
        <v>0</v>
      </c>
      <c r="BD57" s="20">
        <v>0</v>
      </c>
      <c r="BE57" s="20">
        <f>57</f>
        <v>57</v>
      </c>
      <c r="BG57" s="12">
        <f>G57*AN57</f>
        <v>0</v>
      </c>
      <c r="BH57" s="12">
        <f>G57*AO57</f>
        <v>0</v>
      </c>
      <c r="BI57" s="12">
        <f>G57*H57</f>
        <v>0</v>
      </c>
    </row>
    <row r="58" spans="1:11" ht="12.75">
      <c r="A58" s="59"/>
      <c r="B58" s="59"/>
      <c r="C58" s="149" t="s">
        <v>727</v>
      </c>
      <c r="D58" s="150"/>
      <c r="E58" s="150"/>
      <c r="F58" s="59"/>
      <c r="G58" s="60">
        <v>34.69</v>
      </c>
      <c r="H58" s="59"/>
      <c r="I58" s="59"/>
      <c r="J58" s="59"/>
      <c r="K58" s="59"/>
    </row>
    <row r="59" spans="1:61" ht="12.75">
      <c r="A59" s="57" t="s">
        <v>273</v>
      </c>
      <c r="B59" s="57" t="s">
        <v>495</v>
      </c>
      <c r="C59" s="146" t="s">
        <v>730</v>
      </c>
      <c r="D59" s="145"/>
      <c r="E59" s="145"/>
      <c r="F59" s="57" t="s">
        <v>103</v>
      </c>
      <c r="G59" s="58">
        <v>34.69</v>
      </c>
      <c r="H59" s="58">
        <v>0</v>
      </c>
      <c r="I59" s="58">
        <f>G59*AN59</f>
        <v>0</v>
      </c>
      <c r="J59" s="58">
        <f>G59*AO59</f>
        <v>0</v>
      </c>
      <c r="K59" s="58">
        <f>G59*H59</f>
        <v>0</v>
      </c>
      <c r="Y59" s="20">
        <f>IF(AP59="5",BI59,0)</f>
        <v>0</v>
      </c>
      <c r="AA59" s="20">
        <f>IF(AP59="1",BG59,0)</f>
        <v>0</v>
      </c>
      <c r="AB59" s="20">
        <f>IF(AP59="1",BH59,0)</f>
        <v>0</v>
      </c>
      <c r="AC59" s="20">
        <f>IF(AP59="7",BG59,0)</f>
        <v>0</v>
      </c>
      <c r="AD59" s="20">
        <f>IF(AP59="7",BH59,0)</f>
        <v>0</v>
      </c>
      <c r="AE59" s="20">
        <f>IF(AP59="2",BG59,0)</f>
        <v>0</v>
      </c>
      <c r="AF59" s="20">
        <f>IF(AP59="2",BH59,0)</f>
        <v>0</v>
      </c>
      <c r="AG59" s="20">
        <f>IF(AP59="0",BI59,0)</f>
        <v>0</v>
      </c>
      <c r="AH59" s="15" t="s">
        <v>134</v>
      </c>
      <c r="AI59" s="12">
        <f>IF(AM59=0,K59,0)</f>
        <v>0</v>
      </c>
      <c r="AJ59" s="12">
        <f>IF(AM59=15,K59,0)</f>
        <v>0</v>
      </c>
      <c r="AK59" s="12">
        <f>IF(AM59=21,K59,0)</f>
        <v>0</v>
      </c>
      <c r="AM59" s="20">
        <v>15</v>
      </c>
      <c r="AN59" s="20">
        <f>H59*0</f>
        <v>0</v>
      </c>
      <c r="AO59" s="20">
        <f>H59*(1-0)</f>
        <v>0</v>
      </c>
      <c r="AP59" s="16" t="s">
        <v>260</v>
      </c>
      <c r="AU59" s="20">
        <f>AV59+AW59</f>
        <v>0</v>
      </c>
      <c r="AV59" s="20">
        <f>G59*AN59</f>
        <v>0</v>
      </c>
      <c r="AW59" s="20">
        <f>G59*AO59</f>
        <v>0</v>
      </c>
      <c r="AX59" s="21" t="s">
        <v>142</v>
      </c>
      <c r="AY59" s="21" t="s">
        <v>172</v>
      </c>
      <c r="AZ59" s="15" t="s">
        <v>189</v>
      </c>
      <c r="BB59" s="20">
        <f>AV59+AW59</f>
        <v>0</v>
      </c>
      <c r="BC59" s="20">
        <f>H59/(100-BD59)*100</f>
        <v>0</v>
      </c>
      <c r="BD59" s="20">
        <v>0</v>
      </c>
      <c r="BE59" s="20">
        <f>59</f>
        <v>59</v>
      </c>
      <c r="BG59" s="12">
        <f>G59*AN59</f>
        <v>0</v>
      </c>
      <c r="BH59" s="12">
        <f>G59*AO59</f>
        <v>0</v>
      </c>
      <c r="BI59" s="12">
        <f>G59*H59</f>
        <v>0</v>
      </c>
    </row>
    <row r="60" spans="1:11" ht="12.75">
      <c r="A60" s="59"/>
      <c r="B60" s="59"/>
      <c r="C60" s="149" t="s">
        <v>727</v>
      </c>
      <c r="D60" s="150"/>
      <c r="E60" s="150"/>
      <c r="F60" s="59"/>
      <c r="G60" s="60">
        <v>34.69</v>
      </c>
      <c r="H60" s="59"/>
      <c r="I60" s="59"/>
      <c r="J60" s="59"/>
      <c r="K60" s="59"/>
    </row>
    <row r="61" spans="1:61" ht="12.75">
      <c r="A61" s="57" t="s">
        <v>274</v>
      </c>
      <c r="B61" s="57" t="s">
        <v>496</v>
      </c>
      <c r="C61" s="146" t="s">
        <v>731</v>
      </c>
      <c r="D61" s="145"/>
      <c r="E61" s="145"/>
      <c r="F61" s="57" t="s">
        <v>103</v>
      </c>
      <c r="G61" s="58">
        <v>34.69</v>
      </c>
      <c r="H61" s="58">
        <v>0</v>
      </c>
      <c r="I61" s="58">
        <f>G61*AN61</f>
        <v>0</v>
      </c>
      <c r="J61" s="58">
        <f>G61*AO61</f>
        <v>0</v>
      </c>
      <c r="K61" s="58">
        <f>G61*H61</f>
        <v>0</v>
      </c>
      <c r="Y61" s="20">
        <f>IF(AP61="5",BI61,0)</f>
        <v>0</v>
      </c>
      <c r="AA61" s="20">
        <f>IF(AP61="1",BG61,0)</f>
        <v>0</v>
      </c>
      <c r="AB61" s="20">
        <f>IF(AP61="1",BH61,0)</f>
        <v>0</v>
      </c>
      <c r="AC61" s="20">
        <f>IF(AP61="7",BG61,0)</f>
        <v>0</v>
      </c>
      <c r="AD61" s="20">
        <f>IF(AP61="7",BH61,0)</f>
        <v>0</v>
      </c>
      <c r="AE61" s="20">
        <f>IF(AP61="2",BG61,0)</f>
        <v>0</v>
      </c>
      <c r="AF61" s="20">
        <f>IF(AP61="2",BH61,0)</f>
        <v>0</v>
      </c>
      <c r="AG61" s="20">
        <f>IF(AP61="0",BI61,0)</f>
        <v>0</v>
      </c>
      <c r="AH61" s="15" t="s">
        <v>134</v>
      </c>
      <c r="AI61" s="12">
        <f>IF(AM61=0,K61,0)</f>
        <v>0</v>
      </c>
      <c r="AJ61" s="12">
        <f>IF(AM61=15,K61,0)</f>
        <v>0</v>
      </c>
      <c r="AK61" s="12">
        <f>IF(AM61=21,K61,0)</f>
        <v>0</v>
      </c>
      <c r="AM61" s="20">
        <v>15</v>
      </c>
      <c r="AN61" s="20">
        <f>H61*0</f>
        <v>0</v>
      </c>
      <c r="AO61" s="20">
        <f>H61*(1-0)</f>
        <v>0</v>
      </c>
      <c r="AP61" s="16" t="s">
        <v>260</v>
      </c>
      <c r="AU61" s="20">
        <f>AV61+AW61</f>
        <v>0</v>
      </c>
      <c r="AV61" s="20">
        <f>G61*AN61</f>
        <v>0</v>
      </c>
      <c r="AW61" s="20">
        <f>G61*AO61</f>
        <v>0</v>
      </c>
      <c r="AX61" s="21" t="s">
        <v>142</v>
      </c>
      <c r="AY61" s="21" t="s">
        <v>172</v>
      </c>
      <c r="AZ61" s="15" t="s">
        <v>189</v>
      </c>
      <c r="BB61" s="20">
        <f>AV61+AW61</f>
        <v>0</v>
      </c>
      <c r="BC61" s="20">
        <f>H61/(100-BD61)*100</f>
        <v>0</v>
      </c>
      <c r="BD61" s="20">
        <v>0</v>
      </c>
      <c r="BE61" s="20">
        <f>61</f>
        <v>61</v>
      </c>
      <c r="BG61" s="12">
        <f>G61*AN61</f>
        <v>0</v>
      </c>
      <c r="BH61" s="12">
        <f>G61*AO61</f>
        <v>0</v>
      </c>
      <c r="BI61" s="12">
        <f>G61*H61</f>
        <v>0</v>
      </c>
    </row>
    <row r="62" spans="1:11" ht="12.75">
      <c r="A62" s="59"/>
      <c r="B62" s="59"/>
      <c r="C62" s="149" t="s">
        <v>727</v>
      </c>
      <c r="D62" s="150"/>
      <c r="E62" s="150"/>
      <c r="F62" s="59"/>
      <c r="G62" s="60">
        <v>34.69</v>
      </c>
      <c r="H62" s="59"/>
      <c r="I62" s="59"/>
      <c r="J62" s="59"/>
      <c r="K62" s="59"/>
    </row>
    <row r="63" spans="1:61" ht="12.75">
      <c r="A63" s="57" t="s">
        <v>275</v>
      </c>
      <c r="B63" s="57" t="s">
        <v>497</v>
      </c>
      <c r="C63" s="146" t="s">
        <v>732</v>
      </c>
      <c r="D63" s="145"/>
      <c r="E63" s="145"/>
      <c r="F63" s="57" t="s">
        <v>103</v>
      </c>
      <c r="G63" s="58">
        <v>34.69</v>
      </c>
      <c r="H63" s="58">
        <v>0</v>
      </c>
      <c r="I63" s="58">
        <f>G63*AN63</f>
        <v>0</v>
      </c>
      <c r="J63" s="58">
        <f>G63*AO63</f>
        <v>0</v>
      </c>
      <c r="K63" s="58">
        <f>G63*H63</f>
        <v>0</v>
      </c>
      <c r="Y63" s="20">
        <f>IF(AP63="5",BI63,0)</f>
        <v>0</v>
      </c>
      <c r="AA63" s="20">
        <f>IF(AP63="1",BG63,0)</f>
        <v>0</v>
      </c>
      <c r="AB63" s="20">
        <f>IF(AP63="1",BH63,0)</f>
        <v>0</v>
      </c>
      <c r="AC63" s="20">
        <f>IF(AP63="7",BG63,0)</f>
        <v>0</v>
      </c>
      <c r="AD63" s="20">
        <f>IF(AP63="7",BH63,0)</f>
        <v>0</v>
      </c>
      <c r="AE63" s="20">
        <f>IF(AP63="2",BG63,0)</f>
        <v>0</v>
      </c>
      <c r="AF63" s="20">
        <f>IF(AP63="2",BH63,0)</f>
        <v>0</v>
      </c>
      <c r="AG63" s="20">
        <f>IF(AP63="0",BI63,0)</f>
        <v>0</v>
      </c>
      <c r="AH63" s="15" t="s">
        <v>134</v>
      </c>
      <c r="AI63" s="12">
        <f>IF(AM63=0,K63,0)</f>
        <v>0</v>
      </c>
      <c r="AJ63" s="12">
        <f>IF(AM63=15,K63,0)</f>
        <v>0</v>
      </c>
      <c r="AK63" s="12">
        <f>IF(AM63=21,K63,0)</f>
        <v>0</v>
      </c>
      <c r="AM63" s="20">
        <v>15</v>
      </c>
      <c r="AN63" s="20">
        <f>H63*0</f>
        <v>0</v>
      </c>
      <c r="AO63" s="20">
        <f>H63*(1-0)</f>
        <v>0</v>
      </c>
      <c r="AP63" s="16" t="s">
        <v>260</v>
      </c>
      <c r="AU63" s="20">
        <f>AV63+AW63</f>
        <v>0</v>
      </c>
      <c r="AV63" s="20">
        <f>G63*AN63</f>
        <v>0</v>
      </c>
      <c r="AW63" s="20">
        <f>G63*AO63</f>
        <v>0</v>
      </c>
      <c r="AX63" s="21" t="s">
        <v>142</v>
      </c>
      <c r="AY63" s="21" t="s">
        <v>172</v>
      </c>
      <c r="AZ63" s="15" t="s">
        <v>189</v>
      </c>
      <c r="BB63" s="20">
        <f>AV63+AW63</f>
        <v>0</v>
      </c>
      <c r="BC63" s="20">
        <f>H63/(100-BD63)*100</f>
        <v>0</v>
      </c>
      <c r="BD63" s="20">
        <v>0</v>
      </c>
      <c r="BE63" s="20">
        <f>63</f>
        <v>63</v>
      </c>
      <c r="BG63" s="12">
        <f>G63*AN63</f>
        <v>0</v>
      </c>
      <c r="BH63" s="12">
        <f>G63*AO63</f>
        <v>0</v>
      </c>
      <c r="BI63" s="12">
        <f>G63*H63</f>
        <v>0</v>
      </c>
    </row>
    <row r="64" spans="1:11" ht="12.75">
      <c r="A64" s="59"/>
      <c r="B64" s="59"/>
      <c r="C64" s="149" t="s">
        <v>727</v>
      </c>
      <c r="D64" s="150"/>
      <c r="E64" s="150"/>
      <c r="F64" s="59"/>
      <c r="G64" s="60">
        <v>34.69</v>
      </c>
      <c r="H64" s="59"/>
      <c r="I64" s="59"/>
      <c r="J64" s="59"/>
      <c r="K64" s="59"/>
    </row>
    <row r="65" spans="1:11" ht="12.75">
      <c r="A65" s="64"/>
      <c r="B65" s="65"/>
      <c r="C65" s="152" t="s">
        <v>733</v>
      </c>
      <c r="D65" s="153"/>
      <c r="E65" s="154"/>
      <c r="F65" s="64" t="s">
        <v>255</v>
      </c>
      <c r="G65" s="64" t="s">
        <v>255</v>
      </c>
      <c r="H65" s="64" t="s">
        <v>255</v>
      </c>
      <c r="I65" s="66">
        <f>I66+I69+I74+I80+I106+I127+I132+I149+I154+I161+I168+I191+I199+I218+I224+I252+I286+I333+I396+I412+I421+I429+I447+I464</f>
        <v>0</v>
      </c>
      <c r="J65" s="66">
        <f>J66+J69+J74+J80+J106+J127+J132+J149+J154+J161+J168+J191+J199+J218+J224+J252+J286+J333+J396+J412+J421+J429+J447+J464</f>
        <v>0</v>
      </c>
      <c r="K65" s="66">
        <f>K66+K69+K74+K80+K106+K127+K132+K149+K154+K161+K168+K191+K199+K218+K224+K252+K286+K333+K396+K412+K421+K429+K447+K464</f>
        <v>0</v>
      </c>
    </row>
    <row r="66" spans="1:46" ht="12.75">
      <c r="A66" s="2"/>
      <c r="B66" s="8" t="s">
        <v>477</v>
      </c>
      <c r="C66" s="142" t="s">
        <v>691</v>
      </c>
      <c r="D66" s="143"/>
      <c r="E66" s="143"/>
      <c r="F66" s="2" t="s">
        <v>255</v>
      </c>
      <c r="G66" s="2" t="s">
        <v>255</v>
      </c>
      <c r="H66" s="2" t="s">
        <v>255</v>
      </c>
      <c r="I66" s="22">
        <f>SUM(I67:I67)</f>
        <v>0</v>
      </c>
      <c r="J66" s="22">
        <f>SUM(J67:J67)</f>
        <v>0</v>
      </c>
      <c r="K66" s="22">
        <f>SUM(K67:K67)</f>
        <v>0</v>
      </c>
      <c r="AH66" s="15" t="s">
        <v>135</v>
      </c>
      <c r="AR66" s="22">
        <f>SUM(AI67:AI67)</f>
        <v>0</v>
      </c>
      <c r="AS66" s="22">
        <f>SUM(AJ67:AJ67)</f>
        <v>0</v>
      </c>
      <c r="AT66" s="22">
        <f>SUM(AK67:AK67)</f>
        <v>0</v>
      </c>
    </row>
    <row r="67" spans="1:61" ht="12.75">
      <c r="A67" s="3" t="s">
        <v>276</v>
      </c>
      <c r="B67" s="3" t="s">
        <v>478</v>
      </c>
      <c r="C67" s="144" t="s">
        <v>734</v>
      </c>
      <c r="D67" s="145"/>
      <c r="E67" s="145"/>
      <c r="F67" s="3"/>
      <c r="G67" s="12">
        <v>0</v>
      </c>
      <c r="H67" s="12">
        <v>0</v>
      </c>
      <c r="I67" s="12">
        <f>G67*AN67</f>
        <v>0</v>
      </c>
      <c r="J67" s="12">
        <f>G67*AO67</f>
        <v>0</v>
      </c>
      <c r="K67" s="12">
        <f>G67*H67</f>
        <v>0</v>
      </c>
      <c r="Y67" s="20">
        <f>IF(AP67="5",BI67,0)</f>
        <v>0</v>
      </c>
      <c r="AA67" s="20">
        <f>IF(AP67="1",BG67,0)</f>
        <v>0</v>
      </c>
      <c r="AB67" s="20">
        <f>IF(AP67="1",BH67,0)</f>
        <v>0</v>
      </c>
      <c r="AC67" s="20">
        <f>IF(AP67="7",BG67,0)</f>
        <v>0</v>
      </c>
      <c r="AD67" s="20">
        <f>IF(AP67="7",BH67,0)</f>
        <v>0</v>
      </c>
      <c r="AE67" s="20">
        <f>IF(AP67="2",BG67,0)</f>
        <v>0</v>
      </c>
      <c r="AF67" s="20">
        <f>IF(AP67="2",BH67,0)</f>
        <v>0</v>
      </c>
      <c r="AG67" s="20">
        <f>IF(AP67="0",BI67,0)</f>
        <v>0</v>
      </c>
      <c r="AH67" s="15" t="s">
        <v>135</v>
      </c>
      <c r="AI67" s="12">
        <f>IF(AM67=0,K67,0)</f>
        <v>0</v>
      </c>
      <c r="AJ67" s="12">
        <f>IF(AM67=15,K67,0)</f>
        <v>0</v>
      </c>
      <c r="AK67" s="12">
        <f>IF(AM67=21,K67,0)</f>
        <v>0</v>
      </c>
      <c r="AM67" s="20">
        <v>15</v>
      </c>
      <c r="AN67" s="20">
        <f>H67*0</f>
        <v>0</v>
      </c>
      <c r="AO67" s="20">
        <f>H67*(1-0)</f>
        <v>0</v>
      </c>
      <c r="AP67" s="16" t="s">
        <v>256</v>
      </c>
      <c r="AU67" s="20">
        <f>AV67+AW67</f>
        <v>0</v>
      </c>
      <c r="AV67" s="20">
        <f>G67*AN67</f>
        <v>0</v>
      </c>
      <c r="AW67" s="20">
        <f>G67*AO67</f>
        <v>0</v>
      </c>
      <c r="AX67" s="21" t="s">
        <v>139</v>
      </c>
      <c r="AY67" s="21" t="s">
        <v>173</v>
      </c>
      <c r="AZ67" s="15" t="s">
        <v>190</v>
      </c>
      <c r="BB67" s="20">
        <f>AV67+AW67</f>
        <v>0</v>
      </c>
      <c r="BC67" s="20">
        <f>H67/(100-BD67)*100</f>
        <v>0</v>
      </c>
      <c r="BD67" s="20">
        <v>0</v>
      </c>
      <c r="BE67" s="20">
        <f>67</f>
        <v>67</v>
      </c>
      <c r="BG67" s="12">
        <f>G67*AN67</f>
        <v>0</v>
      </c>
      <c r="BH67" s="12">
        <f>G67*AO67</f>
        <v>0</v>
      </c>
      <c r="BI67" s="12">
        <f>G67*H67</f>
        <v>0</v>
      </c>
    </row>
    <row r="68" spans="3:5" ht="22.5" customHeight="1">
      <c r="C68" s="147" t="s">
        <v>735</v>
      </c>
      <c r="D68" s="148"/>
      <c r="E68" s="148"/>
    </row>
    <row r="69" spans="1:46" ht="12.75">
      <c r="A69" s="2"/>
      <c r="B69" s="8" t="s">
        <v>283</v>
      </c>
      <c r="C69" s="142" t="s">
        <v>736</v>
      </c>
      <c r="D69" s="143"/>
      <c r="E69" s="143"/>
      <c r="F69" s="2" t="s">
        <v>255</v>
      </c>
      <c r="G69" s="2" t="s">
        <v>255</v>
      </c>
      <c r="H69" s="2" t="s">
        <v>255</v>
      </c>
      <c r="I69" s="22">
        <f>SUM(I70:I70)</f>
        <v>0</v>
      </c>
      <c r="J69" s="22">
        <f>SUM(J70:J70)</f>
        <v>0</v>
      </c>
      <c r="K69" s="22">
        <f>SUM(K70:K70)</f>
        <v>0</v>
      </c>
      <c r="AH69" s="15" t="s">
        <v>135</v>
      </c>
      <c r="AR69" s="22">
        <f>SUM(AI70:AI70)</f>
        <v>0</v>
      </c>
      <c r="AS69" s="22">
        <f>SUM(AJ70:AJ70)</f>
        <v>0</v>
      </c>
      <c r="AT69" s="22">
        <f>SUM(AK70:AK70)</f>
        <v>0</v>
      </c>
    </row>
    <row r="70" spans="1:61" ht="12.75">
      <c r="A70" s="57" t="s">
        <v>277</v>
      </c>
      <c r="B70" s="57" t="s">
        <v>498</v>
      </c>
      <c r="C70" s="146" t="s">
        <v>737</v>
      </c>
      <c r="D70" s="145"/>
      <c r="E70" s="145"/>
      <c r="F70" s="57" t="s">
        <v>100</v>
      </c>
      <c r="G70" s="58">
        <v>74.3658</v>
      </c>
      <c r="H70" s="58">
        <v>0</v>
      </c>
      <c r="I70" s="58">
        <f>G70*AN70</f>
        <v>0</v>
      </c>
      <c r="J70" s="58">
        <f>G70*AO70</f>
        <v>0</v>
      </c>
      <c r="K70" s="58">
        <f>G70*H70</f>
        <v>0</v>
      </c>
      <c r="Y70" s="20">
        <f>IF(AP70="5",BI70,0)</f>
        <v>0</v>
      </c>
      <c r="AA70" s="20">
        <f>IF(AP70="1",BG70,0)</f>
        <v>0</v>
      </c>
      <c r="AB70" s="20">
        <f>IF(AP70="1",BH70,0)</f>
        <v>0</v>
      </c>
      <c r="AC70" s="20">
        <f>IF(AP70="7",BG70,0)</f>
        <v>0</v>
      </c>
      <c r="AD70" s="20">
        <f>IF(AP70="7",BH70,0)</f>
        <v>0</v>
      </c>
      <c r="AE70" s="20">
        <f>IF(AP70="2",BG70,0)</f>
        <v>0</v>
      </c>
      <c r="AF70" s="20">
        <f>IF(AP70="2",BH70,0)</f>
        <v>0</v>
      </c>
      <c r="AG70" s="20">
        <f>IF(AP70="0",BI70,0)</f>
        <v>0</v>
      </c>
      <c r="AH70" s="15" t="s">
        <v>135</v>
      </c>
      <c r="AI70" s="12">
        <f>IF(AM70=0,K70,0)</f>
        <v>0</v>
      </c>
      <c r="AJ70" s="12">
        <f>IF(AM70=15,K70,0)</f>
        <v>0</v>
      </c>
      <c r="AK70" s="12">
        <f>IF(AM70=21,K70,0)</f>
        <v>0</v>
      </c>
      <c r="AM70" s="20">
        <v>15</v>
      </c>
      <c r="AN70" s="20">
        <f>H70*0.323639949592489</f>
        <v>0</v>
      </c>
      <c r="AO70" s="20">
        <f>H70*(1-0.323639949592489)</f>
        <v>0</v>
      </c>
      <c r="AP70" s="16" t="s">
        <v>256</v>
      </c>
      <c r="AU70" s="20">
        <f>AV70+AW70</f>
        <v>0</v>
      </c>
      <c r="AV70" s="20">
        <f>G70*AN70</f>
        <v>0</v>
      </c>
      <c r="AW70" s="20">
        <f>G70*AO70</f>
        <v>0</v>
      </c>
      <c r="AX70" s="21" t="s">
        <v>143</v>
      </c>
      <c r="AY70" s="21" t="s">
        <v>174</v>
      </c>
      <c r="AZ70" s="15" t="s">
        <v>190</v>
      </c>
      <c r="BB70" s="20">
        <f>AV70+AW70</f>
        <v>0</v>
      </c>
      <c r="BC70" s="20">
        <f>H70/(100-BD70)*100</f>
        <v>0</v>
      </c>
      <c r="BD70" s="20">
        <v>0</v>
      </c>
      <c r="BE70" s="20">
        <f>70</f>
        <v>70</v>
      </c>
      <c r="BG70" s="12">
        <f>G70*AN70</f>
        <v>0</v>
      </c>
      <c r="BH70" s="12">
        <f>G70*AO70</f>
        <v>0</v>
      </c>
      <c r="BI70" s="12">
        <f>G70*H70</f>
        <v>0</v>
      </c>
    </row>
    <row r="71" spans="1:11" ht="12.75">
      <c r="A71" s="59"/>
      <c r="B71" s="59"/>
      <c r="C71" s="149" t="s">
        <v>738</v>
      </c>
      <c r="D71" s="150"/>
      <c r="E71" s="150"/>
      <c r="F71" s="59"/>
      <c r="G71" s="60">
        <v>8.6</v>
      </c>
      <c r="H71" s="59"/>
      <c r="I71" s="59"/>
      <c r="J71" s="59"/>
      <c r="K71" s="59"/>
    </row>
    <row r="72" spans="1:11" ht="12.75">
      <c r="A72" s="59"/>
      <c r="B72" s="59"/>
      <c r="C72" s="149" t="s">
        <v>739</v>
      </c>
      <c r="D72" s="150"/>
      <c r="E72" s="150"/>
      <c r="F72" s="59"/>
      <c r="G72" s="60">
        <v>4.318</v>
      </c>
      <c r="H72" s="59"/>
      <c r="I72" s="59"/>
      <c r="J72" s="59"/>
      <c r="K72" s="59"/>
    </row>
    <row r="73" spans="1:11" ht="12.75">
      <c r="A73" s="59"/>
      <c r="B73" s="59"/>
      <c r="C73" s="149" t="s">
        <v>740</v>
      </c>
      <c r="D73" s="150"/>
      <c r="E73" s="150"/>
      <c r="F73" s="59"/>
      <c r="G73" s="60">
        <v>61.4478</v>
      </c>
      <c r="H73" s="59"/>
      <c r="I73" s="59"/>
      <c r="J73" s="59"/>
      <c r="K73" s="59"/>
    </row>
    <row r="74" spans="1:46" ht="12.75">
      <c r="A74" s="2"/>
      <c r="B74" s="8" t="s">
        <v>286</v>
      </c>
      <c r="C74" s="142" t="s">
        <v>741</v>
      </c>
      <c r="D74" s="143"/>
      <c r="E74" s="143"/>
      <c r="F74" s="2" t="s">
        <v>255</v>
      </c>
      <c r="G74" s="2" t="s">
        <v>255</v>
      </c>
      <c r="H74" s="2" t="s">
        <v>255</v>
      </c>
      <c r="I74" s="22">
        <f>SUM(I75:I78)</f>
        <v>0</v>
      </c>
      <c r="J74" s="22">
        <f>SUM(J75:J78)</f>
        <v>0</v>
      </c>
      <c r="K74" s="22">
        <f>SUM(K75:K78)</f>
        <v>0</v>
      </c>
      <c r="AH74" s="15" t="s">
        <v>135</v>
      </c>
      <c r="AR74" s="22">
        <f>SUM(AI75:AI78)</f>
        <v>0</v>
      </c>
      <c r="AS74" s="22">
        <f>SUM(AJ75:AJ78)</f>
        <v>0</v>
      </c>
      <c r="AT74" s="22">
        <f>SUM(AK75:AK78)</f>
        <v>0</v>
      </c>
    </row>
    <row r="75" spans="1:61" ht="12.75">
      <c r="A75" s="57" t="s">
        <v>278</v>
      </c>
      <c r="B75" s="57" t="s">
        <v>499</v>
      </c>
      <c r="C75" s="146" t="s">
        <v>742</v>
      </c>
      <c r="D75" s="145"/>
      <c r="E75" s="145"/>
      <c r="F75" s="57" t="s">
        <v>100</v>
      </c>
      <c r="G75" s="58">
        <v>2.4745</v>
      </c>
      <c r="H75" s="58">
        <v>0</v>
      </c>
      <c r="I75" s="58">
        <f>G75*AN75</f>
        <v>0</v>
      </c>
      <c r="J75" s="58">
        <f>G75*AO75</f>
        <v>0</v>
      </c>
      <c r="K75" s="58">
        <f>G75*H75</f>
        <v>0</v>
      </c>
      <c r="Y75" s="20">
        <f>IF(AP75="5",BI75,0)</f>
        <v>0</v>
      </c>
      <c r="AA75" s="20">
        <f>IF(AP75="1",BG75,0)</f>
        <v>0</v>
      </c>
      <c r="AB75" s="20">
        <f>IF(AP75="1",BH75,0)</f>
        <v>0</v>
      </c>
      <c r="AC75" s="20">
        <f>IF(AP75="7",BG75,0)</f>
        <v>0</v>
      </c>
      <c r="AD75" s="20">
        <f>IF(AP75="7",BH75,0)</f>
        <v>0</v>
      </c>
      <c r="AE75" s="20">
        <f>IF(AP75="2",BG75,0)</f>
        <v>0</v>
      </c>
      <c r="AF75" s="20">
        <f>IF(AP75="2",BH75,0)</f>
        <v>0</v>
      </c>
      <c r="AG75" s="20">
        <f>IF(AP75="0",BI75,0)</f>
        <v>0</v>
      </c>
      <c r="AH75" s="15" t="s">
        <v>135</v>
      </c>
      <c r="AI75" s="12">
        <f>IF(AM75=0,K75,0)</f>
        <v>0</v>
      </c>
      <c r="AJ75" s="12">
        <f>IF(AM75=15,K75,0)</f>
        <v>0</v>
      </c>
      <c r="AK75" s="12">
        <f>IF(AM75=21,K75,0)</f>
        <v>0</v>
      </c>
      <c r="AM75" s="20">
        <v>15</v>
      </c>
      <c r="AN75" s="20">
        <f>H75*0.764014715041385</f>
        <v>0</v>
      </c>
      <c r="AO75" s="20">
        <f>H75*(1-0.764014715041385)</f>
        <v>0</v>
      </c>
      <c r="AP75" s="16" t="s">
        <v>256</v>
      </c>
      <c r="AU75" s="20">
        <f>AV75+AW75</f>
        <v>0</v>
      </c>
      <c r="AV75" s="20">
        <f>G75*AN75</f>
        <v>0</v>
      </c>
      <c r="AW75" s="20">
        <f>G75*AO75</f>
        <v>0</v>
      </c>
      <c r="AX75" s="21" t="s">
        <v>144</v>
      </c>
      <c r="AY75" s="21" t="s">
        <v>175</v>
      </c>
      <c r="AZ75" s="15" t="s">
        <v>190</v>
      </c>
      <c r="BB75" s="20">
        <f>AV75+AW75</f>
        <v>0</v>
      </c>
      <c r="BC75" s="20">
        <f>H75/(100-BD75)*100</f>
        <v>0</v>
      </c>
      <c r="BD75" s="20">
        <v>0</v>
      </c>
      <c r="BE75" s="20">
        <f>75</f>
        <v>75</v>
      </c>
      <c r="BG75" s="12">
        <f>G75*AN75</f>
        <v>0</v>
      </c>
      <c r="BH75" s="12">
        <f>G75*AO75</f>
        <v>0</v>
      </c>
      <c r="BI75" s="12">
        <f>G75*H75</f>
        <v>0</v>
      </c>
    </row>
    <row r="76" spans="3:5" ht="12.75">
      <c r="C76" s="147" t="s">
        <v>743</v>
      </c>
      <c r="D76" s="148"/>
      <c r="E76" s="148"/>
    </row>
    <row r="77" spans="1:11" ht="12.75">
      <c r="A77" s="59"/>
      <c r="B77" s="59"/>
      <c r="C77" s="149" t="s">
        <v>744</v>
      </c>
      <c r="D77" s="150"/>
      <c r="E77" s="150"/>
      <c r="F77" s="59"/>
      <c r="G77" s="60">
        <v>2.4745</v>
      </c>
      <c r="H77" s="59"/>
      <c r="I77" s="59"/>
      <c r="J77" s="59"/>
      <c r="K77" s="59"/>
    </row>
    <row r="78" spans="1:61" ht="12.75">
      <c r="A78" s="57" t="s">
        <v>279</v>
      </c>
      <c r="B78" s="57" t="s">
        <v>500</v>
      </c>
      <c r="C78" s="146" t="s">
        <v>745</v>
      </c>
      <c r="D78" s="145"/>
      <c r="E78" s="145"/>
      <c r="F78" s="57" t="s">
        <v>100</v>
      </c>
      <c r="G78" s="58">
        <v>4.266</v>
      </c>
      <c r="H78" s="58">
        <v>0</v>
      </c>
      <c r="I78" s="58">
        <f>G78*AN78</f>
        <v>0</v>
      </c>
      <c r="J78" s="58">
        <f>G78*AO78</f>
        <v>0</v>
      </c>
      <c r="K78" s="58">
        <f>G78*H78</f>
        <v>0</v>
      </c>
      <c r="Y78" s="20">
        <f>IF(AP78="5",BI78,0)</f>
        <v>0</v>
      </c>
      <c r="AA78" s="20">
        <f>IF(AP78="1",BG78,0)</f>
        <v>0</v>
      </c>
      <c r="AB78" s="20">
        <f>IF(AP78="1",BH78,0)</f>
        <v>0</v>
      </c>
      <c r="AC78" s="20">
        <f>IF(AP78="7",BG78,0)</f>
        <v>0</v>
      </c>
      <c r="AD78" s="20">
        <f>IF(AP78="7",BH78,0)</f>
        <v>0</v>
      </c>
      <c r="AE78" s="20">
        <f>IF(AP78="2",BG78,0)</f>
        <v>0</v>
      </c>
      <c r="AF78" s="20">
        <f>IF(AP78="2",BH78,0)</f>
        <v>0</v>
      </c>
      <c r="AG78" s="20">
        <f>IF(AP78="0",BI78,0)</f>
        <v>0</v>
      </c>
      <c r="AH78" s="15" t="s">
        <v>135</v>
      </c>
      <c r="AI78" s="12">
        <f>IF(AM78=0,K78,0)</f>
        <v>0</v>
      </c>
      <c r="AJ78" s="12">
        <f>IF(AM78=15,K78,0)</f>
        <v>0</v>
      </c>
      <c r="AK78" s="12">
        <f>IF(AM78=21,K78,0)</f>
        <v>0</v>
      </c>
      <c r="AM78" s="20">
        <v>15</v>
      </c>
      <c r="AN78" s="20">
        <f>H78*0.757824415623657</f>
        <v>0</v>
      </c>
      <c r="AO78" s="20">
        <f>H78*(1-0.757824415623657)</f>
        <v>0</v>
      </c>
      <c r="AP78" s="16" t="s">
        <v>256</v>
      </c>
      <c r="AU78" s="20">
        <f>AV78+AW78</f>
        <v>0</v>
      </c>
      <c r="AV78" s="20">
        <f>G78*AN78</f>
        <v>0</v>
      </c>
      <c r="AW78" s="20">
        <f>G78*AO78</f>
        <v>0</v>
      </c>
      <c r="AX78" s="21" t="s">
        <v>144</v>
      </c>
      <c r="AY78" s="21" t="s">
        <v>175</v>
      </c>
      <c r="AZ78" s="15" t="s">
        <v>190</v>
      </c>
      <c r="BB78" s="20">
        <f>AV78+AW78</f>
        <v>0</v>
      </c>
      <c r="BC78" s="20">
        <f>H78/(100-BD78)*100</f>
        <v>0</v>
      </c>
      <c r="BD78" s="20">
        <v>0</v>
      </c>
      <c r="BE78" s="20">
        <f>78</f>
        <v>78</v>
      </c>
      <c r="BG78" s="12">
        <f>G78*AN78</f>
        <v>0</v>
      </c>
      <c r="BH78" s="12">
        <f>G78*AO78</f>
        <v>0</v>
      </c>
      <c r="BI78" s="12">
        <f>G78*H78</f>
        <v>0</v>
      </c>
    </row>
    <row r="79" spans="1:11" ht="12.75">
      <c r="A79" s="59"/>
      <c r="B79" s="59"/>
      <c r="C79" s="149" t="s">
        <v>746</v>
      </c>
      <c r="D79" s="150"/>
      <c r="E79" s="150"/>
      <c r="F79" s="59"/>
      <c r="G79" s="60">
        <v>4.266</v>
      </c>
      <c r="H79" s="59"/>
      <c r="I79" s="59"/>
      <c r="J79" s="59"/>
      <c r="K79" s="59"/>
    </row>
    <row r="80" spans="1:46" ht="12.75">
      <c r="A80" s="2"/>
      <c r="B80" s="8" t="s">
        <v>289</v>
      </c>
      <c r="C80" s="142" t="s">
        <v>747</v>
      </c>
      <c r="D80" s="143"/>
      <c r="E80" s="143"/>
      <c r="F80" s="2" t="s">
        <v>255</v>
      </c>
      <c r="G80" s="2" t="s">
        <v>255</v>
      </c>
      <c r="H80" s="2" t="s">
        <v>255</v>
      </c>
      <c r="I80" s="22">
        <f>SUM(I81:I103)</f>
        <v>0</v>
      </c>
      <c r="J80" s="22">
        <f>SUM(J81:J103)</f>
        <v>0</v>
      </c>
      <c r="K80" s="22">
        <f>SUM(K81:K103)</f>
        <v>0</v>
      </c>
      <c r="AH80" s="15" t="s">
        <v>135</v>
      </c>
      <c r="AR80" s="22">
        <f>SUM(AI81:AI103)</f>
        <v>0</v>
      </c>
      <c r="AS80" s="22">
        <f>SUM(AJ81:AJ103)</f>
        <v>0</v>
      </c>
      <c r="AT80" s="22">
        <f>SUM(AK81:AK103)</f>
        <v>0</v>
      </c>
    </row>
    <row r="81" spans="1:61" ht="12.75">
      <c r="A81" s="57" t="s">
        <v>280</v>
      </c>
      <c r="B81" s="57" t="s">
        <v>501</v>
      </c>
      <c r="C81" s="146" t="s">
        <v>748</v>
      </c>
      <c r="D81" s="145"/>
      <c r="E81" s="145"/>
      <c r="F81" s="57" t="s">
        <v>100</v>
      </c>
      <c r="G81" s="58">
        <v>48.96</v>
      </c>
      <c r="H81" s="58">
        <v>0</v>
      </c>
      <c r="I81" s="58">
        <f>G81*AN81</f>
        <v>0</v>
      </c>
      <c r="J81" s="58">
        <f>G81*AO81</f>
        <v>0</v>
      </c>
      <c r="K81" s="58">
        <f>G81*H81</f>
        <v>0</v>
      </c>
      <c r="Y81" s="20">
        <f>IF(AP81="5",BI81,0)</f>
        <v>0</v>
      </c>
      <c r="AA81" s="20">
        <f>IF(AP81="1",BG81,0)</f>
        <v>0</v>
      </c>
      <c r="AB81" s="20">
        <f>IF(AP81="1",BH81,0)</f>
        <v>0</v>
      </c>
      <c r="AC81" s="20">
        <f>IF(AP81="7",BG81,0)</f>
        <v>0</v>
      </c>
      <c r="AD81" s="20">
        <f>IF(AP81="7",BH81,0)</f>
        <v>0</v>
      </c>
      <c r="AE81" s="20">
        <f>IF(AP81="2",BG81,0)</f>
        <v>0</v>
      </c>
      <c r="AF81" s="20">
        <f>IF(AP81="2",BH81,0)</f>
        <v>0</v>
      </c>
      <c r="AG81" s="20">
        <f>IF(AP81="0",BI81,0)</f>
        <v>0</v>
      </c>
      <c r="AH81" s="15" t="s">
        <v>135</v>
      </c>
      <c r="AI81" s="12">
        <f>IF(AM81=0,K81,0)</f>
        <v>0</v>
      </c>
      <c r="AJ81" s="12">
        <f>IF(AM81=15,K81,0)</f>
        <v>0</v>
      </c>
      <c r="AK81" s="12">
        <f>IF(AM81=21,K81,0)</f>
        <v>0</v>
      </c>
      <c r="AM81" s="20">
        <v>15</v>
      </c>
      <c r="AN81" s="20">
        <f>H81*0.357934508816121</f>
        <v>0</v>
      </c>
      <c r="AO81" s="20">
        <f>H81*(1-0.357934508816121)</f>
        <v>0</v>
      </c>
      <c r="AP81" s="16" t="s">
        <v>256</v>
      </c>
      <c r="AU81" s="20">
        <f>AV81+AW81</f>
        <v>0</v>
      </c>
      <c r="AV81" s="20">
        <f>G81*AN81</f>
        <v>0</v>
      </c>
      <c r="AW81" s="20">
        <f>G81*AO81</f>
        <v>0</v>
      </c>
      <c r="AX81" s="21" t="s">
        <v>145</v>
      </c>
      <c r="AY81" s="21" t="s">
        <v>175</v>
      </c>
      <c r="AZ81" s="15" t="s">
        <v>190</v>
      </c>
      <c r="BB81" s="20">
        <f>AV81+AW81</f>
        <v>0</v>
      </c>
      <c r="BC81" s="20">
        <f>H81/(100-BD81)*100</f>
        <v>0</v>
      </c>
      <c r="BD81" s="20">
        <v>0</v>
      </c>
      <c r="BE81" s="20">
        <f>81</f>
        <v>81</v>
      </c>
      <c r="BG81" s="12">
        <f>G81*AN81</f>
        <v>0</v>
      </c>
      <c r="BH81" s="12">
        <f>G81*AO81</f>
        <v>0</v>
      </c>
      <c r="BI81" s="12">
        <f>G81*H81</f>
        <v>0</v>
      </c>
    </row>
    <row r="82" spans="3:5" ht="12.75">
      <c r="C82" s="147" t="s">
        <v>749</v>
      </c>
      <c r="D82" s="148"/>
      <c r="E82" s="148"/>
    </row>
    <row r="83" spans="1:11" ht="12.75">
      <c r="A83" s="59"/>
      <c r="B83" s="59"/>
      <c r="C83" s="149" t="s">
        <v>750</v>
      </c>
      <c r="D83" s="150"/>
      <c r="E83" s="150"/>
      <c r="F83" s="59"/>
      <c r="G83" s="60">
        <v>48.96</v>
      </c>
      <c r="H83" s="59"/>
      <c r="I83" s="59"/>
      <c r="J83" s="59"/>
      <c r="K83" s="59"/>
    </row>
    <row r="84" spans="1:61" ht="12.75">
      <c r="A84" s="57" t="s">
        <v>281</v>
      </c>
      <c r="B84" s="57" t="s">
        <v>502</v>
      </c>
      <c r="C84" s="146" t="s">
        <v>751</v>
      </c>
      <c r="D84" s="145"/>
      <c r="E84" s="145"/>
      <c r="F84" s="57" t="s">
        <v>104</v>
      </c>
      <c r="G84" s="58">
        <v>3</v>
      </c>
      <c r="H84" s="58">
        <v>0</v>
      </c>
      <c r="I84" s="58">
        <f>G84*AN84</f>
        <v>0</v>
      </c>
      <c r="J84" s="58">
        <f>G84*AO84</f>
        <v>0</v>
      </c>
      <c r="K84" s="58">
        <f>G84*H84</f>
        <v>0</v>
      </c>
      <c r="Y84" s="20">
        <f>IF(AP84="5",BI84,0)</f>
        <v>0</v>
      </c>
      <c r="AA84" s="20">
        <f>IF(AP84="1",BG84,0)</f>
        <v>0</v>
      </c>
      <c r="AB84" s="20">
        <f>IF(AP84="1",BH84,0)</f>
        <v>0</v>
      </c>
      <c r="AC84" s="20">
        <f>IF(AP84="7",BG84,0)</f>
        <v>0</v>
      </c>
      <c r="AD84" s="20">
        <f>IF(AP84="7",BH84,0)</f>
        <v>0</v>
      </c>
      <c r="AE84" s="20">
        <f>IF(AP84="2",BG84,0)</f>
        <v>0</v>
      </c>
      <c r="AF84" s="20">
        <f>IF(AP84="2",BH84,0)</f>
        <v>0</v>
      </c>
      <c r="AG84" s="20">
        <f>IF(AP84="0",BI84,0)</f>
        <v>0</v>
      </c>
      <c r="AH84" s="15" t="s">
        <v>135</v>
      </c>
      <c r="AI84" s="12">
        <f>IF(AM84=0,K84,0)</f>
        <v>0</v>
      </c>
      <c r="AJ84" s="12">
        <f>IF(AM84=15,K84,0)</f>
        <v>0</v>
      </c>
      <c r="AK84" s="12">
        <f>IF(AM84=21,K84,0)</f>
        <v>0</v>
      </c>
      <c r="AM84" s="20">
        <v>15</v>
      </c>
      <c r="AN84" s="20">
        <f>H84*0</f>
        <v>0</v>
      </c>
      <c r="AO84" s="20">
        <f>H84*(1-0)</f>
        <v>0</v>
      </c>
      <c r="AP84" s="16" t="s">
        <v>256</v>
      </c>
      <c r="AU84" s="20">
        <f>AV84+AW84</f>
        <v>0</v>
      </c>
      <c r="AV84" s="20">
        <f>G84*AN84</f>
        <v>0</v>
      </c>
      <c r="AW84" s="20">
        <f>G84*AO84</f>
        <v>0</v>
      </c>
      <c r="AX84" s="21" t="s">
        <v>145</v>
      </c>
      <c r="AY84" s="21" t="s">
        <v>175</v>
      </c>
      <c r="AZ84" s="15" t="s">
        <v>190</v>
      </c>
      <c r="BB84" s="20">
        <f>AV84+AW84</f>
        <v>0</v>
      </c>
      <c r="BC84" s="20">
        <f>H84/(100-BD84)*100</f>
        <v>0</v>
      </c>
      <c r="BD84" s="20">
        <v>0</v>
      </c>
      <c r="BE84" s="20">
        <f>84</f>
        <v>84</v>
      </c>
      <c r="BG84" s="12">
        <f>G84*AN84</f>
        <v>0</v>
      </c>
      <c r="BH84" s="12">
        <f>G84*AO84</f>
        <v>0</v>
      </c>
      <c r="BI84" s="12">
        <f>G84*H84</f>
        <v>0</v>
      </c>
    </row>
    <row r="85" spans="1:11" ht="12.75">
      <c r="A85" s="59"/>
      <c r="B85" s="59"/>
      <c r="C85" s="149" t="s">
        <v>752</v>
      </c>
      <c r="D85" s="150"/>
      <c r="E85" s="150"/>
      <c r="F85" s="59"/>
      <c r="G85" s="60">
        <v>3</v>
      </c>
      <c r="H85" s="59"/>
      <c r="I85" s="59"/>
      <c r="J85" s="59"/>
      <c r="K85" s="59"/>
    </row>
    <row r="86" spans="1:61" ht="12.75">
      <c r="A86" s="57" t="s">
        <v>282</v>
      </c>
      <c r="B86" s="57" t="s">
        <v>503</v>
      </c>
      <c r="C86" s="146" t="s">
        <v>753</v>
      </c>
      <c r="D86" s="145"/>
      <c r="E86" s="145"/>
      <c r="F86" s="57" t="s">
        <v>100</v>
      </c>
      <c r="G86" s="58">
        <v>18.312</v>
      </c>
      <c r="H86" s="58">
        <v>0</v>
      </c>
      <c r="I86" s="58">
        <f>G86*AN86</f>
        <v>0</v>
      </c>
      <c r="J86" s="58">
        <f>G86*AO86</f>
        <v>0</v>
      </c>
      <c r="K86" s="58">
        <f>G86*H86</f>
        <v>0</v>
      </c>
      <c r="Y86" s="20">
        <f>IF(AP86="5",BI86,0)</f>
        <v>0</v>
      </c>
      <c r="AA86" s="20">
        <f>IF(AP86="1",BG86,0)</f>
        <v>0</v>
      </c>
      <c r="AB86" s="20">
        <f>IF(AP86="1",BH86,0)</f>
        <v>0</v>
      </c>
      <c r="AC86" s="20">
        <f>IF(AP86="7",BG86,0)</f>
        <v>0</v>
      </c>
      <c r="AD86" s="20">
        <f>IF(AP86="7",BH86,0)</f>
        <v>0</v>
      </c>
      <c r="AE86" s="20">
        <f>IF(AP86="2",BG86,0)</f>
        <v>0</v>
      </c>
      <c r="AF86" s="20">
        <f>IF(AP86="2",BH86,0)</f>
        <v>0</v>
      </c>
      <c r="AG86" s="20">
        <f>IF(AP86="0",BI86,0)</f>
        <v>0</v>
      </c>
      <c r="AH86" s="15" t="s">
        <v>135</v>
      </c>
      <c r="AI86" s="12">
        <f>IF(AM86=0,K86,0)</f>
        <v>0</v>
      </c>
      <c r="AJ86" s="12">
        <f>IF(AM86=15,K86,0)</f>
        <v>0</v>
      </c>
      <c r="AK86" s="12">
        <f>IF(AM86=21,K86,0)</f>
        <v>0</v>
      </c>
      <c r="AM86" s="20">
        <v>15</v>
      </c>
      <c r="AN86" s="20">
        <f>H86*0.426596813673898</f>
        <v>0</v>
      </c>
      <c r="AO86" s="20">
        <f>H86*(1-0.426596813673898)</f>
        <v>0</v>
      </c>
      <c r="AP86" s="16" t="s">
        <v>256</v>
      </c>
      <c r="AU86" s="20">
        <f>AV86+AW86</f>
        <v>0</v>
      </c>
      <c r="AV86" s="20">
        <f>G86*AN86</f>
        <v>0</v>
      </c>
      <c r="AW86" s="20">
        <f>G86*AO86</f>
        <v>0</v>
      </c>
      <c r="AX86" s="21" t="s">
        <v>145</v>
      </c>
      <c r="AY86" s="21" t="s">
        <v>175</v>
      </c>
      <c r="AZ86" s="15" t="s">
        <v>190</v>
      </c>
      <c r="BB86" s="20">
        <f>AV86+AW86</f>
        <v>0</v>
      </c>
      <c r="BC86" s="20">
        <f>H86/(100-BD86)*100</f>
        <v>0</v>
      </c>
      <c r="BD86" s="20">
        <v>0</v>
      </c>
      <c r="BE86" s="20">
        <f>86</f>
        <v>86</v>
      </c>
      <c r="BG86" s="12">
        <f>G86*AN86</f>
        <v>0</v>
      </c>
      <c r="BH86" s="12">
        <f>G86*AO86</f>
        <v>0</v>
      </c>
      <c r="BI86" s="12">
        <f>G86*H86</f>
        <v>0</v>
      </c>
    </row>
    <row r="87" spans="3:5" ht="12.75">
      <c r="C87" s="147" t="s">
        <v>754</v>
      </c>
      <c r="D87" s="148"/>
      <c r="E87" s="148"/>
    </row>
    <row r="88" spans="1:11" ht="12.75">
      <c r="A88" s="59"/>
      <c r="B88" s="59"/>
      <c r="C88" s="149" t="s">
        <v>755</v>
      </c>
      <c r="D88" s="150"/>
      <c r="E88" s="150"/>
      <c r="F88" s="59"/>
      <c r="G88" s="60">
        <v>9.828</v>
      </c>
      <c r="H88" s="59"/>
      <c r="I88" s="59"/>
      <c r="J88" s="59"/>
      <c r="K88" s="59"/>
    </row>
    <row r="89" spans="1:11" ht="12.75">
      <c r="A89" s="59"/>
      <c r="B89" s="59"/>
      <c r="C89" s="149" t="s">
        <v>756</v>
      </c>
      <c r="D89" s="150"/>
      <c r="E89" s="150"/>
      <c r="F89" s="59"/>
      <c r="G89" s="60">
        <v>2.34</v>
      </c>
      <c r="H89" s="59"/>
      <c r="I89" s="59"/>
      <c r="J89" s="59"/>
      <c r="K89" s="59"/>
    </row>
    <row r="90" spans="1:11" ht="12.75">
      <c r="A90" s="59"/>
      <c r="B90" s="59"/>
      <c r="C90" s="149" t="s">
        <v>757</v>
      </c>
      <c r="D90" s="150"/>
      <c r="E90" s="150"/>
      <c r="F90" s="59"/>
      <c r="G90" s="60">
        <v>6.144</v>
      </c>
      <c r="H90" s="59"/>
      <c r="I90" s="59"/>
      <c r="J90" s="59"/>
      <c r="K90" s="59"/>
    </row>
    <row r="91" spans="1:61" ht="12.75">
      <c r="A91" s="57" t="s">
        <v>283</v>
      </c>
      <c r="B91" s="57" t="s">
        <v>504</v>
      </c>
      <c r="C91" s="146" t="s">
        <v>758</v>
      </c>
      <c r="D91" s="145"/>
      <c r="E91" s="145"/>
      <c r="F91" s="57" t="s">
        <v>102</v>
      </c>
      <c r="G91" s="58">
        <v>13.5</v>
      </c>
      <c r="H91" s="58">
        <v>0</v>
      </c>
      <c r="I91" s="58">
        <f>G91*AN91</f>
        <v>0</v>
      </c>
      <c r="J91" s="58">
        <f>G91*AO91</f>
        <v>0</v>
      </c>
      <c r="K91" s="58">
        <f>G91*H91</f>
        <v>0</v>
      </c>
      <c r="Y91" s="20">
        <f>IF(AP91="5",BI91,0)</f>
        <v>0</v>
      </c>
      <c r="AA91" s="20">
        <f>IF(AP91="1",BG91,0)</f>
        <v>0</v>
      </c>
      <c r="AB91" s="20">
        <f>IF(AP91="1",BH91,0)</f>
        <v>0</v>
      </c>
      <c r="AC91" s="20">
        <f>IF(AP91="7",BG91,0)</f>
        <v>0</v>
      </c>
      <c r="AD91" s="20">
        <f>IF(AP91="7",BH91,0)</f>
        <v>0</v>
      </c>
      <c r="AE91" s="20">
        <f>IF(AP91="2",BG91,0)</f>
        <v>0</v>
      </c>
      <c r="AF91" s="20">
        <f>IF(AP91="2",BH91,0)</f>
        <v>0</v>
      </c>
      <c r="AG91" s="20">
        <f>IF(AP91="0",BI91,0)</f>
        <v>0</v>
      </c>
      <c r="AH91" s="15" t="s">
        <v>135</v>
      </c>
      <c r="AI91" s="12">
        <f>IF(AM91=0,K91,0)</f>
        <v>0</v>
      </c>
      <c r="AJ91" s="12">
        <f>IF(AM91=15,K91,0)</f>
        <v>0</v>
      </c>
      <c r="AK91" s="12">
        <f>IF(AM91=21,K91,0)</f>
        <v>0</v>
      </c>
      <c r="AM91" s="20">
        <v>15</v>
      </c>
      <c r="AN91" s="20">
        <f>H91*0.273794002607562</f>
        <v>0</v>
      </c>
      <c r="AO91" s="20">
        <f>H91*(1-0.273794002607562)</f>
        <v>0</v>
      </c>
      <c r="AP91" s="16" t="s">
        <v>256</v>
      </c>
      <c r="AU91" s="20">
        <f>AV91+AW91</f>
        <v>0</v>
      </c>
      <c r="AV91" s="20">
        <f>G91*AN91</f>
        <v>0</v>
      </c>
      <c r="AW91" s="20">
        <f>G91*AO91</f>
        <v>0</v>
      </c>
      <c r="AX91" s="21" t="s">
        <v>145</v>
      </c>
      <c r="AY91" s="21" t="s">
        <v>175</v>
      </c>
      <c r="AZ91" s="15" t="s">
        <v>190</v>
      </c>
      <c r="BB91" s="20">
        <f>AV91+AW91</f>
        <v>0</v>
      </c>
      <c r="BC91" s="20">
        <f>H91/(100-BD91)*100</f>
        <v>0</v>
      </c>
      <c r="BD91" s="20">
        <v>0</v>
      </c>
      <c r="BE91" s="20">
        <f>91</f>
        <v>91</v>
      </c>
      <c r="BG91" s="12">
        <f>G91*AN91</f>
        <v>0</v>
      </c>
      <c r="BH91" s="12">
        <f>G91*AO91</f>
        <v>0</v>
      </c>
      <c r="BI91" s="12">
        <f>G91*H91</f>
        <v>0</v>
      </c>
    </row>
    <row r="92" spans="3:5" ht="12.75">
      <c r="C92" s="147" t="s">
        <v>759</v>
      </c>
      <c r="D92" s="148"/>
      <c r="E92" s="148"/>
    </row>
    <row r="93" spans="1:11" ht="12.75">
      <c r="A93" s="59"/>
      <c r="B93" s="59"/>
      <c r="C93" s="149" t="s">
        <v>760</v>
      </c>
      <c r="D93" s="150"/>
      <c r="E93" s="150"/>
      <c r="F93" s="59"/>
      <c r="G93" s="60">
        <v>13.5</v>
      </c>
      <c r="H93" s="59"/>
      <c r="I93" s="59"/>
      <c r="J93" s="59"/>
      <c r="K93" s="59"/>
    </row>
    <row r="94" spans="1:61" ht="12.75">
      <c r="A94" s="57" t="s">
        <v>284</v>
      </c>
      <c r="B94" s="57" t="s">
        <v>505</v>
      </c>
      <c r="C94" s="146" t="s">
        <v>761</v>
      </c>
      <c r="D94" s="145"/>
      <c r="E94" s="145"/>
      <c r="F94" s="57" t="s">
        <v>100</v>
      </c>
      <c r="G94" s="58">
        <v>18.16</v>
      </c>
      <c r="H94" s="58">
        <v>0</v>
      </c>
      <c r="I94" s="58">
        <f>G94*AN94</f>
        <v>0</v>
      </c>
      <c r="J94" s="58">
        <f>G94*AO94</f>
        <v>0</v>
      </c>
      <c r="K94" s="58">
        <f>G94*H94</f>
        <v>0</v>
      </c>
      <c r="Y94" s="20">
        <f>IF(AP94="5",BI94,0)</f>
        <v>0</v>
      </c>
      <c r="AA94" s="20">
        <f>IF(AP94="1",BG94,0)</f>
        <v>0</v>
      </c>
      <c r="AB94" s="20">
        <f>IF(AP94="1",BH94,0)</f>
        <v>0</v>
      </c>
      <c r="AC94" s="20">
        <f>IF(AP94="7",BG94,0)</f>
        <v>0</v>
      </c>
      <c r="AD94" s="20">
        <f>IF(AP94="7",BH94,0)</f>
        <v>0</v>
      </c>
      <c r="AE94" s="20">
        <f>IF(AP94="2",BG94,0)</f>
        <v>0</v>
      </c>
      <c r="AF94" s="20">
        <f>IF(AP94="2",BH94,0)</f>
        <v>0</v>
      </c>
      <c r="AG94" s="20">
        <f>IF(AP94="0",BI94,0)</f>
        <v>0</v>
      </c>
      <c r="AH94" s="15" t="s">
        <v>135</v>
      </c>
      <c r="AI94" s="12">
        <f>IF(AM94=0,K94,0)</f>
        <v>0</v>
      </c>
      <c r="AJ94" s="12">
        <f>IF(AM94=15,K94,0)</f>
        <v>0</v>
      </c>
      <c r="AK94" s="12">
        <f>IF(AM94=21,K94,0)</f>
        <v>0</v>
      </c>
      <c r="AM94" s="20">
        <v>15</v>
      </c>
      <c r="AN94" s="20">
        <f>H94*0.574384439359268</f>
        <v>0</v>
      </c>
      <c r="AO94" s="20">
        <f>H94*(1-0.574384439359268)</f>
        <v>0</v>
      </c>
      <c r="AP94" s="16" t="s">
        <v>256</v>
      </c>
      <c r="AU94" s="20">
        <f>AV94+AW94</f>
        <v>0</v>
      </c>
      <c r="AV94" s="20">
        <f>G94*AN94</f>
        <v>0</v>
      </c>
      <c r="AW94" s="20">
        <f>G94*AO94</f>
        <v>0</v>
      </c>
      <c r="AX94" s="21" t="s">
        <v>145</v>
      </c>
      <c r="AY94" s="21" t="s">
        <v>175</v>
      </c>
      <c r="AZ94" s="15" t="s">
        <v>190</v>
      </c>
      <c r="BB94" s="20">
        <f>AV94+AW94</f>
        <v>0</v>
      </c>
      <c r="BC94" s="20">
        <f>H94/(100-BD94)*100</f>
        <v>0</v>
      </c>
      <c r="BD94" s="20">
        <v>0</v>
      </c>
      <c r="BE94" s="20">
        <f>94</f>
        <v>94</v>
      </c>
      <c r="BG94" s="12">
        <f>G94*AN94</f>
        <v>0</v>
      </c>
      <c r="BH94" s="12">
        <f>G94*AO94</f>
        <v>0</v>
      </c>
      <c r="BI94" s="12">
        <f>G94*H94</f>
        <v>0</v>
      </c>
    </row>
    <row r="95" spans="3:5" ht="12.75">
      <c r="C95" s="147" t="s">
        <v>762</v>
      </c>
      <c r="D95" s="148"/>
      <c r="E95" s="148"/>
    </row>
    <row r="96" spans="1:11" ht="12.75">
      <c r="A96" s="59"/>
      <c r="B96" s="59"/>
      <c r="C96" s="149" t="s">
        <v>763</v>
      </c>
      <c r="D96" s="150"/>
      <c r="E96" s="150"/>
      <c r="F96" s="59"/>
      <c r="G96" s="60">
        <v>18.16</v>
      </c>
      <c r="H96" s="59"/>
      <c r="I96" s="59"/>
      <c r="J96" s="59"/>
      <c r="K96" s="59"/>
    </row>
    <row r="97" spans="1:61" ht="12.75">
      <c r="A97" s="57" t="s">
        <v>285</v>
      </c>
      <c r="B97" s="57" t="s">
        <v>506</v>
      </c>
      <c r="C97" s="146" t="s">
        <v>764</v>
      </c>
      <c r="D97" s="145"/>
      <c r="E97" s="145"/>
      <c r="F97" s="57" t="s">
        <v>100</v>
      </c>
      <c r="G97" s="58">
        <v>8.2</v>
      </c>
      <c r="H97" s="58">
        <v>0</v>
      </c>
      <c r="I97" s="58">
        <f>G97*AN97</f>
        <v>0</v>
      </c>
      <c r="J97" s="58">
        <f>G97*AO97</f>
        <v>0</v>
      </c>
      <c r="K97" s="58">
        <f>G97*H97</f>
        <v>0</v>
      </c>
      <c r="Y97" s="20">
        <f>IF(AP97="5",BI97,0)</f>
        <v>0</v>
      </c>
      <c r="AA97" s="20">
        <f>IF(AP97="1",BG97,0)</f>
        <v>0</v>
      </c>
      <c r="AB97" s="20">
        <f>IF(AP97="1",BH97,0)</f>
        <v>0</v>
      </c>
      <c r="AC97" s="20">
        <f>IF(AP97="7",BG97,0)</f>
        <v>0</v>
      </c>
      <c r="AD97" s="20">
        <f>IF(AP97="7",BH97,0)</f>
        <v>0</v>
      </c>
      <c r="AE97" s="20">
        <f>IF(AP97="2",BG97,0)</f>
        <v>0</v>
      </c>
      <c r="AF97" s="20">
        <f>IF(AP97="2",BH97,0)</f>
        <v>0</v>
      </c>
      <c r="AG97" s="20">
        <f>IF(AP97="0",BI97,0)</f>
        <v>0</v>
      </c>
      <c r="AH97" s="15" t="s">
        <v>135</v>
      </c>
      <c r="AI97" s="12">
        <f>IF(AM97=0,K97,0)</f>
        <v>0</v>
      </c>
      <c r="AJ97" s="12">
        <f>IF(AM97=15,K97,0)</f>
        <v>0</v>
      </c>
      <c r="AK97" s="12">
        <f>IF(AM97=21,K97,0)</f>
        <v>0</v>
      </c>
      <c r="AM97" s="20">
        <v>15</v>
      </c>
      <c r="AN97" s="20">
        <f>H97*0.533774945497233</f>
        <v>0</v>
      </c>
      <c r="AO97" s="20">
        <f>H97*(1-0.533774945497233)</f>
        <v>0</v>
      </c>
      <c r="AP97" s="16" t="s">
        <v>256</v>
      </c>
      <c r="AU97" s="20">
        <f>AV97+AW97</f>
        <v>0</v>
      </c>
      <c r="AV97" s="20">
        <f>G97*AN97</f>
        <v>0</v>
      </c>
      <c r="AW97" s="20">
        <f>G97*AO97</f>
        <v>0</v>
      </c>
      <c r="AX97" s="21" t="s">
        <v>145</v>
      </c>
      <c r="AY97" s="21" t="s">
        <v>175</v>
      </c>
      <c r="AZ97" s="15" t="s">
        <v>190</v>
      </c>
      <c r="BB97" s="20">
        <f>AV97+AW97</f>
        <v>0</v>
      </c>
      <c r="BC97" s="20">
        <f>H97/(100-BD97)*100</f>
        <v>0</v>
      </c>
      <c r="BD97" s="20">
        <v>0</v>
      </c>
      <c r="BE97" s="20">
        <f>97</f>
        <v>97</v>
      </c>
      <c r="BG97" s="12">
        <f>G97*AN97</f>
        <v>0</v>
      </c>
      <c r="BH97" s="12">
        <f>G97*AO97</f>
        <v>0</v>
      </c>
      <c r="BI97" s="12">
        <f>G97*H97</f>
        <v>0</v>
      </c>
    </row>
    <row r="98" spans="3:5" ht="12.75">
      <c r="C98" s="147" t="s">
        <v>765</v>
      </c>
      <c r="D98" s="148"/>
      <c r="E98" s="148"/>
    </row>
    <row r="99" spans="1:11" ht="12.75">
      <c r="A99" s="59"/>
      <c r="B99" s="59"/>
      <c r="C99" s="149" t="s">
        <v>766</v>
      </c>
      <c r="D99" s="150"/>
      <c r="E99" s="150"/>
      <c r="F99" s="59"/>
      <c r="G99" s="60">
        <v>8.2</v>
      </c>
      <c r="H99" s="59"/>
      <c r="I99" s="59"/>
      <c r="J99" s="59"/>
      <c r="K99" s="59"/>
    </row>
    <row r="100" spans="1:61" ht="12.75">
      <c r="A100" s="57" t="s">
        <v>286</v>
      </c>
      <c r="B100" s="57" t="s">
        <v>507</v>
      </c>
      <c r="C100" s="146" t="s">
        <v>767</v>
      </c>
      <c r="D100" s="145"/>
      <c r="E100" s="145"/>
      <c r="F100" s="57" t="s">
        <v>100</v>
      </c>
      <c r="G100" s="58">
        <v>9.96</v>
      </c>
      <c r="H100" s="58">
        <v>0</v>
      </c>
      <c r="I100" s="58">
        <f>G100*AN100</f>
        <v>0</v>
      </c>
      <c r="J100" s="58">
        <f>G100*AO100</f>
        <v>0</v>
      </c>
      <c r="K100" s="58">
        <f>G100*H100</f>
        <v>0</v>
      </c>
      <c r="Y100" s="20">
        <f>IF(AP100="5",BI100,0)</f>
        <v>0</v>
      </c>
      <c r="AA100" s="20">
        <f>IF(AP100="1",BG100,0)</f>
        <v>0</v>
      </c>
      <c r="AB100" s="20">
        <f>IF(AP100="1",BH100,0)</f>
        <v>0</v>
      </c>
      <c r="AC100" s="20">
        <f>IF(AP100="7",BG100,0)</f>
        <v>0</v>
      </c>
      <c r="AD100" s="20">
        <f>IF(AP100="7",BH100,0)</f>
        <v>0</v>
      </c>
      <c r="AE100" s="20">
        <f>IF(AP100="2",BG100,0)</f>
        <v>0</v>
      </c>
      <c r="AF100" s="20">
        <f>IF(AP100="2",BH100,0)</f>
        <v>0</v>
      </c>
      <c r="AG100" s="20">
        <f>IF(AP100="0",BI100,0)</f>
        <v>0</v>
      </c>
      <c r="AH100" s="15" t="s">
        <v>135</v>
      </c>
      <c r="AI100" s="12">
        <f>IF(AM100=0,K100,0)</f>
        <v>0</v>
      </c>
      <c r="AJ100" s="12">
        <f>IF(AM100=15,K100,0)</f>
        <v>0</v>
      </c>
      <c r="AK100" s="12">
        <f>IF(AM100=21,K100,0)</f>
        <v>0</v>
      </c>
      <c r="AM100" s="20">
        <v>15</v>
      </c>
      <c r="AN100" s="20">
        <f>H100*0.530573248407643</f>
        <v>0</v>
      </c>
      <c r="AO100" s="20">
        <f>H100*(1-0.530573248407643)</f>
        <v>0</v>
      </c>
      <c r="AP100" s="16" t="s">
        <v>256</v>
      </c>
      <c r="AU100" s="20">
        <f>AV100+AW100</f>
        <v>0</v>
      </c>
      <c r="AV100" s="20">
        <f>G100*AN100</f>
        <v>0</v>
      </c>
      <c r="AW100" s="20">
        <f>G100*AO100</f>
        <v>0</v>
      </c>
      <c r="AX100" s="21" t="s">
        <v>145</v>
      </c>
      <c r="AY100" s="21" t="s">
        <v>175</v>
      </c>
      <c r="AZ100" s="15" t="s">
        <v>190</v>
      </c>
      <c r="BB100" s="20">
        <f>AV100+AW100</f>
        <v>0</v>
      </c>
      <c r="BC100" s="20">
        <f>H100/(100-BD100)*100</f>
        <v>0</v>
      </c>
      <c r="BD100" s="20">
        <v>0</v>
      </c>
      <c r="BE100" s="20">
        <f>100</f>
        <v>100</v>
      </c>
      <c r="BG100" s="12">
        <f>G100*AN100</f>
        <v>0</v>
      </c>
      <c r="BH100" s="12">
        <f>G100*AO100</f>
        <v>0</v>
      </c>
      <c r="BI100" s="12">
        <f>G100*H100</f>
        <v>0</v>
      </c>
    </row>
    <row r="101" spans="3:5" ht="12.75">
      <c r="C101" s="147" t="s">
        <v>754</v>
      </c>
      <c r="D101" s="148"/>
      <c r="E101" s="148"/>
    </row>
    <row r="102" spans="1:11" ht="12.75">
      <c r="A102" s="59"/>
      <c r="B102" s="59"/>
      <c r="C102" s="149" t="s">
        <v>768</v>
      </c>
      <c r="D102" s="150"/>
      <c r="E102" s="150"/>
      <c r="F102" s="59"/>
      <c r="G102" s="60">
        <v>9.96</v>
      </c>
      <c r="H102" s="59"/>
      <c r="I102" s="59"/>
      <c r="J102" s="59"/>
      <c r="K102" s="59"/>
    </row>
    <row r="103" spans="1:61" ht="12.75">
      <c r="A103" s="57" t="s">
        <v>287</v>
      </c>
      <c r="B103" s="57" t="s">
        <v>508</v>
      </c>
      <c r="C103" s="146" t="s">
        <v>769</v>
      </c>
      <c r="D103" s="145"/>
      <c r="E103" s="145"/>
      <c r="F103" s="57" t="s">
        <v>100</v>
      </c>
      <c r="G103" s="58">
        <v>18.504</v>
      </c>
      <c r="H103" s="58">
        <v>0</v>
      </c>
      <c r="I103" s="58">
        <f>G103*AN103</f>
        <v>0</v>
      </c>
      <c r="J103" s="58">
        <f>G103*AO103</f>
        <v>0</v>
      </c>
      <c r="K103" s="58">
        <f>G103*H103</f>
        <v>0</v>
      </c>
      <c r="Y103" s="20">
        <f>IF(AP103="5",BI103,0)</f>
        <v>0</v>
      </c>
      <c r="AA103" s="20">
        <f>IF(AP103="1",BG103,0)</f>
        <v>0</v>
      </c>
      <c r="AB103" s="20">
        <f>IF(AP103="1",BH103,0)</f>
        <v>0</v>
      </c>
      <c r="AC103" s="20">
        <f>IF(AP103="7",BG103,0)</f>
        <v>0</v>
      </c>
      <c r="AD103" s="20">
        <f>IF(AP103="7",BH103,0)</f>
        <v>0</v>
      </c>
      <c r="AE103" s="20">
        <f>IF(AP103="2",BG103,0)</f>
        <v>0</v>
      </c>
      <c r="AF103" s="20">
        <f>IF(AP103="2",BH103,0)</f>
        <v>0</v>
      </c>
      <c r="AG103" s="20">
        <f>IF(AP103="0",BI103,0)</f>
        <v>0</v>
      </c>
      <c r="AH103" s="15" t="s">
        <v>135</v>
      </c>
      <c r="AI103" s="12">
        <f>IF(AM103=0,K103,0)</f>
        <v>0</v>
      </c>
      <c r="AJ103" s="12">
        <f>IF(AM103=15,K103,0)</f>
        <v>0</v>
      </c>
      <c r="AK103" s="12">
        <f>IF(AM103=21,K103,0)</f>
        <v>0</v>
      </c>
      <c r="AM103" s="20">
        <v>15</v>
      </c>
      <c r="AN103" s="20">
        <f>H103*0.526217159711338</f>
        <v>0</v>
      </c>
      <c r="AO103" s="20">
        <f>H103*(1-0.526217159711338)</f>
        <v>0</v>
      </c>
      <c r="AP103" s="16" t="s">
        <v>256</v>
      </c>
      <c r="AU103" s="20">
        <f>AV103+AW103</f>
        <v>0</v>
      </c>
      <c r="AV103" s="20">
        <f>G103*AN103</f>
        <v>0</v>
      </c>
      <c r="AW103" s="20">
        <f>G103*AO103</f>
        <v>0</v>
      </c>
      <c r="AX103" s="21" t="s">
        <v>145</v>
      </c>
      <c r="AY103" s="21" t="s">
        <v>175</v>
      </c>
      <c r="AZ103" s="15" t="s">
        <v>190</v>
      </c>
      <c r="BB103" s="20">
        <f>AV103+AW103</f>
        <v>0</v>
      </c>
      <c r="BC103" s="20">
        <f>H103/(100-BD103)*100</f>
        <v>0</v>
      </c>
      <c r="BD103" s="20">
        <v>0</v>
      </c>
      <c r="BE103" s="20">
        <f>103</f>
        <v>103</v>
      </c>
      <c r="BG103" s="12">
        <f>G103*AN103</f>
        <v>0</v>
      </c>
      <c r="BH103" s="12">
        <f>G103*AO103</f>
        <v>0</v>
      </c>
      <c r="BI103" s="12">
        <f>G103*H103</f>
        <v>0</v>
      </c>
    </row>
    <row r="104" spans="3:5" ht="12.75">
      <c r="C104" s="147" t="s">
        <v>770</v>
      </c>
      <c r="D104" s="148"/>
      <c r="E104" s="148"/>
    </row>
    <row r="105" spans="1:11" ht="12.75">
      <c r="A105" s="59"/>
      <c r="B105" s="59"/>
      <c r="C105" s="149" t="s">
        <v>771</v>
      </c>
      <c r="D105" s="150"/>
      <c r="E105" s="150"/>
      <c r="F105" s="59"/>
      <c r="G105" s="60">
        <v>18.504</v>
      </c>
      <c r="H105" s="59"/>
      <c r="I105" s="59"/>
      <c r="J105" s="59"/>
      <c r="K105" s="59"/>
    </row>
    <row r="106" spans="1:46" ht="12.75">
      <c r="A106" s="2"/>
      <c r="B106" s="8" t="s">
        <v>296</v>
      </c>
      <c r="C106" s="142" t="s">
        <v>772</v>
      </c>
      <c r="D106" s="143"/>
      <c r="E106" s="143"/>
      <c r="F106" s="2" t="s">
        <v>255</v>
      </c>
      <c r="G106" s="2" t="s">
        <v>255</v>
      </c>
      <c r="H106" s="2" t="s">
        <v>255</v>
      </c>
      <c r="I106" s="22">
        <f>SUM(I107:I125)</f>
        <v>0</v>
      </c>
      <c r="J106" s="22">
        <f>SUM(J107:J125)</f>
        <v>0</v>
      </c>
      <c r="K106" s="22">
        <f>SUM(K107:K125)</f>
        <v>0</v>
      </c>
      <c r="AH106" s="15" t="s">
        <v>135</v>
      </c>
      <c r="AR106" s="22">
        <f>SUM(AI107:AI125)</f>
        <v>0</v>
      </c>
      <c r="AS106" s="22">
        <f>SUM(AJ107:AJ125)</f>
        <v>0</v>
      </c>
      <c r="AT106" s="22">
        <f>SUM(AK107:AK125)</f>
        <v>0</v>
      </c>
    </row>
    <row r="107" spans="1:61" ht="12.75">
      <c r="A107" s="57" t="s">
        <v>288</v>
      </c>
      <c r="B107" s="57" t="s">
        <v>509</v>
      </c>
      <c r="C107" s="146" t="s">
        <v>773</v>
      </c>
      <c r="D107" s="145"/>
      <c r="E107" s="145"/>
      <c r="F107" s="57" t="s">
        <v>103</v>
      </c>
      <c r="G107" s="58">
        <v>0.94457</v>
      </c>
      <c r="H107" s="58">
        <v>0</v>
      </c>
      <c r="I107" s="58">
        <f>G107*AN107</f>
        <v>0</v>
      </c>
      <c r="J107" s="58">
        <f>G107*AO107</f>
        <v>0</v>
      </c>
      <c r="K107" s="58">
        <f>G107*H107</f>
        <v>0</v>
      </c>
      <c r="Y107" s="20">
        <f>IF(AP107="5",BI107,0)</f>
        <v>0</v>
      </c>
      <c r="AA107" s="20">
        <f>IF(AP107="1",BG107,0)</f>
        <v>0</v>
      </c>
      <c r="AB107" s="20">
        <f>IF(AP107="1",BH107,0)</f>
        <v>0</v>
      </c>
      <c r="AC107" s="20">
        <f>IF(AP107="7",BG107,0)</f>
        <v>0</v>
      </c>
      <c r="AD107" s="20">
        <f>IF(AP107="7",BH107,0)</f>
        <v>0</v>
      </c>
      <c r="AE107" s="20">
        <f>IF(AP107="2",BG107,0)</f>
        <v>0</v>
      </c>
      <c r="AF107" s="20">
        <f>IF(AP107="2",BH107,0)</f>
        <v>0</v>
      </c>
      <c r="AG107" s="20">
        <f>IF(AP107="0",BI107,0)</f>
        <v>0</v>
      </c>
      <c r="AH107" s="15" t="s">
        <v>135</v>
      </c>
      <c r="AI107" s="12">
        <f>IF(AM107=0,K107,0)</f>
        <v>0</v>
      </c>
      <c r="AJ107" s="12">
        <f>IF(AM107=15,K107,0)</f>
        <v>0</v>
      </c>
      <c r="AK107" s="12">
        <f>IF(AM107=21,K107,0)</f>
        <v>0</v>
      </c>
      <c r="AM107" s="20">
        <v>15</v>
      </c>
      <c r="AN107" s="20">
        <f>H107*0.223761746632709</f>
        <v>0</v>
      </c>
      <c r="AO107" s="20">
        <f>H107*(1-0.223761746632709)</f>
        <v>0</v>
      </c>
      <c r="AP107" s="16" t="s">
        <v>256</v>
      </c>
      <c r="AU107" s="20">
        <f>AV107+AW107</f>
        <v>0</v>
      </c>
      <c r="AV107" s="20">
        <f>G107*AN107</f>
        <v>0</v>
      </c>
      <c r="AW107" s="20">
        <f>G107*AO107</f>
        <v>0</v>
      </c>
      <c r="AX107" s="21" t="s">
        <v>146</v>
      </c>
      <c r="AY107" s="21" t="s">
        <v>176</v>
      </c>
      <c r="AZ107" s="15" t="s">
        <v>190</v>
      </c>
      <c r="BB107" s="20">
        <f>AV107+AW107</f>
        <v>0</v>
      </c>
      <c r="BC107" s="20">
        <f>H107/(100-BD107)*100</f>
        <v>0</v>
      </c>
      <c r="BD107" s="20">
        <v>0</v>
      </c>
      <c r="BE107" s="20">
        <f>107</f>
        <v>107</v>
      </c>
      <c r="BG107" s="12">
        <f>G107*AN107</f>
        <v>0</v>
      </c>
      <c r="BH107" s="12">
        <f>G107*AO107</f>
        <v>0</v>
      </c>
      <c r="BI107" s="12">
        <f>G107*H107</f>
        <v>0</v>
      </c>
    </row>
    <row r="108" spans="3:5" ht="12.75">
      <c r="C108" s="147" t="s">
        <v>774</v>
      </c>
      <c r="D108" s="148"/>
      <c r="E108" s="148"/>
    </row>
    <row r="109" spans="1:11" ht="12.75">
      <c r="A109" s="59"/>
      <c r="B109" s="59"/>
      <c r="C109" s="149" t="s">
        <v>775</v>
      </c>
      <c r="D109" s="150"/>
      <c r="E109" s="150"/>
      <c r="F109" s="59"/>
      <c r="G109" s="60">
        <v>0.78052</v>
      </c>
      <c r="H109" s="59"/>
      <c r="I109" s="59"/>
      <c r="J109" s="59"/>
      <c r="K109" s="59"/>
    </row>
    <row r="110" spans="1:11" ht="12.75">
      <c r="A110" s="59"/>
      <c r="B110" s="59"/>
      <c r="C110" s="149" t="s">
        <v>776</v>
      </c>
      <c r="D110" s="150"/>
      <c r="E110" s="150"/>
      <c r="F110" s="59"/>
      <c r="G110" s="60">
        <v>0.16405</v>
      </c>
      <c r="H110" s="59"/>
      <c r="I110" s="59"/>
      <c r="J110" s="59"/>
      <c r="K110" s="59"/>
    </row>
    <row r="111" spans="1:61" ht="12.75">
      <c r="A111" s="67" t="s">
        <v>289</v>
      </c>
      <c r="B111" s="67" t="s">
        <v>510</v>
      </c>
      <c r="C111" s="155" t="s">
        <v>777</v>
      </c>
      <c r="D111" s="156"/>
      <c r="E111" s="156"/>
      <c r="F111" s="67" t="s">
        <v>103</v>
      </c>
      <c r="G111" s="68">
        <v>0.2969</v>
      </c>
      <c r="H111" s="68">
        <v>0</v>
      </c>
      <c r="I111" s="68">
        <f>G111*AN111</f>
        <v>0</v>
      </c>
      <c r="J111" s="68">
        <f>G111*AO111</f>
        <v>0</v>
      </c>
      <c r="K111" s="68">
        <f>G111*H111</f>
        <v>0</v>
      </c>
      <c r="Y111" s="20">
        <f>IF(AP111="5",BI111,0)</f>
        <v>0</v>
      </c>
      <c r="AA111" s="20">
        <f>IF(AP111="1",BG111,0)</f>
        <v>0</v>
      </c>
      <c r="AB111" s="20">
        <f>IF(AP111="1",BH111,0)</f>
        <v>0</v>
      </c>
      <c r="AC111" s="20">
        <f>IF(AP111="7",BG111,0)</f>
        <v>0</v>
      </c>
      <c r="AD111" s="20">
        <f>IF(AP111="7",BH111,0)</f>
        <v>0</v>
      </c>
      <c r="AE111" s="20">
        <f>IF(AP111="2",BG111,0)</f>
        <v>0</v>
      </c>
      <c r="AF111" s="20">
        <f>IF(AP111="2",BH111,0)</f>
        <v>0</v>
      </c>
      <c r="AG111" s="20">
        <f>IF(AP111="0",BI111,0)</f>
        <v>0</v>
      </c>
      <c r="AH111" s="15" t="s">
        <v>135</v>
      </c>
      <c r="AI111" s="13">
        <f>IF(AM111=0,K111,0)</f>
        <v>0</v>
      </c>
      <c r="AJ111" s="13">
        <f>IF(AM111=15,K111,0)</f>
        <v>0</v>
      </c>
      <c r="AK111" s="13">
        <f>IF(AM111=21,K111,0)</f>
        <v>0</v>
      </c>
      <c r="AM111" s="20">
        <v>15</v>
      </c>
      <c r="AN111" s="20">
        <f>H111*1</f>
        <v>0</v>
      </c>
      <c r="AO111" s="20">
        <f>H111*(1-1)</f>
        <v>0</v>
      </c>
      <c r="AP111" s="17" t="s">
        <v>256</v>
      </c>
      <c r="AU111" s="20">
        <f>AV111+AW111</f>
        <v>0</v>
      </c>
      <c r="AV111" s="20">
        <f>G111*AN111</f>
        <v>0</v>
      </c>
      <c r="AW111" s="20">
        <f>G111*AO111</f>
        <v>0</v>
      </c>
      <c r="AX111" s="21" t="s">
        <v>146</v>
      </c>
      <c r="AY111" s="21" t="s">
        <v>176</v>
      </c>
      <c r="AZ111" s="15" t="s">
        <v>190</v>
      </c>
      <c r="BB111" s="20">
        <f>AV111+AW111</f>
        <v>0</v>
      </c>
      <c r="BC111" s="20">
        <f>H111/(100-BD111)*100</f>
        <v>0</v>
      </c>
      <c r="BD111" s="20">
        <v>0</v>
      </c>
      <c r="BE111" s="20">
        <f>111</f>
        <v>111</v>
      </c>
      <c r="BG111" s="13">
        <f>G111*AN111</f>
        <v>0</v>
      </c>
      <c r="BH111" s="13">
        <f>G111*AO111</f>
        <v>0</v>
      </c>
      <c r="BI111" s="13">
        <f>G111*H111</f>
        <v>0</v>
      </c>
    </row>
    <row r="112" spans="1:11" ht="12.75">
      <c r="A112" s="69"/>
      <c r="B112" s="69"/>
      <c r="C112" s="157" t="s">
        <v>778</v>
      </c>
      <c r="D112" s="150"/>
      <c r="E112" s="150"/>
      <c r="F112" s="69"/>
      <c r="G112" s="70">
        <v>0.2969</v>
      </c>
      <c r="H112" s="69"/>
      <c r="I112" s="69"/>
      <c r="J112" s="69"/>
      <c r="K112" s="69"/>
    </row>
    <row r="113" spans="1:61" ht="12.75">
      <c r="A113" s="67" t="s">
        <v>290</v>
      </c>
      <c r="B113" s="67" t="s">
        <v>510</v>
      </c>
      <c r="C113" s="155" t="s">
        <v>779</v>
      </c>
      <c r="D113" s="156"/>
      <c r="E113" s="156"/>
      <c r="F113" s="67" t="s">
        <v>103</v>
      </c>
      <c r="G113" s="68">
        <v>0.25049</v>
      </c>
      <c r="H113" s="68">
        <v>0</v>
      </c>
      <c r="I113" s="68">
        <f>G113*AN113</f>
        <v>0</v>
      </c>
      <c r="J113" s="68">
        <f>G113*AO113</f>
        <v>0</v>
      </c>
      <c r="K113" s="68">
        <f>G113*H113</f>
        <v>0</v>
      </c>
      <c r="Y113" s="20">
        <f>IF(AP113="5",BI113,0)</f>
        <v>0</v>
      </c>
      <c r="AA113" s="20">
        <f>IF(AP113="1",BG113,0)</f>
        <v>0</v>
      </c>
      <c r="AB113" s="20">
        <f>IF(AP113="1",BH113,0)</f>
        <v>0</v>
      </c>
      <c r="AC113" s="20">
        <f>IF(AP113="7",BG113,0)</f>
        <v>0</v>
      </c>
      <c r="AD113" s="20">
        <f>IF(AP113="7",BH113,0)</f>
        <v>0</v>
      </c>
      <c r="AE113" s="20">
        <f>IF(AP113="2",BG113,0)</f>
        <v>0</v>
      </c>
      <c r="AF113" s="20">
        <f>IF(AP113="2",BH113,0)</f>
        <v>0</v>
      </c>
      <c r="AG113" s="20">
        <f>IF(AP113="0",BI113,0)</f>
        <v>0</v>
      </c>
      <c r="AH113" s="15" t="s">
        <v>135</v>
      </c>
      <c r="AI113" s="13">
        <f>IF(AM113=0,K113,0)</f>
        <v>0</v>
      </c>
      <c r="AJ113" s="13">
        <f>IF(AM113=15,K113,0)</f>
        <v>0</v>
      </c>
      <c r="AK113" s="13">
        <f>IF(AM113=21,K113,0)</f>
        <v>0</v>
      </c>
      <c r="AM113" s="20">
        <v>15</v>
      </c>
      <c r="AN113" s="20">
        <f>H113*1</f>
        <v>0</v>
      </c>
      <c r="AO113" s="20">
        <f>H113*(1-1)</f>
        <v>0</v>
      </c>
      <c r="AP113" s="17" t="s">
        <v>256</v>
      </c>
      <c r="AU113" s="20">
        <f>AV113+AW113</f>
        <v>0</v>
      </c>
      <c r="AV113" s="20">
        <f>G113*AN113</f>
        <v>0</v>
      </c>
      <c r="AW113" s="20">
        <f>G113*AO113</f>
        <v>0</v>
      </c>
      <c r="AX113" s="21" t="s">
        <v>146</v>
      </c>
      <c r="AY113" s="21" t="s">
        <v>176</v>
      </c>
      <c r="AZ113" s="15" t="s">
        <v>190</v>
      </c>
      <c r="BB113" s="20">
        <f>AV113+AW113</f>
        <v>0</v>
      </c>
      <c r="BC113" s="20">
        <f>H113/(100-BD113)*100</f>
        <v>0</v>
      </c>
      <c r="BD113" s="20">
        <v>0</v>
      </c>
      <c r="BE113" s="20">
        <f>113</f>
        <v>113</v>
      </c>
      <c r="BG113" s="13">
        <f>G113*AN113</f>
        <v>0</v>
      </c>
      <c r="BH113" s="13">
        <f>G113*AO113</f>
        <v>0</v>
      </c>
      <c r="BI113" s="13">
        <f>G113*H113</f>
        <v>0</v>
      </c>
    </row>
    <row r="114" spans="1:11" ht="12.75">
      <c r="A114" s="69"/>
      <c r="B114" s="69"/>
      <c r="C114" s="157" t="s">
        <v>780</v>
      </c>
      <c r="D114" s="150"/>
      <c r="E114" s="150"/>
      <c r="F114" s="69"/>
      <c r="G114" s="70">
        <v>0.25049</v>
      </c>
      <c r="H114" s="69"/>
      <c r="I114" s="69"/>
      <c r="J114" s="69"/>
      <c r="K114" s="69"/>
    </row>
    <row r="115" spans="1:61" ht="12.75">
      <c r="A115" s="67" t="s">
        <v>291</v>
      </c>
      <c r="B115" s="67" t="s">
        <v>510</v>
      </c>
      <c r="C115" s="155" t="s">
        <v>781</v>
      </c>
      <c r="D115" s="156"/>
      <c r="E115" s="156"/>
      <c r="F115" s="67" t="s">
        <v>103</v>
      </c>
      <c r="G115" s="68">
        <v>0.09843</v>
      </c>
      <c r="H115" s="68">
        <v>0</v>
      </c>
      <c r="I115" s="68">
        <f>G115*AN115</f>
        <v>0</v>
      </c>
      <c r="J115" s="68">
        <f>G115*AO115</f>
        <v>0</v>
      </c>
      <c r="K115" s="68">
        <f>G115*H115</f>
        <v>0</v>
      </c>
      <c r="Y115" s="20">
        <f>IF(AP115="5",BI115,0)</f>
        <v>0</v>
      </c>
      <c r="AA115" s="20">
        <f>IF(AP115="1",BG115,0)</f>
        <v>0</v>
      </c>
      <c r="AB115" s="20">
        <f>IF(AP115="1",BH115,0)</f>
        <v>0</v>
      </c>
      <c r="AC115" s="20">
        <f>IF(AP115="7",BG115,0)</f>
        <v>0</v>
      </c>
      <c r="AD115" s="20">
        <f>IF(AP115="7",BH115,0)</f>
        <v>0</v>
      </c>
      <c r="AE115" s="20">
        <f>IF(AP115="2",BG115,0)</f>
        <v>0</v>
      </c>
      <c r="AF115" s="20">
        <f>IF(AP115="2",BH115,0)</f>
        <v>0</v>
      </c>
      <c r="AG115" s="20">
        <f>IF(AP115="0",BI115,0)</f>
        <v>0</v>
      </c>
      <c r="AH115" s="15" t="s">
        <v>135</v>
      </c>
      <c r="AI115" s="13">
        <f>IF(AM115=0,K115,0)</f>
        <v>0</v>
      </c>
      <c r="AJ115" s="13">
        <f>IF(AM115=15,K115,0)</f>
        <v>0</v>
      </c>
      <c r="AK115" s="13">
        <f>IF(AM115=21,K115,0)</f>
        <v>0</v>
      </c>
      <c r="AM115" s="20">
        <v>15</v>
      </c>
      <c r="AN115" s="20">
        <f>H115*1</f>
        <v>0</v>
      </c>
      <c r="AO115" s="20">
        <f>H115*(1-1)</f>
        <v>0</v>
      </c>
      <c r="AP115" s="17" t="s">
        <v>256</v>
      </c>
      <c r="AU115" s="20">
        <f>AV115+AW115</f>
        <v>0</v>
      </c>
      <c r="AV115" s="20">
        <f>G115*AN115</f>
        <v>0</v>
      </c>
      <c r="AW115" s="20">
        <f>G115*AO115</f>
        <v>0</v>
      </c>
      <c r="AX115" s="21" t="s">
        <v>146</v>
      </c>
      <c r="AY115" s="21" t="s">
        <v>176</v>
      </c>
      <c r="AZ115" s="15" t="s">
        <v>190</v>
      </c>
      <c r="BB115" s="20">
        <f>AV115+AW115</f>
        <v>0</v>
      </c>
      <c r="BC115" s="20">
        <f>H115/(100-BD115)*100</f>
        <v>0</v>
      </c>
      <c r="BD115" s="20">
        <v>0</v>
      </c>
      <c r="BE115" s="20">
        <f>115</f>
        <v>115</v>
      </c>
      <c r="BG115" s="13">
        <f>G115*AN115</f>
        <v>0</v>
      </c>
      <c r="BH115" s="13">
        <f>G115*AO115</f>
        <v>0</v>
      </c>
      <c r="BI115" s="13">
        <f>G115*H115</f>
        <v>0</v>
      </c>
    </row>
    <row r="116" spans="1:11" ht="12.75">
      <c r="A116" s="69"/>
      <c r="B116" s="69"/>
      <c r="C116" s="157" t="s">
        <v>782</v>
      </c>
      <c r="D116" s="150"/>
      <c r="E116" s="150"/>
      <c r="F116" s="69"/>
      <c r="G116" s="70">
        <v>0.09843</v>
      </c>
      <c r="H116" s="69"/>
      <c r="I116" s="69"/>
      <c r="J116" s="69"/>
      <c r="K116" s="69"/>
    </row>
    <row r="117" spans="1:61" ht="12.75">
      <c r="A117" s="67" t="s">
        <v>292</v>
      </c>
      <c r="B117" s="67" t="s">
        <v>510</v>
      </c>
      <c r="C117" s="155" t="s">
        <v>783</v>
      </c>
      <c r="D117" s="156"/>
      <c r="E117" s="156"/>
      <c r="F117" s="67" t="s">
        <v>103</v>
      </c>
      <c r="G117" s="68">
        <v>0.12298</v>
      </c>
      <c r="H117" s="68">
        <v>0</v>
      </c>
      <c r="I117" s="68">
        <f>G117*AN117</f>
        <v>0</v>
      </c>
      <c r="J117" s="68">
        <f>G117*AO117</f>
        <v>0</v>
      </c>
      <c r="K117" s="68">
        <f>G117*H117</f>
        <v>0</v>
      </c>
      <c r="Y117" s="20">
        <f>IF(AP117="5",BI117,0)</f>
        <v>0</v>
      </c>
      <c r="AA117" s="20">
        <f>IF(AP117="1",BG117,0)</f>
        <v>0</v>
      </c>
      <c r="AB117" s="20">
        <f>IF(AP117="1",BH117,0)</f>
        <v>0</v>
      </c>
      <c r="AC117" s="20">
        <f>IF(AP117="7",BG117,0)</f>
        <v>0</v>
      </c>
      <c r="AD117" s="20">
        <f>IF(AP117="7",BH117,0)</f>
        <v>0</v>
      </c>
      <c r="AE117" s="20">
        <f>IF(AP117="2",BG117,0)</f>
        <v>0</v>
      </c>
      <c r="AF117" s="20">
        <f>IF(AP117="2",BH117,0)</f>
        <v>0</v>
      </c>
      <c r="AG117" s="20">
        <f>IF(AP117="0",BI117,0)</f>
        <v>0</v>
      </c>
      <c r="AH117" s="15" t="s">
        <v>135</v>
      </c>
      <c r="AI117" s="13">
        <f>IF(AM117=0,K117,0)</f>
        <v>0</v>
      </c>
      <c r="AJ117" s="13">
        <f>IF(AM117=15,K117,0)</f>
        <v>0</v>
      </c>
      <c r="AK117" s="13">
        <f>IF(AM117=21,K117,0)</f>
        <v>0</v>
      </c>
      <c r="AM117" s="20">
        <v>15</v>
      </c>
      <c r="AN117" s="20">
        <f>H117*1</f>
        <v>0</v>
      </c>
      <c r="AO117" s="20">
        <f>H117*(1-1)</f>
        <v>0</v>
      </c>
      <c r="AP117" s="17" t="s">
        <v>256</v>
      </c>
      <c r="AU117" s="20">
        <f>AV117+AW117</f>
        <v>0</v>
      </c>
      <c r="AV117" s="20">
        <f>G117*AN117</f>
        <v>0</v>
      </c>
      <c r="AW117" s="20">
        <f>G117*AO117</f>
        <v>0</v>
      </c>
      <c r="AX117" s="21" t="s">
        <v>146</v>
      </c>
      <c r="AY117" s="21" t="s">
        <v>176</v>
      </c>
      <c r="AZ117" s="15" t="s">
        <v>190</v>
      </c>
      <c r="BB117" s="20">
        <f>AV117+AW117</f>
        <v>0</v>
      </c>
      <c r="BC117" s="20">
        <f>H117/(100-BD117)*100</f>
        <v>0</v>
      </c>
      <c r="BD117" s="20">
        <v>0</v>
      </c>
      <c r="BE117" s="20">
        <f>117</f>
        <v>117</v>
      </c>
      <c r="BG117" s="13">
        <f>G117*AN117</f>
        <v>0</v>
      </c>
      <c r="BH117" s="13">
        <f>G117*AO117</f>
        <v>0</v>
      </c>
      <c r="BI117" s="13">
        <f>G117*H117</f>
        <v>0</v>
      </c>
    </row>
    <row r="118" spans="1:11" ht="12.75">
      <c r="A118" s="69"/>
      <c r="B118" s="69"/>
      <c r="C118" s="157" t="s">
        <v>784</v>
      </c>
      <c r="D118" s="150"/>
      <c r="E118" s="150"/>
      <c r="F118" s="69"/>
      <c r="G118" s="70">
        <v>0.12298</v>
      </c>
      <c r="H118" s="69"/>
      <c r="I118" s="69"/>
      <c r="J118" s="69"/>
      <c r="K118" s="69"/>
    </row>
    <row r="119" spans="1:61" ht="12.75">
      <c r="A119" s="67" t="s">
        <v>293</v>
      </c>
      <c r="B119" s="67" t="s">
        <v>510</v>
      </c>
      <c r="C119" s="155" t="s">
        <v>785</v>
      </c>
      <c r="D119" s="156"/>
      <c r="E119" s="156"/>
      <c r="F119" s="67" t="s">
        <v>103</v>
      </c>
      <c r="G119" s="68">
        <v>0.04802</v>
      </c>
      <c r="H119" s="68">
        <v>0</v>
      </c>
      <c r="I119" s="68">
        <f>G119*AN119</f>
        <v>0</v>
      </c>
      <c r="J119" s="68">
        <f>G119*AO119</f>
        <v>0</v>
      </c>
      <c r="K119" s="68">
        <f>G119*H119</f>
        <v>0</v>
      </c>
      <c r="Y119" s="20">
        <f>IF(AP119="5",BI119,0)</f>
        <v>0</v>
      </c>
      <c r="AA119" s="20">
        <f>IF(AP119="1",BG119,0)</f>
        <v>0</v>
      </c>
      <c r="AB119" s="20">
        <f>IF(AP119="1",BH119,0)</f>
        <v>0</v>
      </c>
      <c r="AC119" s="20">
        <f>IF(AP119="7",BG119,0)</f>
        <v>0</v>
      </c>
      <c r="AD119" s="20">
        <f>IF(AP119="7",BH119,0)</f>
        <v>0</v>
      </c>
      <c r="AE119" s="20">
        <f>IF(AP119="2",BG119,0)</f>
        <v>0</v>
      </c>
      <c r="AF119" s="20">
        <f>IF(AP119="2",BH119,0)</f>
        <v>0</v>
      </c>
      <c r="AG119" s="20">
        <f>IF(AP119="0",BI119,0)</f>
        <v>0</v>
      </c>
      <c r="AH119" s="15" t="s">
        <v>135</v>
      </c>
      <c r="AI119" s="13">
        <f>IF(AM119=0,K119,0)</f>
        <v>0</v>
      </c>
      <c r="AJ119" s="13">
        <f>IF(AM119=15,K119,0)</f>
        <v>0</v>
      </c>
      <c r="AK119" s="13">
        <f>IF(AM119=21,K119,0)</f>
        <v>0</v>
      </c>
      <c r="AM119" s="20">
        <v>15</v>
      </c>
      <c r="AN119" s="20">
        <f>H119*1</f>
        <v>0</v>
      </c>
      <c r="AO119" s="20">
        <f>H119*(1-1)</f>
        <v>0</v>
      </c>
      <c r="AP119" s="17" t="s">
        <v>256</v>
      </c>
      <c r="AU119" s="20">
        <f>AV119+AW119</f>
        <v>0</v>
      </c>
      <c r="AV119" s="20">
        <f>G119*AN119</f>
        <v>0</v>
      </c>
      <c r="AW119" s="20">
        <f>G119*AO119</f>
        <v>0</v>
      </c>
      <c r="AX119" s="21" t="s">
        <v>146</v>
      </c>
      <c r="AY119" s="21" t="s">
        <v>176</v>
      </c>
      <c r="AZ119" s="15" t="s">
        <v>190</v>
      </c>
      <c r="BB119" s="20">
        <f>AV119+AW119</f>
        <v>0</v>
      </c>
      <c r="BC119" s="20">
        <f>H119/(100-BD119)*100</f>
        <v>0</v>
      </c>
      <c r="BD119" s="20">
        <v>0</v>
      </c>
      <c r="BE119" s="20">
        <f>119</f>
        <v>119</v>
      </c>
      <c r="BG119" s="13">
        <f>G119*AN119</f>
        <v>0</v>
      </c>
      <c r="BH119" s="13">
        <f>G119*AO119</f>
        <v>0</v>
      </c>
      <c r="BI119" s="13">
        <f>G119*H119</f>
        <v>0</v>
      </c>
    </row>
    <row r="120" spans="1:11" ht="12.75">
      <c r="A120" s="69"/>
      <c r="B120" s="69"/>
      <c r="C120" s="157" t="s">
        <v>786</v>
      </c>
      <c r="D120" s="150"/>
      <c r="E120" s="150"/>
      <c r="F120" s="69"/>
      <c r="G120" s="70">
        <v>0.04802</v>
      </c>
      <c r="H120" s="69"/>
      <c r="I120" s="69"/>
      <c r="J120" s="69"/>
      <c r="K120" s="69"/>
    </row>
    <row r="121" spans="1:61" ht="12.75">
      <c r="A121" s="67" t="s">
        <v>294</v>
      </c>
      <c r="B121" s="67" t="s">
        <v>510</v>
      </c>
      <c r="C121" s="155" t="s">
        <v>787</v>
      </c>
      <c r="D121" s="156"/>
      <c r="E121" s="156"/>
      <c r="F121" s="67" t="s">
        <v>103</v>
      </c>
      <c r="G121" s="68">
        <v>0.02614</v>
      </c>
      <c r="H121" s="68">
        <v>0</v>
      </c>
      <c r="I121" s="68">
        <f>G121*AN121</f>
        <v>0</v>
      </c>
      <c r="J121" s="68">
        <f>G121*AO121</f>
        <v>0</v>
      </c>
      <c r="K121" s="68">
        <f>G121*H121</f>
        <v>0</v>
      </c>
      <c r="Y121" s="20">
        <f>IF(AP121="5",BI121,0)</f>
        <v>0</v>
      </c>
      <c r="AA121" s="20">
        <f>IF(AP121="1",BG121,0)</f>
        <v>0</v>
      </c>
      <c r="AB121" s="20">
        <f>IF(AP121="1",BH121,0)</f>
        <v>0</v>
      </c>
      <c r="AC121" s="20">
        <f>IF(AP121="7",BG121,0)</f>
        <v>0</v>
      </c>
      <c r="AD121" s="20">
        <f>IF(AP121="7",BH121,0)</f>
        <v>0</v>
      </c>
      <c r="AE121" s="20">
        <f>IF(AP121="2",BG121,0)</f>
        <v>0</v>
      </c>
      <c r="AF121" s="20">
        <f>IF(AP121="2",BH121,0)</f>
        <v>0</v>
      </c>
      <c r="AG121" s="20">
        <f>IF(AP121="0",BI121,0)</f>
        <v>0</v>
      </c>
      <c r="AH121" s="15" t="s">
        <v>135</v>
      </c>
      <c r="AI121" s="13">
        <f>IF(AM121=0,K121,0)</f>
        <v>0</v>
      </c>
      <c r="AJ121" s="13">
        <f>IF(AM121=15,K121,0)</f>
        <v>0</v>
      </c>
      <c r="AK121" s="13">
        <f>IF(AM121=21,K121,0)</f>
        <v>0</v>
      </c>
      <c r="AM121" s="20">
        <v>15</v>
      </c>
      <c r="AN121" s="20">
        <f>H121*1</f>
        <v>0</v>
      </c>
      <c r="AO121" s="20">
        <f>H121*(1-1)</f>
        <v>0</v>
      </c>
      <c r="AP121" s="17" t="s">
        <v>256</v>
      </c>
      <c r="AU121" s="20">
        <f>AV121+AW121</f>
        <v>0</v>
      </c>
      <c r="AV121" s="20">
        <f>G121*AN121</f>
        <v>0</v>
      </c>
      <c r="AW121" s="20">
        <f>G121*AO121</f>
        <v>0</v>
      </c>
      <c r="AX121" s="21" t="s">
        <v>146</v>
      </c>
      <c r="AY121" s="21" t="s">
        <v>176</v>
      </c>
      <c r="AZ121" s="15" t="s">
        <v>190</v>
      </c>
      <c r="BB121" s="20">
        <f>AV121+AW121</f>
        <v>0</v>
      </c>
      <c r="BC121" s="20">
        <f>H121/(100-BD121)*100</f>
        <v>0</v>
      </c>
      <c r="BD121" s="20">
        <v>0</v>
      </c>
      <c r="BE121" s="20">
        <f>121</f>
        <v>121</v>
      </c>
      <c r="BG121" s="13">
        <f>G121*AN121</f>
        <v>0</v>
      </c>
      <c r="BH121" s="13">
        <f>G121*AO121</f>
        <v>0</v>
      </c>
      <c r="BI121" s="13">
        <f>G121*H121</f>
        <v>0</v>
      </c>
    </row>
    <row r="122" spans="1:11" ht="12.75">
      <c r="A122" s="69"/>
      <c r="B122" s="69"/>
      <c r="C122" s="157" t="s">
        <v>788</v>
      </c>
      <c r="D122" s="150"/>
      <c r="E122" s="150"/>
      <c r="F122" s="69"/>
      <c r="G122" s="70">
        <v>0.02614</v>
      </c>
      <c r="H122" s="69"/>
      <c r="I122" s="69"/>
      <c r="J122" s="69"/>
      <c r="K122" s="69"/>
    </row>
    <row r="123" spans="1:61" ht="12.75">
      <c r="A123" s="67" t="s">
        <v>295</v>
      </c>
      <c r="B123" s="67" t="s">
        <v>511</v>
      </c>
      <c r="C123" s="155" t="s">
        <v>789</v>
      </c>
      <c r="D123" s="156"/>
      <c r="E123" s="156"/>
      <c r="F123" s="67" t="s">
        <v>103</v>
      </c>
      <c r="G123" s="68">
        <v>0.13066</v>
      </c>
      <c r="H123" s="68">
        <v>0</v>
      </c>
      <c r="I123" s="68">
        <f>G123*AN123</f>
        <v>0</v>
      </c>
      <c r="J123" s="68">
        <f>G123*AO123</f>
        <v>0</v>
      </c>
      <c r="K123" s="68">
        <f>G123*H123</f>
        <v>0</v>
      </c>
      <c r="Y123" s="20">
        <f>IF(AP123="5",BI123,0)</f>
        <v>0</v>
      </c>
      <c r="AA123" s="20">
        <f>IF(AP123="1",BG123,0)</f>
        <v>0</v>
      </c>
      <c r="AB123" s="20">
        <f>IF(AP123="1",BH123,0)</f>
        <v>0</v>
      </c>
      <c r="AC123" s="20">
        <f>IF(AP123="7",BG123,0)</f>
        <v>0</v>
      </c>
      <c r="AD123" s="20">
        <f>IF(AP123="7",BH123,0)</f>
        <v>0</v>
      </c>
      <c r="AE123" s="20">
        <f>IF(AP123="2",BG123,0)</f>
        <v>0</v>
      </c>
      <c r="AF123" s="20">
        <f>IF(AP123="2",BH123,0)</f>
        <v>0</v>
      </c>
      <c r="AG123" s="20">
        <f>IF(AP123="0",BI123,0)</f>
        <v>0</v>
      </c>
      <c r="AH123" s="15" t="s">
        <v>135</v>
      </c>
      <c r="AI123" s="13">
        <f>IF(AM123=0,K123,0)</f>
        <v>0</v>
      </c>
      <c r="AJ123" s="13">
        <f>IF(AM123=15,K123,0)</f>
        <v>0</v>
      </c>
      <c r="AK123" s="13">
        <f>IF(AM123=21,K123,0)</f>
        <v>0</v>
      </c>
      <c r="AM123" s="20">
        <v>15</v>
      </c>
      <c r="AN123" s="20">
        <f>H123*1</f>
        <v>0</v>
      </c>
      <c r="AO123" s="20">
        <f>H123*(1-1)</f>
        <v>0</v>
      </c>
      <c r="AP123" s="17" t="s">
        <v>256</v>
      </c>
      <c r="AU123" s="20">
        <f>AV123+AW123</f>
        <v>0</v>
      </c>
      <c r="AV123" s="20">
        <f>G123*AN123</f>
        <v>0</v>
      </c>
      <c r="AW123" s="20">
        <f>G123*AO123</f>
        <v>0</v>
      </c>
      <c r="AX123" s="21" t="s">
        <v>146</v>
      </c>
      <c r="AY123" s="21" t="s">
        <v>176</v>
      </c>
      <c r="AZ123" s="15" t="s">
        <v>190</v>
      </c>
      <c r="BB123" s="20">
        <f>AV123+AW123</f>
        <v>0</v>
      </c>
      <c r="BC123" s="20">
        <f>H123/(100-BD123)*100</f>
        <v>0</v>
      </c>
      <c r="BD123" s="20">
        <v>0</v>
      </c>
      <c r="BE123" s="20">
        <f>123</f>
        <v>123</v>
      </c>
      <c r="BG123" s="13">
        <f>G123*AN123</f>
        <v>0</v>
      </c>
      <c r="BH123" s="13">
        <f>G123*AO123</f>
        <v>0</v>
      </c>
      <c r="BI123" s="13">
        <f>G123*H123</f>
        <v>0</v>
      </c>
    </row>
    <row r="124" spans="1:11" ht="12.75">
      <c r="A124" s="69"/>
      <c r="B124" s="69"/>
      <c r="C124" s="157" t="s">
        <v>790</v>
      </c>
      <c r="D124" s="150"/>
      <c r="E124" s="150"/>
      <c r="F124" s="69"/>
      <c r="G124" s="70">
        <v>0.13066</v>
      </c>
      <c r="H124" s="69"/>
      <c r="I124" s="69"/>
      <c r="J124" s="69"/>
      <c r="K124" s="69"/>
    </row>
    <row r="125" spans="1:61" ht="12.75">
      <c r="A125" s="67" t="s">
        <v>296</v>
      </c>
      <c r="B125" s="67" t="s">
        <v>511</v>
      </c>
      <c r="C125" s="155" t="s">
        <v>791</v>
      </c>
      <c r="D125" s="156"/>
      <c r="E125" s="156"/>
      <c r="F125" s="67" t="s">
        <v>103</v>
      </c>
      <c r="G125" s="68">
        <v>0.04757</v>
      </c>
      <c r="H125" s="68">
        <v>0</v>
      </c>
      <c r="I125" s="68">
        <f>G125*AN125</f>
        <v>0</v>
      </c>
      <c r="J125" s="68">
        <f>G125*AO125</f>
        <v>0</v>
      </c>
      <c r="K125" s="68">
        <f>G125*H125</f>
        <v>0</v>
      </c>
      <c r="Y125" s="20">
        <f>IF(AP125="5",BI125,0)</f>
        <v>0</v>
      </c>
      <c r="AA125" s="20">
        <f>IF(AP125="1",BG125,0)</f>
        <v>0</v>
      </c>
      <c r="AB125" s="20">
        <f>IF(AP125="1",BH125,0)</f>
        <v>0</v>
      </c>
      <c r="AC125" s="20">
        <f>IF(AP125="7",BG125,0)</f>
        <v>0</v>
      </c>
      <c r="AD125" s="20">
        <f>IF(AP125="7",BH125,0)</f>
        <v>0</v>
      </c>
      <c r="AE125" s="20">
        <f>IF(AP125="2",BG125,0)</f>
        <v>0</v>
      </c>
      <c r="AF125" s="20">
        <f>IF(AP125="2",BH125,0)</f>
        <v>0</v>
      </c>
      <c r="AG125" s="20">
        <f>IF(AP125="0",BI125,0)</f>
        <v>0</v>
      </c>
      <c r="AH125" s="15" t="s">
        <v>135</v>
      </c>
      <c r="AI125" s="13">
        <f>IF(AM125=0,K125,0)</f>
        <v>0</v>
      </c>
      <c r="AJ125" s="13">
        <f>IF(AM125=15,K125,0)</f>
        <v>0</v>
      </c>
      <c r="AK125" s="13">
        <f>IF(AM125=21,K125,0)</f>
        <v>0</v>
      </c>
      <c r="AM125" s="20">
        <v>15</v>
      </c>
      <c r="AN125" s="20">
        <f>H125*1</f>
        <v>0</v>
      </c>
      <c r="AO125" s="20">
        <f>H125*(1-1)</f>
        <v>0</v>
      </c>
      <c r="AP125" s="17" t="s">
        <v>256</v>
      </c>
      <c r="AU125" s="20">
        <f>AV125+AW125</f>
        <v>0</v>
      </c>
      <c r="AV125" s="20">
        <f>G125*AN125</f>
        <v>0</v>
      </c>
      <c r="AW125" s="20">
        <f>G125*AO125</f>
        <v>0</v>
      </c>
      <c r="AX125" s="21" t="s">
        <v>146</v>
      </c>
      <c r="AY125" s="21" t="s">
        <v>176</v>
      </c>
      <c r="AZ125" s="15" t="s">
        <v>190</v>
      </c>
      <c r="BB125" s="20">
        <f>AV125+AW125</f>
        <v>0</v>
      </c>
      <c r="BC125" s="20">
        <f>H125/(100-BD125)*100</f>
        <v>0</v>
      </c>
      <c r="BD125" s="20">
        <v>0</v>
      </c>
      <c r="BE125" s="20">
        <f>125</f>
        <v>125</v>
      </c>
      <c r="BG125" s="13">
        <f>G125*AN125</f>
        <v>0</v>
      </c>
      <c r="BH125" s="13">
        <f>G125*AO125</f>
        <v>0</v>
      </c>
      <c r="BI125" s="13">
        <f>G125*H125</f>
        <v>0</v>
      </c>
    </row>
    <row r="126" spans="1:11" ht="12.75">
      <c r="A126" s="69"/>
      <c r="B126" s="69"/>
      <c r="C126" s="157" t="s">
        <v>792</v>
      </c>
      <c r="D126" s="150"/>
      <c r="E126" s="150"/>
      <c r="F126" s="69"/>
      <c r="G126" s="70">
        <v>0.04757</v>
      </c>
      <c r="H126" s="69"/>
      <c r="I126" s="69"/>
      <c r="J126" s="69"/>
      <c r="K126" s="69"/>
    </row>
    <row r="127" spans="1:46" ht="12.75">
      <c r="A127" s="2"/>
      <c r="B127" s="8" t="s">
        <v>316</v>
      </c>
      <c r="C127" s="142" t="s">
        <v>793</v>
      </c>
      <c r="D127" s="143"/>
      <c r="E127" s="143"/>
      <c r="F127" s="2" t="s">
        <v>255</v>
      </c>
      <c r="G127" s="2" t="s">
        <v>255</v>
      </c>
      <c r="H127" s="2" t="s">
        <v>255</v>
      </c>
      <c r="I127" s="22">
        <f>SUM(I128:I128)</f>
        <v>0</v>
      </c>
      <c r="J127" s="22">
        <f>SUM(J128:J128)</f>
        <v>0</v>
      </c>
      <c r="K127" s="22">
        <f>SUM(K128:K128)</f>
        <v>0</v>
      </c>
      <c r="AH127" s="15" t="s">
        <v>135</v>
      </c>
      <c r="AR127" s="22">
        <f>SUM(AI128:AI128)</f>
        <v>0</v>
      </c>
      <c r="AS127" s="22">
        <f>SUM(AJ128:AJ128)</f>
        <v>0</v>
      </c>
      <c r="AT127" s="22">
        <f>SUM(AK128:AK128)</f>
        <v>0</v>
      </c>
    </row>
    <row r="128" spans="1:61" ht="12.75">
      <c r="A128" s="57" t="s">
        <v>297</v>
      </c>
      <c r="B128" s="57" t="s">
        <v>512</v>
      </c>
      <c r="C128" s="146" t="s">
        <v>794</v>
      </c>
      <c r="D128" s="145"/>
      <c r="E128" s="145"/>
      <c r="F128" s="57" t="s">
        <v>100</v>
      </c>
      <c r="G128" s="58">
        <v>13.481</v>
      </c>
      <c r="H128" s="58">
        <v>0</v>
      </c>
      <c r="I128" s="58">
        <f>G128*AN128</f>
        <v>0</v>
      </c>
      <c r="J128" s="58">
        <f>G128*AO128</f>
        <v>0</v>
      </c>
      <c r="K128" s="58">
        <f>G128*H128</f>
        <v>0</v>
      </c>
      <c r="Y128" s="20">
        <f>IF(AP128="5",BI128,0)</f>
        <v>0</v>
      </c>
      <c r="AA128" s="20">
        <f>IF(AP128="1",BG128,0)</f>
        <v>0</v>
      </c>
      <c r="AB128" s="20">
        <f>IF(AP128="1",BH128,0)</f>
        <v>0</v>
      </c>
      <c r="AC128" s="20">
        <f>IF(AP128="7",BG128,0)</f>
        <v>0</v>
      </c>
      <c r="AD128" s="20">
        <f>IF(AP128="7",BH128,0)</f>
        <v>0</v>
      </c>
      <c r="AE128" s="20">
        <f>IF(AP128="2",BG128,0)</f>
        <v>0</v>
      </c>
      <c r="AF128" s="20">
        <f>IF(AP128="2",BH128,0)</f>
        <v>0</v>
      </c>
      <c r="AG128" s="20">
        <f>IF(AP128="0",BI128,0)</f>
        <v>0</v>
      </c>
      <c r="AH128" s="15" t="s">
        <v>135</v>
      </c>
      <c r="AI128" s="12">
        <f>IF(AM128=0,K128,0)</f>
        <v>0</v>
      </c>
      <c r="AJ128" s="12">
        <f>IF(AM128=15,K128,0)</f>
        <v>0</v>
      </c>
      <c r="AK128" s="12">
        <f>IF(AM128=21,K128,0)</f>
        <v>0</v>
      </c>
      <c r="AM128" s="20">
        <v>15</v>
      </c>
      <c r="AN128" s="20">
        <f>H128*0.262408057039946</f>
        <v>0</v>
      </c>
      <c r="AO128" s="20">
        <f>H128*(1-0.262408057039946)</f>
        <v>0</v>
      </c>
      <c r="AP128" s="16" t="s">
        <v>256</v>
      </c>
      <c r="AU128" s="20">
        <f>AV128+AW128</f>
        <v>0</v>
      </c>
      <c r="AV128" s="20">
        <f>G128*AN128</f>
        <v>0</v>
      </c>
      <c r="AW128" s="20">
        <f>G128*AO128</f>
        <v>0</v>
      </c>
      <c r="AX128" s="21" t="s">
        <v>147</v>
      </c>
      <c r="AY128" s="21" t="s">
        <v>177</v>
      </c>
      <c r="AZ128" s="15" t="s">
        <v>190</v>
      </c>
      <c r="BB128" s="20">
        <f>AV128+AW128</f>
        <v>0</v>
      </c>
      <c r="BC128" s="20">
        <f>H128/(100-BD128)*100</f>
        <v>0</v>
      </c>
      <c r="BD128" s="20">
        <v>0</v>
      </c>
      <c r="BE128" s="20">
        <f>128</f>
        <v>128</v>
      </c>
      <c r="BG128" s="12">
        <f>G128*AN128</f>
        <v>0</v>
      </c>
      <c r="BH128" s="12">
        <f>G128*AO128</f>
        <v>0</v>
      </c>
      <c r="BI128" s="12">
        <f>G128*H128</f>
        <v>0</v>
      </c>
    </row>
    <row r="129" spans="3:5" ht="12.75">
      <c r="C129" s="147" t="s">
        <v>795</v>
      </c>
      <c r="D129" s="148"/>
      <c r="E129" s="148"/>
    </row>
    <row r="130" spans="1:11" ht="12.75">
      <c r="A130" s="59"/>
      <c r="B130" s="59"/>
      <c r="C130" s="149" t="s">
        <v>796</v>
      </c>
      <c r="D130" s="150"/>
      <c r="E130" s="150"/>
      <c r="F130" s="59"/>
      <c r="G130" s="60">
        <v>4.949</v>
      </c>
      <c r="H130" s="59"/>
      <c r="I130" s="59"/>
      <c r="J130" s="59"/>
      <c r="K130" s="59"/>
    </row>
    <row r="131" spans="1:11" ht="12.75">
      <c r="A131" s="59"/>
      <c r="B131" s="59"/>
      <c r="C131" s="149" t="s">
        <v>797</v>
      </c>
      <c r="D131" s="150"/>
      <c r="E131" s="150"/>
      <c r="F131" s="59"/>
      <c r="G131" s="60">
        <v>8.532</v>
      </c>
      <c r="H131" s="59"/>
      <c r="I131" s="59"/>
      <c r="J131" s="59"/>
      <c r="K131" s="59"/>
    </row>
    <row r="132" spans="1:46" ht="12.75">
      <c r="A132" s="2"/>
      <c r="B132" s="8" t="s">
        <v>318</v>
      </c>
      <c r="C132" s="142" t="s">
        <v>798</v>
      </c>
      <c r="D132" s="143"/>
      <c r="E132" s="143"/>
      <c r="F132" s="2" t="s">
        <v>255</v>
      </c>
      <c r="G132" s="2" t="s">
        <v>255</v>
      </c>
      <c r="H132" s="2" t="s">
        <v>255</v>
      </c>
      <c r="I132" s="22">
        <f>SUM(I133:I147)</f>
        <v>0</v>
      </c>
      <c r="J132" s="22">
        <f>SUM(J133:J147)</f>
        <v>0</v>
      </c>
      <c r="K132" s="22">
        <f>SUM(K133:K147)</f>
        <v>0</v>
      </c>
      <c r="AH132" s="15" t="s">
        <v>135</v>
      </c>
      <c r="AR132" s="22">
        <f>SUM(AI133:AI147)</f>
        <v>0</v>
      </c>
      <c r="AS132" s="22">
        <f>SUM(AJ133:AJ147)</f>
        <v>0</v>
      </c>
      <c r="AT132" s="22">
        <f>SUM(AK133:AK147)</f>
        <v>0</v>
      </c>
    </row>
    <row r="133" spans="1:61" ht="12.75">
      <c r="A133" s="57" t="s">
        <v>298</v>
      </c>
      <c r="B133" s="57" t="s">
        <v>513</v>
      </c>
      <c r="C133" s="146" t="s">
        <v>799</v>
      </c>
      <c r="D133" s="145"/>
      <c r="E133" s="145"/>
      <c r="F133" s="57" t="s">
        <v>101</v>
      </c>
      <c r="G133" s="58">
        <v>17.748</v>
      </c>
      <c r="H133" s="58">
        <v>0</v>
      </c>
      <c r="I133" s="58">
        <f>G133*AN133</f>
        <v>0</v>
      </c>
      <c r="J133" s="58">
        <f>G133*AO133</f>
        <v>0</v>
      </c>
      <c r="K133" s="58">
        <f>G133*H133</f>
        <v>0</v>
      </c>
      <c r="Y133" s="20">
        <f>IF(AP133="5",BI133,0)</f>
        <v>0</v>
      </c>
      <c r="AA133" s="20">
        <f>IF(AP133="1",BG133,0)</f>
        <v>0</v>
      </c>
      <c r="AB133" s="20">
        <f>IF(AP133="1",BH133,0)</f>
        <v>0</v>
      </c>
      <c r="AC133" s="20">
        <f>IF(AP133="7",BG133,0)</f>
        <v>0</v>
      </c>
      <c r="AD133" s="20">
        <f>IF(AP133="7",BH133,0)</f>
        <v>0</v>
      </c>
      <c r="AE133" s="20">
        <f>IF(AP133="2",BG133,0)</f>
        <v>0</v>
      </c>
      <c r="AF133" s="20">
        <f>IF(AP133="2",BH133,0)</f>
        <v>0</v>
      </c>
      <c r="AG133" s="20">
        <f>IF(AP133="0",BI133,0)</f>
        <v>0</v>
      </c>
      <c r="AH133" s="15" t="s">
        <v>135</v>
      </c>
      <c r="AI133" s="12">
        <f>IF(AM133=0,K133,0)</f>
        <v>0</v>
      </c>
      <c r="AJ133" s="12">
        <f>IF(AM133=15,K133,0)</f>
        <v>0</v>
      </c>
      <c r="AK133" s="12">
        <f>IF(AM133=21,K133,0)</f>
        <v>0</v>
      </c>
      <c r="AM133" s="20">
        <v>15</v>
      </c>
      <c r="AN133" s="20">
        <f>H133*0.886571039780544</f>
        <v>0</v>
      </c>
      <c r="AO133" s="20">
        <f>H133*(1-0.886571039780544)</f>
        <v>0</v>
      </c>
      <c r="AP133" s="16" t="s">
        <v>256</v>
      </c>
      <c r="AU133" s="20">
        <f>AV133+AW133</f>
        <v>0</v>
      </c>
      <c r="AV133" s="20">
        <f>G133*AN133</f>
        <v>0</v>
      </c>
      <c r="AW133" s="20">
        <f>G133*AO133</f>
        <v>0</v>
      </c>
      <c r="AX133" s="21" t="s">
        <v>148</v>
      </c>
      <c r="AY133" s="21" t="s">
        <v>177</v>
      </c>
      <c r="AZ133" s="15" t="s">
        <v>190</v>
      </c>
      <c r="BB133" s="20">
        <f>AV133+AW133</f>
        <v>0</v>
      </c>
      <c r="BC133" s="20">
        <f>H133/(100-BD133)*100</f>
        <v>0</v>
      </c>
      <c r="BD133" s="20">
        <v>0</v>
      </c>
      <c r="BE133" s="20">
        <f>133</f>
        <v>133</v>
      </c>
      <c r="BG133" s="12">
        <f>G133*AN133</f>
        <v>0</v>
      </c>
      <c r="BH133" s="12">
        <f>G133*AO133</f>
        <v>0</v>
      </c>
      <c r="BI133" s="12">
        <f>G133*H133</f>
        <v>0</v>
      </c>
    </row>
    <row r="134" spans="1:11" ht="12.75">
      <c r="A134" s="59"/>
      <c r="B134" s="59"/>
      <c r="C134" s="149" t="s">
        <v>800</v>
      </c>
      <c r="D134" s="150"/>
      <c r="E134" s="150"/>
      <c r="F134" s="59"/>
      <c r="G134" s="60">
        <v>17.748</v>
      </c>
      <c r="H134" s="59"/>
      <c r="I134" s="59"/>
      <c r="J134" s="59"/>
      <c r="K134" s="59"/>
    </row>
    <row r="135" spans="1:61" ht="12.75">
      <c r="A135" s="57" t="s">
        <v>299</v>
      </c>
      <c r="B135" s="57" t="s">
        <v>514</v>
      </c>
      <c r="C135" s="146" t="s">
        <v>801</v>
      </c>
      <c r="D135" s="145"/>
      <c r="E135" s="145"/>
      <c r="F135" s="57" t="s">
        <v>100</v>
      </c>
      <c r="G135" s="58">
        <v>52.2</v>
      </c>
      <c r="H135" s="58">
        <v>0</v>
      </c>
      <c r="I135" s="58">
        <f>G135*AN135</f>
        <v>0</v>
      </c>
      <c r="J135" s="58">
        <f>G135*AO135</f>
        <v>0</v>
      </c>
      <c r="K135" s="58">
        <f>G135*H135</f>
        <v>0</v>
      </c>
      <c r="Y135" s="20">
        <f>IF(AP135="5",BI135,0)</f>
        <v>0</v>
      </c>
      <c r="AA135" s="20">
        <f>IF(AP135="1",BG135,0)</f>
        <v>0</v>
      </c>
      <c r="AB135" s="20">
        <f>IF(AP135="1",BH135,0)</f>
        <v>0</v>
      </c>
      <c r="AC135" s="20">
        <f>IF(AP135="7",BG135,0)</f>
        <v>0</v>
      </c>
      <c r="AD135" s="20">
        <f>IF(AP135="7",BH135,0)</f>
        <v>0</v>
      </c>
      <c r="AE135" s="20">
        <f>IF(AP135="2",BG135,0)</f>
        <v>0</v>
      </c>
      <c r="AF135" s="20">
        <f>IF(AP135="2",BH135,0)</f>
        <v>0</v>
      </c>
      <c r="AG135" s="20">
        <f>IF(AP135="0",BI135,0)</f>
        <v>0</v>
      </c>
      <c r="AH135" s="15" t="s">
        <v>135</v>
      </c>
      <c r="AI135" s="12">
        <f>IF(AM135=0,K135,0)</f>
        <v>0</v>
      </c>
      <c r="AJ135" s="12">
        <f>IF(AM135=15,K135,0)</f>
        <v>0</v>
      </c>
      <c r="AK135" s="12">
        <f>IF(AM135=21,K135,0)</f>
        <v>0</v>
      </c>
      <c r="AM135" s="20">
        <v>15</v>
      </c>
      <c r="AN135" s="20">
        <f>H135*0.284045079655731</f>
        <v>0</v>
      </c>
      <c r="AO135" s="20">
        <f>H135*(1-0.284045079655731)</f>
        <v>0</v>
      </c>
      <c r="AP135" s="16" t="s">
        <v>256</v>
      </c>
      <c r="AU135" s="20">
        <f>AV135+AW135</f>
        <v>0</v>
      </c>
      <c r="AV135" s="20">
        <f>G135*AN135</f>
        <v>0</v>
      </c>
      <c r="AW135" s="20">
        <f>G135*AO135</f>
        <v>0</v>
      </c>
      <c r="AX135" s="21" t="s">
        <v>148</v>
      </c>
      <c r="AY135" s="21" t="s">
        <v>177</v>
      </c>
      <c r="AZ135" s="15" t="s">
        <v>190</v>
      </c>
      <c r="BB135" s="20">
        <f>AV135+AW135</f>
        <v>0</v>
      </c>
      <c r="BC135" s="20">
        <f>H135/(100-BD135)*100</f>
        <v>0</v>
      </c>
      <c r="BD135" s="20">
        <v>0</v>
      </c>
      <c r="BE135" s="20">
        <f>135</f>
        <v>135</v>
      </c>
      <c r="BG135" s="12">
        <f>G135*AN135</f>
        <v>0</v>
      </c>
      <c r="BH135" s="12">
        <f>G135*AO135</f>
        <v>0</v>
      </c>
      <c r="BI135" s="12">
        <f>G135*H135</f>
        <v>0</v>
      </c>
    </row>
    <row r="136" spans="1:11" ht="12.75">
      <c r="A136" s="59"/>
      <c r="B136" s="59"/>
      <c r="C136" s="149" t="s">
        <v>802</v>
      </c>
      <c r="D136" s="150"/>
      <c r="E136" s="150"/>
      <c r="F136" s="59"/>
      <c r="G136" s="60">
        <v>52.2</v>
      </c>
      <c r="H136" s="59"/>
      <c r="I136" s="59"/>
      <c r="J136" s="59"/>
      <c r="K136" s="59"/>
    </row>
    <row r="137" spans="1:61" ht="12.75">
      <c r="A137" s="57" t="s">
        <v>300</v>
      </c>
      <c r="B137" s="57" t="s">
        <v>515</v>
      </c>
      <c r="C137" s="146" t="s">
        <v>803</v>
      </c>
      <c r="D137" s="145"/>
      <c r="E137" s="145"/>
      <c r="F137" s="57" t="s">
        <v>100</v>
      </c>
      <c r="G137" s="58">
        <v>8.6</v>
      </c>
      <c r="H137" s="58">
        <v>0</v>
      </c>
      <c r="I137" s="58">
        <f>G137*AN137</f>
        <v>0</v>
      </c>
      <c r="J137" s="58">
        <f>G137*AO137</f>
        <v>0</v>
      </c>
      <c r="K137" s="58">
        <f>G137*H137</f>
        <v>0</v>
      </c>
      <c r="Y137" s="20">
        <f>IF(AP137="5",BI137,0)</f>
        <v>0</v>
      </c>
      <c r="AA137" s="20">
        <f>IF(AP137="1",BG137,0)</f>
        <v>0</v>
      </c>
      <c r="AB137" s="20">
        <f>IF(AP137="1",BH137,0)</f>
        <v>0</v>
      </c>
      <c r="AC137" s="20">
        <f>IF(AP137="7",BG137,0)</f>
        <v>0</v>
      </c>
      <c r="AD137" s="20">
        <f>IF(AP137="7",BH137,0)</f>
        <v>0</v>
      </c>
      <c r="AE137" s="20">
        <f>IF(AP137="2",BG137,0)</f>
        <v>0</v>
      </c>
      <c r="AF137" s="20">
        <f>IF(AP137="2",BH137,0)</f>
        <v>0</v>
      </c>
      <c r="AG137" s="20">
        <f>IF(AP137="0",BI137,0)</f>
        <v>0</v>
      </c>
      <c r="AH137" s="15" t="s">
        <v>135</v>
      </c>
      <c r="AI137" s="12">
        <f>IF(AM137=0,K137,0)</f>
        <v>0</v>
      </c>
      <c r="AJ137" s="12">
        <f>IF(AM137=15,K137,0)</f>
        <v>0</v>
      </c>
      <c r="AK137" s="12">
        <f>IF(AM137=21,K137,0)</f>
        <v>0</v>
      </c>
      <c r="AM137" s="20">
        <v>15</v>
      </c>
      <c r="AN137" s="20">
        <f>H137*0.761553414155782</f>
        <v>0</v>
      </c>
      <c r="AO137" s="20">
        <f>H137*(1-0.761553414155782)</f>
        <v>0</v>
      </c>
      <c r="AP137" s="16" t="s">
        <v>256</v>
      </c>
      <c r="AU137" s="20">
        <f>AV137+AW137</f>
        <v>0</v>
      </c>
      <c r="AV137" s="20">
        <f>G137*AN137</f>
        <v>0</v>
      </c>
      <c r="AW137" s="20">
        <f>G137*AO137</f>
        <v>0</v>
      </c>
      <c r="AX137" s="21" t="s">
        <v>148</v>
      </c>
      <c r="AY137" s="21" t="s">
        <v>177</v>
      </c>
      <c r="AZ137" s="15" t="s">
        <v>190</v>
      </c>
      <c r="BB137" s="20">
        <f>AV137+AW137</f>
        <v>0</v>
      </c>
      <c r="BC137" s="20">
        <f>H137/(100-BD137)*100</f>
        <v>0</v>
      </c>
      <c r="BD137" s="20">
        <v>0</v>
      </c>
      <c r="BE137" s="20">
        <f>137</f>
        <v>137</v>
      </c>
      <c r="BG137" s="12">
        <f>G137*AN137</f>
        <v>0</v>
      </c>
      <c r="BH137" s="12">
        <f>G137*AO137</f>
        <v>0</v>
      </c>
      <c r="BI137" s="12">
        <f>G137*H137</f>
        <v>0</v>
      </c>
    </row>
    <row r="138" spans="1:11" ht="12.75">
      <c r="A138" s="59"/>
      <c r="B138" s="59"/>
      <c r="C138" s="149" t="s">
        <v>804</v>
      </c>
      <c r="D138" s="150"/>
      <c r="E138" s="150"/>
      <c r="F138" s="59"/>
      <c r="G138" s="60">
        <v>8.6</v>
      </c>
      <c r="H138" s="59"/>
      <c r="I138" s="59"/>
      <c r="J138" s="59"/>
      <c r="K138" s="59"/>
    </row>
    <row r="139" spans="1:61" ht="12.75">
      <c r="A139" s="57" t="s">
        <v>301</v>
      </c>
      <c r="B139" s="57" t="s">
        <v>516</v>
      </c>
      <c r="C139" s="146" t="s">
        <v>805</v>
      </c>
      <c r="D139" s="145"/>
      <c r="E139" s="145"/>
      <c r="F139" s="57" t="s">
        <v>100</v>
      </c>
      <c r="G139" s="58">
        <v>9.03</v>
      </c>
      <c r="H139" s="58">
        <v>0</v>
      </c>
      <c r="I139" s="58">
        <f>G139*AN139</f>
        <v>0</v>
      </c>
      <c r="J139" s="58">
        <f>G139*AO139</f>
        <v>0</v>
      </c>
      <c r="K139" s="58">
        <f>G139*H139</f>
        <v>0</v>
      </c>
      <c r="Y139" s="20">
        <f>IF(AP139="5",BI139,0)</f>
        <v>0</v>
      </c>
      <c r="AA139" s="20">
        <f>IF(AP139="1",BG139,0)</f>
        <v>0</v>
      </c>
      <c r="AB139" s="20">
        <f>IF(AP139="1",BH139,0)</f>
        <v>0</v>
      </c>
      <c r="AC139" s="20">
        <f>IF(AP139="7",BG139,0)</f>
        <v>0</v>
      </c>
      <c r="AD139" s="20">
        <f>IF(AP139="7",BH139,0)</f>
        <v>0</v>
      </c>
      <c r="AE139" s="20">
        <f>IF(AP139="2",BG139,0)</f>
        <v>0</v>
      </c>
      <c r="AF139" s="20">
        <f>IF(AP139="2",BH139,0)</f>
        <v>0</v>
      </c>
      <c r="AG139" s="20">
        <f>IF(AP139="0",BI139,0)</f>
        <v>0</v>
      </c>
      <c r="AH139" s="15" t="s">
        <v>135</v>
      </c>
      <c r="AI139" s="12">
        <f>IF(AM139=0,K139,0)</f>
        <v>0</v>
      </c>
      <c r="AJ139" s="12">
        <f>IF(AM139=15,K139,0)</f>
        <v>0</v>
      </c>
      <c r="AK139" s="12">
        <f>IF(AM139=21,K139,0)</f>
        <v>0</v>
      </c>
      <c r="AM139" s="20">
        <v>15</v>
      </c>
      <c r="AN139" s="20">
        <f>H139*0.76319890128892</f>
        <v>0</v>
      </c>
      <c r="AO139" s="20">
        <f>H139*(1-0.76319890128892)</f>
        <v>0</v>
      </c>
      <c r="AP139" s="16" t="s">
        <v>256</v>
      </c>
      <c r="AU139" s="20">
        <f>AV139+AW139</f>
        <v>0</v>
      </c>
      <c r="AV139" s="20">
        <f>G139*AN139</f>
        <v>0</v>
      </c>
      <c r="AW139" s="20">
        <f>G139*AO139</f>
        <v>0</v>
      </c>
      <c r="AX139" s="21" t="s">
        <v>148</v>
      </c>
      <c r="AY139" s="21" t="s">
        <v>177</v>
      </c>
      <c r="AZ139" s="15" t="s">
        <v>190</v>
      </c>
      <c r="BB139" s="20">
        <f>AV139+AW139</f>
        <v>0</v>
      </c>
      <c r="BC139" s="20">
        <f>H139/(100-BD139)*100</f>
        <v>0</v>
      </c>
      <c r="BD139" s="20">
        <v>0</v>
      </c>
      <c r="BE139" s="20">
        <f>139</f>
        <v>139</v>
      </c>
      <c r="BG139" s="12">
        <f>G139*AN139</f>
        <v>0</v>
      </c>
      <c r="BH139" s="12">
        <f>G139*AO139</f>
        <v>0</v>
      </c>
      <c r="BI139" s="12">
        <f>G139*H139</f>
        <v>0</v>
      </c>
    </row>
    <row r="140" spans="3:5" ht="12.75">
      <c r="C140" s="147" t="s">
        <v>806</v>
      </c>
      <c r="D140" s="148"/>
      <c r="E140" s="148"/>
    </row>
    <row r="141" spans="1:11" ht="12.75">
      <c r="A141" s="59"/>
      <c r="B141" s="59"/>
      <c r="C141" s="149" t="s">
        <v>807</v>
      </c>
      <c r="D141" s="150"/>
      <c r="E141" s="150"/>
      <c r="F141" s="59"/>
      <c r="G141" s="60">
        <v>9.03</v>
      </c>
      <c r="H141" s="59"/>
      <c r="I141" s="59"/>
      <c r="J141" s="59"/>
      <c r="K141" s="59"/>
    </row>
    <row r="142" spans="1:61" ht="12.75">
      <c r="A142" s="57" t="s">
        <v>302</v>
      </c>
      <c r="B142" s="57" t="s">
        <v>517</v>
      </c>
      <c r="C142" s="146" t="s">
        <v>808</v>
      </c>
      <c r="D142" s="145"/>
      <c r="E142" s="145"/>
      <c r="F142" s="57" t="s">
        <v>102</v>
      </c>
      <c r="G142" s="58">
        <v>3.23</v>
      </c>
      <c r="H142" s="58">
        <v>0</v>
      </c>
      <c r="I142" s="58">
        <f>G142*AN142</f>
        <v>0</v>
      </c>
      <c r="J142" s="58">
        <f>G142*AO142</f>
        <v>0</v>
      </c>
      <c r="K142" s="58">
        <f>G142*H142</f>
        <v>0</v>
      </c>
      <c r="Y142" s="20">
        <f>IF(AP142="5",BI142,0)</f>
        <v>0</v>
      </c>
      <c r="AA142" s="20">
        <f>IF(AP142="1",BG142,0)</f>
        <v>0</v>
      </c>
      <c r="AB142" s="20">
        <f>IF(AP142="1",BH142,0)</f>
        <v>0</v>
      </c>
      <c r="AC142" s="20">
        <f>IF(AP142="7",BG142,0)</f>
        <v>0</v>
      </c>
      <c r="AD142" s="20">
        <f>IF(AP142="7",BH142,0)</f>
        <v>0</v>
      </c>
      <c r="AE142" s="20">
        <f>IF(AP142="2",BG142,0)</f>
        <v>0</v>
      </c>
      <c r="AF142" s="20">
        <f>IF(AP142="2",BH142,0)</f>
        <v>0</v>
      </c>
      <c r="AG142" s="20">
        <f>IF(AP142="0",BI142,0)</f>
        <v>0</v>
      </c>
      <c r="AH142" s="15" t="s">
        <v>135</v>
      </c>
      <c r="AI142" s="12">
        <f>IF(AM142=0,K142,0)</f>
        <v>0</v>
      </c>
      <c r="AJ142" s="12">
        <f>IF(AM142=15,K142,0)</f>
        <v>0</v>
      </c>
      <c r="AK142" s="12">
        <f>IF(AM142=21,K142,0)</f>
        <v>0</v>
      </c>
      <c r="AM142" s="20">
        <v>15</v>
      </c>
      <c r="AN142" s="20">
        <f>H142*0.768643457382953</f>
        <v>0</v>
      </c>
      <c r="AO142" s="20">
        <f>H142*(1-0.768643457382953)</f>
        <v>0</v>
      </c>
      <c r="AP142" s="16" t="s">
        <v>256</v>
      </c>
      <c r="AU142" s="20">
        <f>AV142+AW142</f>
        <v>0</v>
      </c>
      <c r="AV142" s="20">
        <f>G142*AN142</f>
        <v>0</v>
      </c>
      <c r="AW142" s="20">
        <f>G142*AO142</f>
        <v>0</v>
      </c>
      <c r="AX142" s="21" t="s">
        <v>148</v>
      </c>
      <c r="AY142" s="21" t="s">
        <v>177</v>
      </c>
      <c r="AZ142" s="15" t="s">
        <v>190</v>
      </c>
      <c r="BB142" s="20">
        <f>AV142+AW142</f>
        <v>0</v>
      </c>
      <c r="BC142" s="20">
        <f>H142/(100-BD142)*100</f>
        <v>0</v>
      </c>
      <c r="BD142" s="20">
        <v>0</v>
      </c>
      <c r="BE142" s="20">
        <f>142</f>
        <v>142</v>
      </c>
      <c r="BG142" s="12">
        <f>G142*AN142</f>
        <v>0</v>
      </c>
      <c r="BH142" s="12">
        <f>G142*AO142</f>
        <v>0</v>
      </c>
      <c r="BI142" s="12">
        <f>G142*H142</f>
        <v>0</v>
      </c>
    </row>
    <row r="143" spans="3:5" ht="36" customHeight="1">
      <c r="C143" s="147" t="s">
        <v>809</v>
      </c>
      <c r="D143" s="148"/>
      <c r="E143" s="148"/>
    </row>
    <row r="144" spans="1:11" ht="12.75">
      <c r="A144" s="59"/>
      <c r="B144" s="59"/>
      <c r="C144" s="149" t="s">
        <v>810</v>
      </c>
      <c r="D144" s="150"/>
      <c r="E144" s="150"/>
      <c r="F144" s="59"/>
      <c r="G144" s="60">
        <v>3.23</v>
      </c>
      <c r="H144" s="59"/>
      <c r="I144" s="59"/>
      <c r="J144" s="59"/>
      <c r="K144" s="59"/>
    </row>
    <row r="145" spans="1:61" ht="12.75">
      <c r="A145" s="67" t="s">
        <v>303</v>
      </c>
      <c r="B145" s="67" t="s">
        <v>518</v>
      </c>
      <c r="C145" s="155" t="s">
        <v>811</v>
      </c>
      <c r="D145" s="156"/>
      <c r="E145" s="156"/>
      <c r="F145" s="67" t="s">
        <v>104</v>
      </c>
      <c r="G145" s="68">
        <v>4</v>
      </c>
      <c r="H145" s="68">
        <v>0</v>
      </c>
      <c r="I145" s="68">
        <f>G145*AN145</f>
        <v>0</v>
      </c>
      <c r="J145" s="68">
        <f>G145*AO145</f>
        <v>0</v>
      </c>
      <c r="K145" s="68">
        <f>G145*H145</f>
        <v>0</v>
      </c>
      <c r="Y145" s="20">
        <f>IF(AP145="5",BI145,0)</f>
        <v>0</v>
      </c>
      <c r="AA145" s="20">
        <f>IF(AP145="1",BG145,0)</f>
        <v>0</v>
      </c>
      <c r="AB145" s="20">
        <f>IF(AP145="1",BH145,0)</f>
        <v>0</v>
      </c>
      <c r="AC145" s="20">
        <f>IF(AP145="7",BG145,0)</f>
        <v>0</v>
      </c>
      <c r="AD145" s="20">
        <f>IF(AP145="7",BH145,0)</f>
        <v>0</v>
      </c>
      <c r="AE145" s="20">
        <f>IF(AP145="2",BG145,0)</f>
        <v>0</v>
      </c>
      <c r="AF145" s="20">
        <f>IF(AP145="2",BH145,0)</f>
        <v>0</v>
      </c>
      <c r="AG145" s="20">
        <f>IF(AP145="0",BI145,0)</f>
        <v>0</v>
      </c>
      <c r="AH145" s="15" t="s">
        <v>135</v>
      </c>
      <c r="AI145" s="13">
        <f>IF(AM145=0,K145,0)</f>
        <v>0</v>
      </c>
      <c r="AJ145" s="13">
        <f>IF(AM145=15,K145,0)</f>
        <v>0</v>
      </c>
      <c r="AK145" s="13">
        <f>IF(AM145=21,K145,0)</f>
        <v>0</v>
      </c>
      <c r="AM145" s="20">
        <v>15</v>
      </c>
      <c r="AN145" s="20">
        <f>H145*1</f>
        <v>0</v>
      </c>
      <c r="AO145" s="20">
        <f>H145*(1-1)</f>
        <v>0</v>
      </c>
      <c r="AP145" s="17" t="s">
        <v>256</v>
      </c>
      <c r="AU145" s="20">
        <f>AV145+AW145</f>
        <v>0</v>
      </c>
      <c r="AV145" s="20">
        <f>G145*AN145</f>
        <v>0</v>
      </c>
      <c r="AW145" s="20">
        <f>G145*AO145</f>
        <v>0</v>
      </c>
      <c r="AX145" s="21" t="s">
        <v>148</v>
      </c>
      <c r="AY145" s="21" t="s">
        <v>177</v>
      </c>
      <c r="AZ145" s="15" t="s">
        <v>190</v>
      </c>
      <c r="BB145" s="20">
        <f>AV145+AW145</f>
        <v>0</v>
      </c>
      <c r="BC145" s="20">
        <f>H145/(100-BD145)*100</f>
        <v>0</v>
      </c>
      <c r="BD145" s="20">
        <v>0</v>
      </c>
      <c r="BE145" s="20">
        <f>145</f>
        <v>145</v>
      </c>
      <c r="BG145" s="13">
        <f>G145*AN145</f>
        <v>0</v>
      </c>
      <c r="BH145" s="13">
        <f>G145*AO145</f>
        <v>0</v>
      </c>
      <c r="BI145" s="13">
        <f>G145*H145</f>
        <v>0</v>
      </c>
    </row>
    <row r="146" spans="1:11" ht="12.75">
      <c r="A146" s="69"/>
      <c r="B146" s="69"/>
      <c r="C146" s="157" t="s">
        <v>812</v>
      </c>
      <c r="D146" s="150"/>
      <c r="E146" s="150"/>
      <c r="F146" s="69"/>
      <c r="G146" s="70">
        <v>4</v>
      </c>
      <c r="H146" s="69"/>
      <c r="I146" s="69"/>
      <c r="J146" s="69"/>
      <c r="K146" s="69"/>
    </row>
    <row r="147" spans="1:61" ht="12.75">
      <c r="A147" s="67" t="s">
        <v>304</v>
      </c>
      <c r="B147" s="67" t="s">
        <v>519</v>
      </c>
      <c r="C147" s="155" t="s">
        <v>813</v>
      </c>
      <c r="D147" s="156"/>
      <c r="E147" s="156"/>
      <c r="F147" s="67" t="s">
        <v>104</v>
      </c>
      <c r="G147" s="68">
        <v>4</v>
      </c>
      <c r="H147" s="68">
        <v>0</v>
      </c>
      <c r="I147" s="68">
        <f>G147*AN147</f>
        <v>0</v>
      </c>
      <c r="J147" s="68">
        <f>G147*AO147</f>
        <v>0</v>
      </c>
      <c r="K147" s="68">
        <f>G147*H147</f>
        <v>0</v>
      </c>
      <c r="Y147" s="20">
        <f>IF(AP147="5",BI147,0)</f>
        <v>0</v>
      </c>
      <c r="AA147" s="20">
        <f>IF(AP147="1",BG147,0)</f>
        <v>0</v>
      </c>
      <c r="AB147" s="20">
        <f>IF(AP147="1",BH147,0)</f>
        <v>0</v>
      </c>
      <c r="AC147" s="20">
        <f>IF(AP147="7",BG147,0)</f>
        <v>0</v>
      </c>
      <c r="AD147" s="20">
        <f>IF(AP147="7",BH147,0)</f>
        <v>0</v>
      </c>
      <c r="AE147" s="20">
        <f>IF(AP147="2",BG147,0)</f>
        <v>0</v>
      </c>
      <c r="AF147" s="20">
        <f>IF(AP147="2",BH147,0)</f>
        <v>0</v>
      </c>
      <c r="AG147" s="20">
        <f>IF(AP147="0",BI147,0)</f>
        <v>0</v>
      </c>
      <c r="AH147" s="15" t="s">
        <v>135</v>
      </c>
      <c r="AI147" s="13">
        <f>IF(AM147=0,K147,0)</f>
        <v>0</v>
      </c>
      <c r="AJ147" s="13">
        <f>IF(AM147=15,K147,0)</f>
        <v>0</v>
      </c>
      <c r="AK147" s="13">
        <f>IF(AM147=21,K147,0)</f>
        <v>0</v>
      </c>
      <c r="AM147" s="20">
        <v>15</v>
      </c>
      <c r="AN147" s="20">
        <f>H147*1</f>
        <v>0</v>
      </c>
      <c r="AO147" s="20">
        <f>H147*(1-1)</f>
        <v>0</v>
      </c>
      <c r="AP147" s="17" t="s">
        <v>256</v>
      </c>
      <c r="AU147" s="20">
        <f>AV147+AW147</f>
        <v>0</v>
      </c>
      <c r="AV147" s="20">
        <f>G147*AN147</f>
        <v>0</v>
      </c>
      <c r="AW147" s="20">
        <f>G147*AO147</f>
        <v>0</v>
      </c>
      <c r="AX147" s="21" t="s">
        <v>148</v>
      </c>
      <c r="AY147" s="21" t="s">
        <v>177</v>
      </c>
      <c r="AZ147" s="15" t="s">
        <v>190</v>
      </c>
      <c r="BB147" s="20">
        <f>AV147+AW147</f>
        <v>0</v>
      </c>
      <c r="BC147" s="20">
        <f>H147/(100-BD147)*100</f>
        <v>0</v>
      </c>
      <c r="BD147" s="20">
        <v>0</v>
      </c>
      <c r="BE147" s="20">
        <f>147</f>
        <v>147</v>
      </c>
      <c r="BG147" s="13">
        <f>G147*AN147</f>
        <v>0</v>
      </c>
      <c r="BH147" s="13">
        <f>G147*AO147</f>
        <v>0</v>
      </c>
      <c r="BI147" s="13">
        <f>G147*H147</f>
        <v>0</v>
      </c>
    </row>
    <row r="148" spans="1:11" ht="12.75">
      <c r="A148" s="69"/>
      <c r="B148" s="69"/>
      <c r="C148" s="157" t="s">
        <v>812</v>
      </c>
      <c r="D148" s="150"/>
      <c r="E148" s="150"/>
      <c r="F148" s="69"/>
      <c r="G148" s="70">
        <v>4</v>
      </c>
      <c r="H148" s="69"/>
      <c r="I148" s="69"/>
      <c r="J148" s="69"/>
      <c r="K148" s="69"/>
    </row>
    <row r="149" spans="1:46" ht="12.75">
      <c r="A149" s="2"/>
      <c r="B149" s="8" t="s">
        <v>319</v>
      </c>
      <c r="C149" s="142" t="s">
        <v>814</v>
      </c>
      <c r="D149" s="143"/>
      <c r="E149" s="143"/>
      <c r="F149" s="2" t="s">
        <v>255</v>
      </c>
      <c r="G149" s="2" t="s">
        <v>255</v>
      </c>
      <c r="H149" s="2" t="s">
        <v>255</v>
      </c>
      <c r="I149" s="22">
        <f>SUM(I150:I152)</f>
        <v>0</v>
      </c>
      <c r="J149" s="22">
        <f>SUM(J150:J152)</f>
        <v>0</v>
      </c>
      <c r="K149" s="22">
        <f>SUM(K150:K152)</f>
        <v>0</v>
      </c>
      <c r="AH149" s="15" t="s">
        <v>135</v>
      </c>
      <c r="AR149" s="22">
        <f>SUM(AI150:AI152)</f>
        <v>0</v>
      </c>
      <c r="AS149" s="22">
        <f>SUM(AJ150:AJ152)</f>
        <v>0</v>
      </c>
      <c r="AT149" s="22">
        <f>SUM(AK150:AK152)</f>
        <v>0</v>
      </c>
    </row>
    <row r="150" spans="1:61" ht="12.75">
      <c r="A150" s="57" t="s">
        <v>305</v>
      </c>
      <c r="B150" s="57" t="s">
        <v>520</v>
      </c>
      <c r="C150" s="146" t="s">
        <v>815</v>
      </c>
      <c r="D150" s="145"/>
      <c r="E150" s="145"/>
      <c r="F150" s="57" t="s">
        <v>104</v>
      </c>
      <c r="G150" s="58">
        <v>1</v>
      </c>
      <c r="H150" s="58">
        <v>0</v>
      </c>
      <c r="I150" s="58">
        <f>G150*AN150</f>
        <v>0</v>
      </c>
      <c r="J150" s="58">
        <f>G150*AO150</f>
        <v>0</v>
      </c>
      <c r="K150" s="58">
        <f>G150*H150</f>
        <v>0</v>
      </c>
      <c r="Y150" s="20">
        <f>IF(AP150="5",BI150,0)</f>
        <v>0</v>
      </c>
      <c r="AA150" s="20">
        <f>IF(AP150="1",BG150,0)</f>
        <v>0</v>
      </c>
      <c r="AB150" s="20">
        <f>IF(AP150="1",BH150,0)</f>
        <v>0</v>
      </c>
      <c r="AC150" s="20">
        <f>IF(AP150="7",BG150,0)</f>
        <v>0</v>
      </c>
      <c r="AD150" s="20">
        <f>IF(AP150="7",BH150,0)</f>
        <v>0</v>
      </c>
      <c r="AE150" s="20">
        <f>IF(AP150="2",BG150,0)</f>
        <v>0</v>
      </c>
      <c r="AF150" s="20">
        <f>IF(AP150="2",BH150,0)</f>
        <v>0</v>
      </c>
      <c r="AG150" s="20">
        <f>IF(AP150="0",BI150,0)</f>
        <v>0</v>
      </c>
      <c r="AH150" s="15" t="s">
        <v>135</v>
      </c>
      <c r="AI150" s="12">
        <f>IF(AM150=0,K150,0)</f>
        <v>0</v>
      </c>
      <c r="AJ150" s="12">
        <f>IF(AM150=15,K150,0)</f>
        <v>0</v>
      </c>
      <c r="AK150" s="12">
        <f>IF(AM150=21,K150,0)</f>
        <v>0</v>
      </c>
      <c r="AM150" s="20">
        <v>15</v>
      </c>
      <c r="AN150" s="20">
        <f>H150*0.0214087759815242</f>
        <v>0</v>
      </c>
      <c r="AO150" s="20">
        <f>H150*(1-0.0214087759815242)</f>
        <v>0</v>
      </c>
      <c r="AP150" s="16" t="s">
        <v>256</v>
      </c>
      <c r="AU150" s="20">
        <f>AV150+AW150</f>
        <v>0</v>
      </c>
      <c r="AV150" s="20">
        <f>G150*AN150</f>
        <v>0</v>
      </c>
      <c r="AW150" s="20">
        <f>G150*AO150</f>
        <v>0</v>
      </c>
      <c r="AX150" s="21" t="s">
        <v>149</v>
      </c>
      <c r="AY150" s="21" t="s">
        <v>177</v>
      </c>
      <c r="AZ150" s="15" t="s">
        <v>190</v>
      </c>
      <c r="BB150" s="20">
        <f>AV150+AW150</f>
        <v>0</v>
      </c>
      <c r="BC150" s="20">
        <f>H150/(100-BD150)*100</f>
        <v>0</v>
      </c>
      <c r="BD150" s="20">
        <v>0</v>
      </c>
      <c r="BE150" s="20">
        <f>150</f>
        <v>150</v>
      </c>
      <c r="BG150" s="12">
        <f>G150*AN150</f>
        <v>0</v>
      </c>
      <c r="BH150" s="12">
        <f>G150*AO150</f>
        <v>0</v>
      </c>
      <c r="BI150" s="12">
        <f>G150*H150</f>
        <v>0</v>
      </c>
    </row>
    <row r="151" spans="1:11" ht="12.75">
      <c r="A151" s="59"/>
      <c r="B151" s="59"/>
      <c r="C151" s="149" t="s">
        <v>816</v>
      </c>
      <c r="D151" s="150"/>
      <c r="E151" s="150"/>
      <c r="F151" s="59"/>
      <c r="G151" s="60">
        <v>1</v>
      </c>
      <c r="H151" s="59"/>
      <c r="I151" s="59"/>
      <c r="J151" s="59"/>
      <c r="K151" s="59"/>
    </row>
    <row r="152" spans="1:61" ht="12.75">
      <c r="A152" s="67" t="s">
        <v>306</v>
      </c>
      <c r="B152" s="67" t="s">
        <v>521</v>
      </c>
      <c r="C152" s="155" t="s">
        <v>817</v>
      </c>
      <c r="D152" s="156"/>
      <c r="E152" s="156"/>
      <c r="F152" s="67" t="s">
        <v>104</v>
      </c>
      <c r="G152" s="68">
        <v>1</v>
      </c>
      <c r="H152" s="68">
        <v>0</v>
      </c>
      <c r="I152" s="68">
        <f>G152*AN152</f>
        <v>0</v>
      </c>
      <c r="J152" s="68">
        <f>G152*AO152</f>
        <v>0</v>
      </c>
      <c r="K152" s="68">
        <f>G152*H152</f>
        <v>0</v>
      </c>
      <c r="Y152" s="20">
        <f>IF(AP152="5",BI152,0)</f>
        <v>0</v>
      </c>
      <c r="AA152" s="20">
        <f>IF(AP152="1",BG152,0)</f>
        <v>0</v>
      </c>
      <c r="AB152" s="20">
        <f>IF(AP152="1",BH152,0)</f>
        <v>0</v>
      </c>
      <c r="AC152" s="20">
        <f>IF(AP152="7",BG152,0)</f>
        <v>0</v>
      </c>
      <c r="AD152" s="20">
        <f>IF(AP152="7",BH152,0)</f>
        <v>0</v>
      </c>
      <c r="AE152" s="20">
        <f>IF(AP152="2",BG152,0)</f>
        <v>0</v>
      </c>
      <c r="AF152" s="20">
        <f>IF(AP152="2",BH152,0)</f>
        <v>0</v>
      </c>
      <c r="AG152" s="20">
        <f>IF(AP152="0",BI152,0)</f>
        <v>0</v>
      </c>
      <c r="AH152" s="15" t="s">
        <v>135</v>
      </c>
      <c r="AI152" s="13">
        <f>IF(AM152=0,K152,0)</f>
        <v>0</v>
      </c>
      <c r="AJ152" s="13">
        <f>IF(AM152=15,K152,0)</f>
        <v>0</v>
      </c>
      <c r="AK152" s="13">
        <f>IF(AM152=21,K152,0)</f>
        <v>0</v>
      </c>
      <c r="AM152" s="20">
        <v>15</v>
      </c>
      <c r="AN152" s="20">
        <f>H152*1</f>
        <v>0</v>
      </c>
      <c r="AO152" s="20">
        <f>H152*(1-1)</f>
        <v>0</v>
      </c>
      <c r="AP152" s="17" t="s">
        <v>256</v>
      </c>
      <c r="AU152" s="20">
        <f>AV152+AW152</f>
        <v>0</v>
      </c>
      <c r="AV152" s="20">
        <f>G152*AN152</f>
        <v>0</v>
      </c>
      <c r="AW152" s="20">
        <f>G152*AO152</f>
        <v>0</v>
      </c>
      <c r="AX152" s="21" t="s">
        <v>149</v>
      </c>
      <c r="AY152" s="21" t="s">
        <v>177</v>
      </c>
      <c r="AZ152" s="15" t="s">
        <v>190</v>
      </c>
      <c r="BB152" s="20">
        <f>AV152+AW152</f>
        <v>0</v>
      </c>
      <c r="BC152" s="20">
        <f>H152/(100-BD152)*100</f>
        <v>0</v>
      </c>
      <c r="BD152" s="20">
        <v>0</v>
      </c>
      <c r="BE152" s="20">
        <f>152</f>
        <v>152</v>
      </c>
      <c r="BG152" s="13">
        <f>G152*AN152</f>
        <v>0</v>
      </c>
      <c r="BH152" s="13">
        <f>G152*AO152</f>
        <v>0</v>
      </c>
      <c r="BI152" s="13">
        <f>G152*H152</f>
        <v>0</v>
      </c>
    </row>
    <row r="153" spans="1:11" ht="12.75">
      <c r="A153" s="69"/>
      <c r="B153" s="69"/>
      <c r="C153" s="157" t="s">
        <v>816</v>
      </c>
      <c r="D153" s="150"/>
      <c r="E153" s="150"/>
      <c r="F153" s="69"/>
      <c r="G153" s="70">
        <v>1</v>
      </c>
      <c r="H153" s="69"/>
      <c r="I153" s="69"/>
      <c r="J153" s="69"/>
      <c r="K153" s="69"/>
    </row>
    <row r="154" spans="1:46" ht="12.75">
      <c r="A154" s="2"/>
      <c r="B154" s="8" t="s">
        <v>522</v>
      </c>
      <c r="C154" s="142" t="s">
        <v>818</v>
      </c>
      <c r="D154" s="143"/>
      <c r="E154" s="143"/>
      <c r="F154" s="2" t="s">
        <v>255</v>
      </c>
      <c r="G154" s="2" t="s">
        <v>255</v>
      </c>
      <c r="H154" s="2" t="s">
        <v>255</v>
      </c>
      <c r="I154" s="22">
        <f>SUM(I155:I159)</f>
        <v>0</v>
      </c>
      <c r="J154" s="22">
        <f>SUM(J155:J159)</f>
        <v>0</v>
      </c>
      <c r="K154" s="22">
        <f>SUM(K155:K159)</f>
        <v>0</v>
      </c>
      <c r="AH154" s="15" t="s">
        <v>135</v>
      </c>
      <c r="AR154" s="22">
        <f>SUM(AI155:AI159)</f>
        <v>0</v>
      </c>
      <c r="AS154" s="22">
        <f>SUM(AJ155:AJ159)</f>
        <v>0</v>
      </c>
      <c r="AT154" s="22">
        <f>SUM(AK155:AK159)</f>
        <v>0</v>
      </c>
    </row>
    <row r="155" spans="1:61" ht="12.75">
      <c r="A155" s="57" t="s">
        <v>307</v>
      </c>
      <c r="B155" s="57" t="s">
        <v>523</v>
      </c>
      <c r="C155" s="146" t="s">
        <v>819</v>
      </c>
      <c r="D155" s="145"/>
      <c r="E155" s="145"/>
      <c r="F155" s="57" t="s">
        <v>100</v>
      </c>
      <c r="G155" s="58">
        <v>8.6</v>
      </c>
      <c r="H155" s="58">
        <v>0</v>
      </c>
      <c r="I155" s="58">
        <f>G155*AN155</f>
        <v>0</v>
      </c>
      <c r="J155" s="58">
        <f>G155*AO155</f>
        <v>0</v>
      </c>
      <c r="K155" s="58">
        <f>G155*H155</f>
        <v>0</v>
      </c>
      <c r="Y155" s="20">
        <f>IF(AP155="5",BI155,0)</f>
        <v>0</v>
      </c>
      <c r="AA155" s="20">
        <f>IF(AP155="1",BG155,0)</f>
        <v>0</v>
      </c>
      <c r="AB155" s="20">
        <f>IF(AP155="1",BH155,0)</f>
        <v>0</v>
      </c>
      <c r="AC155" s="20">
        <f>IF(AP155="7",BG155,0)</f>
        <v>0</v>
      </c>
      <c r="AD155" s="20">
        <f>IF(AP155="7",BH155,0)</f>
        <v>0</v>
      </c>
      <c r="AE155" s="20">
        <f>IF(AP155="2",BG155,0)</f>
        <v>0</v>
      </c>
      <c r="AF155" s="20">
        <f>IF(AP155="2",BH155,0)</f>
        <v>0</v>
      </c>
      <c r="AG155" s="20">
        <f>IF(AP155="0",BI155,0)</f>
        <v>0</v>
      </c>
      <c r="AH155" s="15" t="s">
        <v>135</v>
      </c>
      <c r="AI155" s="12">
        <f>IF(AM155=0,K155,0)</f>
        <v>0</v>
      </c>
      <c r="AJ155" s="12">
        <f>IF(AM155=15,K155,0)</f>
        <v>0</v>
      </c>
      <c r="AK155" s="12">
        <f>IF(AM155=21,K155,0)</f>
        <v>0</v>
      </c>
      <c r="AM155" s="20">
        <v>15</v>
      </c>
      <c r="AN155" s="20">
        <f>H155*0</f>
        <v>0</v>
      </c>
      <c r="AO155" s="20">
        <f>H155*(1-0)</f>
        <v>0</v>
      </c>
      <c r="AP155" s="16" t="s">
        <v>262</v>
      </c>
      <c r="AU155" s="20">
        <f>AV155+AW155</f>
        <v>0</v>
      </c>
      <c r="AV155" s="20">
        <f>G155*AN155</f>
        <v>0</v>
      </c>
      <c r="AW155" s="20">
        <f>G155*AO155</f>
        <v>0</v>
      </c>
      <c r="AX155" s="21" t="s">
        <v>150</v>
      </c>
      <c r="AY155" s="21" t="s">
        <v>178</v>
      </c>
      <c r="AZ155" s="15" t="s">
        <v>190</v>
      </c>
      <c r="BB155" s="20">
        <f>AV155+AW155</f>
        <v>0</v>
      </c>
      <c r="BC155" s="20">
        <f>H155/(100-BD155)*100</f>
        <v>0</v>
      </c>
      <c r="BD155" s="20">
        <v>0</v>
      </c>
      <c r="BE155" s="20">
        <f>155</f>
        <v>155</v>
      </c>
      <c r="BG155" s="12">
        <f>G155*AN155</f>
        <v>0</v>
      </c>
      <c r="BH155" s="12">
        <f>G155*AO155</f>
        <v>0</v>
      </c>
      <c r="BI155" s="12">
        <f>G155*H155</f>
        <v>0</v>
      </c>
    </row>
    <row r="156" spans="1:11" ht="12.75">
      <c r="A156" s="59"/>
      <c r="B156" s="59"/>
      <c r="C156" s="149" t="s">
        <v>820</v>
      </c>
      <c r="D156" s="150"/>
      <c r="E156" s="150"/>
      <c r="F156" s="59"/>
      <c r="G156" s="60">
        <v>8.6</v>
      </c>
      <c r="H156" s="59"/>
      <c r="I156" s="59"/>
      <c r="J156" s="59"/>
      <c r="K156" s="59"/>
    </row>
    <row r="157" spans="1:61" ht="12.75">
      <c r="A157" s="67" t="s">
        <v>308</v>
      </c>
      <c r="B157" s="67" t="s">
        <v>524</v>
      </c>
      <c r="C157" s="155" t="s">
        <v>821</v>
      </c>
      <c r="D157" s="156"/>
      <c r="E157" s="156"/>
      <c r="F157" s="67" t="s">
        <v>100</v>
      </c>
      <c r="G157" s="68">
        <v>9.03</v>
      </c>
      <c r="H157" s="68">
        <v>0</v>
      </c>
      <c r="I157" s="68">
        <f>G157*AN157</f>
        <v>0</v>
      </c>
      <c r="J157" s="68">
        <f>G157*AO157</f>
        <v>0</v>
      </c>
      <c r="K157" s="68">
        <f>G157*H157</f>
        <v>0</v>
      </c>
      <c r="Y157" s="20">
        <f>IF(AP157="5",BI157,0)</f>
        <v>0</v>
      </c>
      <c r="AA157" s="20">
        <f>IF(AP157="1",BG157,0)</f>
        <v>0</v>
      </c>
      <c r="AB157" s="20">
        <f>IF(AP157="1",BH157,0)</f>
        <v>0</v>
      </c>
      <c r="AC157" s="20">
        <f>IF(AP157="7",BG157,0)</f>
        <v>0</v>
      </c>
      <c r="AD157" s="20">
        <f>IF(AP157="7",BH157,0)</f>
        <v>0</v>
      </c>
      <c r="AE157" s="20">
        <f>IF(AP157="2",BG157,0)</f>
        <v>0</v>
      </c>
      <c r="AF157" s="20">
        <f>IF(AP157="2",BH157,0)</f>
        <v>0</v>
      </c>
      <c r="AG157" s="20">
        <f>IF(AP157="0",BI157,0)</f>
        <v>0</v>
      </c>
      <c r="AH157" s="15" t="s">
        <v>135</v>
      </c>
      <c r="AI157" s="13">
        <f>IF(AM157=0,K157,0)</f>
        <v>0</v>
      </c>
      <c r="AJ157" s="13">
        <f>IF(AM157=15,K157,0)</f>
        <v>0</v>
      </c>
      <c r="AK157" s="13">
        <f>IF(AM157=21,K157,0)</f>
        <v>0</v>
      </c>
      <c r="AM157" s="20">
        <v>15</v>
      </c>
      <c r="AN157" s="20">
        <f>H157*1</f>
        <v>0</v>
      </c>
      <c r="AO157" s="20">
        <f>H157*(1-1)</f>
        <v>0</v>
      </c>
      <c r="AP157" s="17" t="s">
        <v>262</v>
      </c>
      <c r="AU157" s="20">
        <f>AV157+AW157</f>
        <v>0</v>
      </c>
      <c r="AV157" s="20">
        <f>G157*AN157</f>
        <v>0</v>
      </c>
      <c r="AW157" s="20">
        <f>G157*AO157</f>
        <v>0</v>
      </c>
      <c r="AX157" s="21" t="s">
        <v>150</v>
      </c>
      <c r="AY157" s="21" t="s">
        <v>178</v>
      </c>
      <c r="AZ157" s="15" t="s">
        <v>190</v>
      </c>
      <c r="BB157" s="20">
        <f>AV157+AW157</f>
        <v>0</v>
      </c>
      <c r="BC157" s="20">
        <f>H157/(100-BD157)*100</f>
        <v>0</v>
      </c>
      <c r="BD157" s="20">
        <v>0</v>
      </c>
      <c r="BE157" s="20">
        <f>157</f>
        <v>157</v>
      </c>
      <c r="BG157" s="13">
        <f>G157*AN157</f>
        <v>0</v>
      </c>
      <c r="BH157" s="13">
        <f>G157*AO157</f>
        <v>0</v>
      </c>
      <c r="BI157" s="13">
        <f>G157*H157</f>
        <v>0</v>
      </c>
    </row>
    <row r="158" spans="1:11" ht="12.75">
      <c r="A158" s="69"/>
      <c r="B158" s="69"/>
      <c r="C158" s="157" t="s">
        <v>822</v>
      </c>
      <c r="D158" s="150"/>
      <c r="E158" s="150"/>
      <c r="F158" s="69"/>
      <c r="G158" s="70">
        <v>9.03</v>
      </c>
      <c r="H158" s="69"/>
      <c r="I158" s="69"/>
      <c r="J158" s="69"/>
      <c r="K158" s="69"/>
    </row>
    <row r="159" spans="1:61" ht="12.75">
      <c r="A159" s="57" t="s">
        <v>309</v>
      </c>
      <c r="B159" s="57" t="s">
        <v>525</v>
      </c>
      <c r="C159" s="146" t="s">
        <v>823</v>
      </c>
      <c r="D159" s="145"/>
      <c r="E159" s="145"/>
      <c r="F159" s="57" t="s">
        <v>103</v>
      </c>
      <c r="G159" s="58">
        <v>0.019</v>
      </c>
      <c r="H159" s="58">
        <v>0</v>
      </c>
      <c r="I159" s="58">
        <f>G159*AN159</f>
        <v>0</v>
      </c>
      <c r="J159" s="58">
        <f>G159*AO159</f>
        <v>0</v>
      </c>
      <c r="K159" s="58">
        <f>G159*H159</f>
        <v>0</v>
      </c>
      <c r="Y159" s="20">
        <f>IF(AP159="5",BI159,0)</f>
        <v>0</v>
      </c>
      <c r="AA159" s="20">
        <f>IF(AP159="1",BG159,0)</f>
        <v>0</v>
      </c>
      <c r="AB159" s="20">
        <f>IF(AP159="1",BH159,0)</f>
        <v>0</v>
      </c>
      <c r="AC159" s="20">
        <f>IF(AP159="7",BG159,0)</f>
        <v>0</v>
      </c>
      <c r="AD159" s="20">
        <f>IF(AP159="7",BH159,0)</f>
        <v>0</v>
      </c>
      <c r="AE159" s="20">
        <f>IF(AP159="2",BG159,0)</f>
        <v>0</v>
      </c>
      <c r="AF159" s="20">
        <f>IF(AP159="2",BH159,0)</f>
        <v>0</v>
      </c>
      <c r="AG159" s="20">
        <f>IF(AP159="0",BI159,0)</f>
        <v>0</v>
      </c>
      <c r="AH159" s="15" t="s">
        <v>135</v>
      </c>
      <c r="AI159" s="12">
        <f>IF(AM159=0,K159,0)</f>
        <v>0</v>
      </c>
      <c r="AJ159" s="12">
        <f>IF(AM159=15,K159,0)</f>
        <v>0</v>
      </c>
      <c r="AK159" s="12">
        <f>IF(AM159=21,K159,0)</f>
        <v>0</v>
      </c>
      <c r="AM159" s="20">
        <v>15</v>
      </c>
      <c r="AN159" s="20">
        <f>H159*0</f>
        <v>0</v>
      </c>
      <c r="AO159" s="20">
        <f>H159*(1-0)</f>
        <v>0</v>
      </c>
      <c r="AP159" s="16" t="s">
        <v>260</v>
      </c>
      <c r="AU159" s="20">
        <f>AV159+AW159</f>
        <v>0</v>
      </c>
      <c r="AV159" s="20">
        <f>G159*AN159</f>
        <v>0</v>
      </c>
      <c r="AW159" s="20">
        <f>G159*AO159</f>
        <v>0</v>
      </c>
      <c r="AX159" s="21" t="s">
        <v>150</v>
      </c>
      <c r="AY159" s="21" t="s">
        <v>178</v>
      </c>
      <c r="AZ159" s="15" t="s">
        <v>190</v>
      </c>
      <c r="BB159" s="20">
        <f>AV159+AW159</f>
        <v>0</v>
      </c>
      <c r="BC159" s="20">
        <f>H159/(100-BD159)*100</f>
        <v>0</v>
      </c>
      <c r="BD159" s="20">
        <v>0</v>
      </c>
      <c r="BE159" s="20">
        <f>159</f>
        <v>159</v>
      </c>
      <c r="BG159" s="12">
        <f>G159*AN159</f>
        <v>0</v>
      </c>
      <c r="BH159" s="12">
        <f>G159*AO159</f>
        <v>0</v>
      </c>
      <c r="BI159" s="12">
        <f>G159*H159</f>
        <v>0</v>
      </c>
    </row>
    <row r="160" spans="1:11" ht="12.75">
      <c r="A160" s="59"/>
      <c r="B160" s="59"/>
      <c r="C160" s="149" t="s">
        <v>824</v>
      </c>
      <c r="D160" s="150"/>
      <c r="E160" s="150"/>
      <c r="F160" s="59"/>
      <c r="G160" s="60">
        <v>0.019</v>
      </c>
      <c r="H160" s="59"/>
      <c r="I160" s="59"/>
      <c r="J160" s="59"/>
      <c r="K160" s="59"/>
    </row>
    <row r="161" spans="1:46" ht="12.75">
      <c r="A161" s="2"/>
      <c r="B161" s="8" t="s">
        <v>526</v>
      </c>
      <c r="C161" s="142" t="s">
        <v>825</v>
      </c>
      <c r="D161" s="143"/>
      <c r="E161" s="143"/>
      <c r="F161" s="2" t="s">
        <v>255</v>
      </c>
      <c r="G161" s="2" t="s">
        <v>255</v>
      </c>
      <c r="H161" s="2" t="s">
        <v>255</v>
      </c>
      <c r="I161" s="22">
        <f>SUM(I162:I166)</f>
        <v>0</v>
      </c>
      <c r="J161" s="22">
        <f>SUM(J162:J166)</f>
        <v>0</v>
      </c>
      <c r="K161" s="22">
        <f>SUM(K162:K166)</f>
        <v>0</v>
      </c>
      <c r="AH161" s="15" t="s">
        <v>135</v>
      </c>
      <c r="AR161" s="22">
        <f>SUM(AI162:AI166)</f>
        <v>0</v>
      </c>
      <c r="AS161" s="22">
        <f>SUM(AJ162:AJ166)</f>
        <v>0</v>
      </c>
      <c r="AT161" s="22">
        <f>SUM(AK162:AK166)</f>
        <v>0</v>
      </c>
    </row>
    <row r="162" spans="1:61" ht="12.75">
      <c r="A162" s="57" t="s">
        <v>310</v>
      </c>
      <c r="B162" s="57" t="s">
        <v>527</v>
      </c>
      <c r="C162" s="146" t="s">
        <v>826</v>
      </c>
      <c r="D162" s="145"/>
      <c r="E162" s="145"/>
      <c r="F162" s="57" t="s">
        <v>100</v>
      </c>
      <c r="G162" s="58">
        <v>61.4478</v>
      </c>
      <c r="H162" s="58">
        <v>0</v>
      </c>
      <c r="I162" s="58">
        <f>G162*AN162</f>
        <v>0</v>
      </c>
      <c r="J162" s="58">
        <f>G162*AO162</f>
        <v>0</v>
      </c>
      <c r="K162" s="58">
        <f>G162*H162</f>
        <v>0</v>
      </c>
      <c r="Y162" s="20">
        <f>IF(AP162="5",BI162,0)</f>
        <v>0</v>
      </c>
      <c r="AA162" s="20">
        <f>IF(AP162="1",BG162,0)</f>
        <v>0</v>
      </c>
      <c r="AB162" s="20">
        <f>IF(AP162="1",BH162,0)</f>
        <v>0</v>
      </c>
      <c r="AC162" s="20">
        <f>IF(AP162="7",BG162,0)</f>
        <v>0</v>
      </c>
      <c r="AD162" s="20">
        <f>IF(AP162="7",BH162,0)</f>
        <v>0</v>
      </c>
      <c r="AE162" s="20">
        <f>IF(AP162="2",BG162,0)</f>
        <v>0</v>
      </c>
      <c r="AF162" s="20">
        <f>IF(AP162="2",BH162,0)</f>
        <v>0</v>
      </c>
      <c r="AG162" s="20">
        <f>IF(AP162="0",BI162,0)</f>
        <v>0</v>
      </c>
      <c r="AH162" s="15" t="s">
        <v>135</v>
      </c>
      <c r="AI162" s="12">
        <f>IF(AM162=0,K162,0)</f>
        <v>0</v>
      </c>
      <c r="AJ162" s="12">
        <f>IF(AM162=15,K162,0)</f>
        <v>0</v>
      </c>
      <c r="AK162" s="12">
        <f>IF(AM162=21,K162,0)</f>
        <v>0</v>
      </c>
      <c r="AM162" s="20">
        <v>15</v>
      </c>
      <c r="AN162" s="20">
        <f>H162*0.107428009362444</f>
        <v>0</v>
      </c>
      <c r="AO162" s="20">
        <f>H162*(1-0.107428009362444)</f>
        <v>0</v>
      </c>
      <c r="AP162" s="16" t="s">
        <v>262</v>
      </c>
      <c r="AU162" s="20">
        <f>AV162+AW162</f>
        <v>0</v>
      </c>
      <c r="AV162" s="20">
        <f>G162*AN162</f>
        <v>0</v>
      </c>
      <c r="AW162" s="20">
        <f>G162*AO162</f>
        <v>0</v>
      </c>
      <c r="AX162" s="21" t="s">
        <v>151</v>
      </c>
      <c r="AY162" s="21" t="s">
        <v>178</v>
      </c>
      <c r="AZ162" s="15" t="s">
        <v>190</v>
      </c>
      <c r="BB162" s="20">
        <f>AV162+AW162</f>
        <v>0</v>
      </c>
      <c r="BC162" s="20">
        <f>H162/(100-BD162)*100</f>
        <v>0</v>
      </c>
      <c r="BD162" s="20">
        <v>0</v>
      </c>
      <c r="BE162" s="20">
        <f>162</f>
        <v>162</v>
      </c>
      <c r="BG162" s="12">
        <f>G162*AN162</f>
        <v>0</v>
      </c>
      <c r="BH162" s="12">
        <f>G162*AO162</f>
        <v>0</v>
      </c>
      <c r="BI162" s="12">
        <f>G162*H162</f>
        <v>0</v>
      </c>
    </row>
    <row r="163" spans="1:11" ht="12.75">
      <c r="A163" s="59"/>
      <c r="B163" s="59"/>
      <c r="C163" s="149" t="s">
        <v>827</v>
      </c>
      <c r="D163" s="150"/>
      <c r="E163" s="150"/>
      <c r="F163" s="59"/>
      <c r="G163" s="60">
        <v>61.4478</v>
      </c>
      <c r="H163" s="59"/>
      <c r="I163" s="59"/>
      <c r="J163" s="59"/>
      <c r="K163" s="59"/>
    </row>
    <row r="164" spans="1:61" ht="12.75">
      <c r="A164" s="67" t="s">
        <v>311</v>
      </c>
      <c r="B164" s="67" t="s">
        <v>524</v>
      </c>
      <c r="C164" s="155" t="s">
        <v>821</v>
      </c>
      <c r="D164" s="156"/>
      <c r="E164" s="156"/>
      <c r="F164" s="67" t="s">
        <v>100</v>
      </c>
      <c r="G164" s="68">
        <v>64.51935</v>
      </c>
      <c r="H164" s="68">
        <v>0</v>
      </c>
      <c r="I164" s="68">
        <f>G164*AN164</f>
        <v>0</v>
      </c>
      <c r="J164" s="68">
        <f>G164*AO164</f>
        <v>0</v>
      </c>
      <c r="K164" s="68">
        <f>G164*H164</f>
        <v>0</v>
      </c>
      <c r="Y164" s="20">
        <f>IF(AP164="5",BI164,0)</f>
        <v>0</v>
      </c>
      <c r="AA164" s="20">
        <f>IF(AP164="1",BG164,0)</f>
        <v>0</v>
      </c>
      <c r="AB164" s="20">
        <f>IF(AP164="1",BH164,0)</f>
        <v>0</v>
      </c>
      <c r="AC164" s="20">
        <f>IF(AP164="7",BG164,0)</f>
        <v>0</v>
      </c>
      <c r="AD164" s="20">
        <f>IF(AP164="7",BH164,0)</f>
        <v>0</v>
      </c>
      <c r="AE164" s="20">
        <f>IF(AP164="2",BG164,0)</f>
        <v>0</v>
      </c>
      <c r="AF164" s="20">
        <f>IF(AP164="2",BH164,0)</f>
        <v>0</v>
      </c>
      <c r="AG164" s="20">
        <f>IF(AP164="0",BI164,0)</f>
        <v>0</v>
      </c>
      <c r="AH164" s="15" t="s">
        <v>135</v>
      </c>
      <c r="AI164" s="13">
        <f>IF(AM164=0,K164,0)</f>
        <v>0</v>
      </c>
      <c r="AJ164" s="13">
        <f>IF(AM164=15,K164,0)</f>
        <v>0</v>
      </c>
      <c r="AK164" s="13">
        <f>IF(AM164=21,K164,0)</f>
        <v>0</v>
      </c>
      <c r="AM164" s="20">
        <v>15</v>
      </c>
      <c r="AN164" s="20">
        <f>H164*1</f>
        <v>0</v>
      </c>
      <c r="AO164" s="20">
        <f>H164*(1-1)</f>
        <v>0</v>
      </c>
      <c r="AP164" s="17" t="s">
        <v>262</v>
      </c>
      <c r="AU164" s="20">
        <f>AV164+AW164</f>
        <v>0</v>
      </c>
      <c r="AV164" s="20">
        <f>G164*AN164</f>
        <v>0</v>
      </c>
      <c r="AW164" s="20">
        <f>G164*AO164</f>
        <v>0</v>
      </c>
      <c r="AX164" s="21" t="s">
        <v>151</v>
      </c>
      <c r="AY164" s="21" t="s">
        <v>178</v>
      </c>
      <c r="AZ164" s="15" t="s">
        <v>190</v>
      </c>
      <c r="BB164" s="20">
        <f>AV164+AW164</f>
        <v>0</v>
      </c>
      <c r="BC164" s="20">
        <f>H164/(100-BD164)*100</f>
        <v>0</v>
      </c>
      <c r="BD164" s="20">
        <v>0</v>
      </c>
      <c r="BE164" s="20">
        <f>164</f>
        <v>164</v>
      </c>
      <c r="BG164" s="13">
        <f>G164*AN164</f>
        <v>0</v>
      </c>
      <c r="BH164" s="13">
        <f>G164*AO164</f>
        <v>0</v>
      </c>
      <c r="BI164" s="13">
        <f>G164*H164</f>
        <v>0</v>
      </c>
    </row>
    <row r="165" spans="1:11" ht="12.75">
      <c r="A165" s="69"/>
      <c r="B165" s="69"/>
      <c r="C165" s="157" t="s">
        <v>828</v>
      </c>
      <c r="D165" s="150"/>
      <c r="E165" s="150"/>
      <c r="F165" s="69"/>
      <c r="G165" s="70">
        <v>64.51935</v>
      </c>
      <c r="H165" s="69"/>
      <c r="I165" s="69"/>
      <c r="J165" s="69"/>
      <c r="K165" s="69"/>
    </row>
    <row r="166" spans="1:61" ht="12.75">
      <c r="A166" s="57" t="s">
        <v>312</v>
      </c>
      <c r="B166" s="57" t="s">
        <v>528</v>
      </c>
      <c r="C166" s="146" t="s">
        <v>829</v>
      </c>
      <c r="D166" s="145"/>
      <c r="E166" s="145"/>
      <c r="F166" s="57" t="s">
        <v>103</v>
      </c>
      <c r="G166" s="58">
        <v>0.16</v>
      </c>
      <c r="H166" s="58">
        <v>0</v>
      </c>
      <c r="I166" s="58">
        <f>G166*AN166</f>
        <v>0</v>
      </c>
      <c r="J166" s="58">
        <f>G166*AO166</f>
        <v>0</v>
      </c>
      <c r="K166" s="58">
        <f>G166*H166</f>
        <v>0</v>
      </c>
      <c r="Y166" s="20">
        <f>IF(AP166="5",BI166,0)</f>
        <v>0</v>
      </c>
      <c r="AA166" s="20">
        <f>IF(AP166="1",BG166,0)</f>
        <v>0</v>
      </c>
      <c r="AB166" s="20">
        <f>IF(AP166="1",BH166,0)</f>
        <v>0</v>
      </c>
      <c r="AC166" s="20">
        <f>IF(AP166="7",BG166,0)</f>
        <v>0</v>
      </c>
      <c r="AD166" s="20">
        <f>IF(AP166="7",BH166,0)</f>
        <v>0</v>
      </c>
      <c r="AE166" s="20">
        <f>IF(AP166="2",BG166,0)</f>
        <v>0</v>
      </c>
      <c r="AF166" s="20">
        <f>IF(AP166="2",BH166,0)</f>
        <v>0</v>
      </c>
      <c r="AG166" s="20">
        <f>IF(AP166="0",BI166,0)</f>
        <v>0</v>
      </c>
      <c r="AH166" s="15" t="s">
        <v>135</v>
      </c>
      <c r="AI166" s="12">
        <f>IF(AM166=0,K166,0)</f>
        <v>0</v>
      </c>
      <c r="AJ166" s="12">
        <f>IF(AM166=15,K166,0)</f>
        <v>0</v>
      </c>
      <c r="AK166" s="12">
        <f>IF(AM166=21,K166,0)</f>
        <v>0</v>
      </c>
      <c r="AM166" s="20">
        <v>15</v>
      </c>
      <c r="AN166" s="20">
        <f>H166*0</f>
        <v>0</v>
      </c>
      <c r="AO166" s="20">
        <f>H166*(1-0)</f>
        <v>0</v>
      </c>
      <c r="AP166" s="16" t="s">
        <v>260</v>
      </c>
      <c r="AU166" s="20">
        <f>AV166+AW166</f>
        <v>0</v>
      </c>
      <c r="AV166" s="20">
        <f>G166*AN166</f>
        <v>0</v>
      </c>
      <c r="AW166" s="20">
        <f>G166*AO166</f>
        <v>0</v>
      </c>
      <c r="AX166" s="21" t="s">
        <v>151</v>
      </c>
      <c r="AY166" s="21" t="s">
        <v>178</v>
      </c>
      <c r="AZ166" s="15" t="s">
        <v>190</v>
      </c>
      <c r="BB166" s="20">
        <f>AV166+AW166</f>
        <v>0</v>
      </c>
      <c r="BC166" s="20">
        <f>H166/(100-BD166)*100</f>
        <v>0</v>
      </c>
      <c r="BD166" s="20">
        <v>0</v>
      </c>
      <c r="BE166" s="20">
        <f>166</f>
        <v>166</v>
      </c>
      <c r="BG166" s="12">
        <f>G166*AN166</f>
        <v>0</v>
      </c>
      <c r="BH166" s="12">
        <f>G166*AO166</f>
        <v>0</v>
      </c>
      <c r="BI166" s="12">
        <f>G166*H166</f>
        <v>0</v>
      </c>
    </row>
    <row r="167" spans="1:11" ht="12.75">
      <c r="A167" s="59"/>
      <c r="B167" s="59"/>
      <c r="C167" s="149" t="s">
        <v>830</v>
      </c>
      <c r="D167" s="150"/>
      <c r="E167" s="150"/>
      <c r="F167" s="59"/>
      <c r="G167" s="60">
        <v>0.16</v>
      </c>
      <c r="H167" s="59"/>
      <c r="I167" s="59"/>
      <c r="J167" s="59"/>
      <c r="K167" s="59"/>
    </row>
    <row r="168" spans="1:46" ht="12.75">
      <c r="A168" s="2"/>
      <c r="B168" s="8" t="s">
        <v>529</v>
      </c>
      <c r="C168" s="142" t="s">
        <v>831</v>
      </c>
      <c r="D168" s="143"/>
      <c r="E168" s="143"/>
      <c r="F168" s="2" t="s">
        <v>255</v>
      </c>
      <c r="G168" s="2" t="s">
        <v>255</v>
      </c>
      <c r="H168" s="2" t="s">
        <v>255</v>
      </c>
      <c r="I168" s="22">
        <f>SUM(I169:I189)</f>
        <v>0</v>
      </c>
      <c r="J168" s="22">
        <f>SUM(J169:J189)</f>
        <v>0</v>
      </c>
      <c r="K168" s="22">
        <f>SUM(K169:K189)</f>
        <v>0</v>
      </c>
      <c r="AH168" s="15" t="s">
        <v>135</v>
      </c>
      <c r="AR168" s="22">
        <f>SUM(AI169:AI189)</f>
        <v>0</v>
      </c>
      <c r="AS168" s="22">
        <f>SUM(AJ169:AJ189)</f>
        <v>0</v>
      </c>
      <c r="AT168" s="22">
        <f>SUM(AK169:AK189)</f>
        <v>0</v>
      </c>
    </row>
    <row r="169" spans="1:61" ht="12.75">
      <c r="A169" s="57" t="s">
        <v>313</v>
      </c>
      <c r="B169" s="57" t="s">
        <v>530</v>
      </c>
      <c r="C169" s="146" t="s">
        <v>832</v>
      </c>
      <c r="D169" s="145"/>
      <c r="E169" s="145"/>
      <c r="F169" s="57" t="s">
        <v>100</v>
      </c>
      <c r="G169" s="58">
        <v>104.4</v>
      </c>
      <c r="H169" s="58">
        <v>0</v>
      </c>
      <c r="I169" s="58">
        <f>G169*AN169</f>
        <v>0</v>
      </c>
      <c r="J169" s="58">
        <f>G169*AO169</f>
        <v>0</v>
      </c>
      <c r="K169" s="58">
        <f>G169*H169</f>
        <v>0</v>
      </c>
      <c r="Y169" s="20">
        <f>IF(AP169="5",BI169,0)</f>
        <v>0</v>
      </c>
      <c r="AA169" s="20">
        <f>IF(AP169="1",BG169,0)</f>
        <v>0</v>
      </c>
      <c r="AB169" s="20">
        <f>IF(AP169="1",BH169,0)</f>
        <v>0</v>
      </c>
      <c r="AC169" s="20">
        <f>IF(AP169="7",BG169,0)</f>
        <v>0</v>
      </c>
      <c r="AD169" s="20">
        <f>IF(AP169="7",BH169,0)</f>
        <v>0</v>
      </c>
      <c r="AE169" s="20">
        <f>IF(AP169="2",BG169,0)</f>
        <v>0</v>
      </c>
      <c r="AF169" s="20">
        <f>IF(AP169="2",BH169,0)</f>
        <v>0</v>
      </c>
      <c r="AG169" s="20">
        <f>IF(AP169="0",BI169,0)</f>
        <v>0</v>
      </c>
      <c r="AH169" s="15" t="s">
        <v>135</v>
      </c>
      <c r="AI169" s="12">
        <f>IF(AM169=0,K169,0)</f>
        <v>0</v>
      </c>
      <c r="AJ169" s="12">
        <f>IF(AM169=15,K169,0)</f>
        <v>0</v>
      </c>
      <c r="AK169" s="12">
        <f>IF(AM169=21,K169,0)</f>
        <v>0</v>
      </c>
      <c r="AM169" s="20">
        <v>15</v>
      </c>
      <c r="AN169" s="20">
        <f>H169*0.157002457002457</f>
        <v>0</v>
      </c>
      <c r="AO169" s="20">
        <f>H169*(1-0.157002457002457)</f>
        <v>0</v>
      </c>
      <c r="AP169" s="16" t="s">
        <v>262</v>
      </c>
      <c r="AU169" s="20">
        <f>AV169+AW169</f>
        <v>0</v>
      </c>
      <c r="AV169" s="20">
        <f>G169*AN169</f>
        <v>0</v>
      </c>
      <c r="AW169" s="20">
        <f>G169*AO169</f>
        <v>0</v>
      </c>
      <c r="AX169" s="21" t="s">
        <v>152</v>
      </c>
      <c r="AY169" s="21" t="s">
        <v>178</v>
      </c>
      <c r="AZ169" s="15" t="s">
        <v>190</v>
      </c>
      <c r="BB169" s="20">
        <f>AV169+AW169</f>
        <v>0</v>
      </c>
      <c r="BC169" s="20">
        <f>H169/(100-BD169)*100</f>
        <v>0</v>
      </c>
      <c r="BD169" s="20">
        <v>0</v>
      </c>
      <c r="BE169" s="20">
        <f>169</f>
        <v>169</v>
      </c>
      <c r="BG169" s="12">
        <f>G169*AN169</f>
        <v>0</v>
      </c>
      <c r="BH169" s="12">
        <f>G169*AO169</f>
        <v>0</v>
      </c>
      <c r="BI169" s="12">
        <f>G169*H169</f>
        <v>0</v>
      </c>
    </row>
    <row r="170" spans="1:11" ht="12.75">
      <c r="A170" s="59"/>
      <c r="B170" s="59"/>
      <c r="C170" s="149" t="s">
        <v>833</v>
      </c>
      <c r="D170" s="150"/>
      <c r="E170" s="150"/>
      <c r="F170" s="59"/>
      <c r="G170" s="60">
        <v>104.4</v>
      </c>
      <c r="H170" s="59"/>
      <c r="I170" s="59"/>
      <c r="J170" s="59"/>
      <c r="K170" s="59"/>
    </row>
    <row r="171" spans="1:61" ht="12.75">
      <c r="A171" s="57" t="s">
        <v>314</v>
      </c>
      <c r="B171" s="57" t="s">
        <v>531</v>
      </c>
      <c r="C171" s="146" t="s">
        <v>834</v>
      </c>
      <c r="D171" s="145"/>
      <c r="E171" s="145"/>
      <c r="F171" s="57" t="s">
        <v>100</v>
      </c>
      <c r="G171" s="58">
        <v>52.2</v>
      </c>
      <c r="H171" s="58">
        <v>0</v>
      </c>
      <c r="I171" s="58">
        <f>G171*AN171</f>
        <v>0</v>
      </c>
      <c r="J171" s="58">
        <f>G171*AO171</f>
        <v>0</v>
      </c>
      <c r="K171" s="58">
        <f>G171*H171</f>
        <v>0</v>
      </c>
      <c r="Y171" s="20">
        <f>IF(AP171="5",BI171,0)</f>
        <v>0</v>
      </c>
      <c r="AA171" s="20">
        <f>IF(AP171="1",BG171,0)</f>
        <v>0</v>
      </c>
      <c r="AB171" s="20">
        <f>IF(AP171="1",BH171,0)</f>
        <v>0</v>
      </c>
      <c r="AC171" s="20">
        <f>IF(AP171="7",BG171,0)</f>
        <v>0</v>
      </c>
      <c r="AD171" s="20">
        <f>IF(AP171="7",BH171,0)</f>
        <v>0</v>
      </c>
      <c r="AE171" s="20">
        <f>IF(AP171="2",BG171,0)</f>
        <v>0</v>
      </c>
      <c r="AF171" s="20">
        <f>IF(AP171="2",BH171,0)</f>
        <v>0</v>
      </c>
      <c r="AG171" s="20">
        <f>IF(AP171="0",BI171,0)</f>
        <v>0</v>
      </c>
      <c r="AH171" s="15" t="s">
        <v>135</v>
      </c>
      <c r="AI171" s="12">
        <f>IF(AM171=0,K171,0)</f>
        <v>0</v>
      </c>
      <c r="AJ171" s="12">
        <f>IF(AM171=15,K171,0)</f>
        <v>0</v>
      </c>
      <c r="AK171" s="12">
        <f>IF(AM171=21,K171,0)</f>
        <v>0</v>
      </c>
      <c r="AM171" s="20">
        <v>15</v>
      </c>
      <c r="AN171" s="20">
        <f>H171*0.220994475138122</f>
        <v>0</v>
      </c>
      <c r="AO171" s="20">
        <f>H171*(1-0.220994475138122)</f>
        <v>0</v>
      </c>
      <c r="AP171" s="16" t="s">
        <v>262</v>
      </c>
      <c r="AU171" s="20">
        <f>AV171+AW171</f>
        <v>0</v>
      </c>
      <c r="AV171" s="20">
        <f>G171*AN171</f>
        <v>0</v>
      </c>
      <c r="AW171" s="20">
        <f>G171*AO171</f>
        <v>0</v>
      </c>
      <c r="AX171" s="21" t="s">
        <v>152</v>
      </c>
      <c r="AY171" s="21" t="s">
        <v>178</v>
      </c>
      <c r="AZ171" s="15" t="s">
        <v>190</v>
      </c>
      <c r="BB171" s="20">
        <f>AV171+AW171</f>
        <v>0</v>
      </c>
      <c r="BC171" s="20">
        <f>H171/(100-BD171)*100</f>
        <v>0</v>
      </c>
      <c r="BD171" s="20">
        <v>0</v>
      </c>
      <c r="BE171" s="20">
        <f>171</f>
        <v>171</v>
      </c>
      <c r="BG171" s="12">
        <f>G171*AN171</f>
        <v>0</v>
      </c>
      <c r="BH171" s="12">
        <f>G171*AO171</f>
        <v>0</v>
      </c>
      <c r="BI171" s="12">
        <f>G171*H171</f>
        <v>0</v>
      </c>
    </row>
    <row r="172" spans="1:11" ht="12.75">
      <c r="A172" s="59"/>
      <c r="B172" s="59"/>
      <c r="C172" s="149" t="s">
        <v>835</v>
      </c>
      <c r="D172" s="150"/>
      <c r="E172" s="150"/>
      <c r="F172" s="59"/>
      <c r="G172" s="60">
        <v>52.2</v>
      </c>
      <c r="H172" s="59"/>
      <c r="I172" s="59"/>
      <c r="J172" s="59"/>
      <c r="K172" s="59"/>
    </row>
    <row r="173" spans="1:61" ht="12.75">
      <c r="A173" s="67" t="s">
        <v>315</v>
      </c>
      <c r="B173" s="67" t="s">
        <v>532</v>
      </c>
      <c r="C173" s="155" t="s">
        <v>836</v>
      </c>
      <c r="D173" s="156"/>
      <c r="E173" s="156"/>
      <c r="F173" s="67" t="s">
        <v>100</v>
      </c>
      <c r="G173" s="68">
        <v>54.81</v>
      </c>
      <c r="H173" s="68">
        <v>0</v>
      </c>
      <c r="I173" s="68">
        <f>G173*AN173</f>
        <v>0</v>
      </c>
      <c r="J173" s="68">
        <f>G173*AO173</f>
        <v>0</v>
      </c>
      <c r="K173" s="68">
        <f>G173*H173</f>
        <v>0</v>
      </c>
      <c r="Y173" s="20">
        <f>IF(AP173="5",BI173,0)</f>
        <v>0</v>
      </c>
      <c r="AA173" s="20">
        <f>IF(AP173="1",BG173,0)</f>
        <v>0</v>
      </c>
      <c r="AB173" s="20">
        <f>IF(AP173="1",BH173,0)</f>
        <v>0</v>
      </c>
      <c r="AC173" s="20">
        <f>IF(AP173="7",BG173,0)</f>
        <v>0</v>
      </c>
      <c r="AD173" s="20">
        <f>IF(AP173="7",BH173,0)</f>
        <v>0</v>
      </c>
      <c r="AE173" s="20">
        <f>IF(AP173="2",BG173,0)</f>
        <v>0</v>
      </c>
      <c r="AF173" s="20">
        <f>IF(AP173="2",BH173,0)</f>
        <v>0</v>
      </c>
      <c r="AG173" s="20">
        <f>IF(AP173="0",BI173,0)</f>
        <v>0</v>
      </c>
      <c r="AH173" s="15" t="s">
        <v>135</v>
      </c>
      <c r="AI173" s="13">
        <f>IF(AM173=0,K173,0)</f>
        <v>0</v>
      </c>
      <c r="AJ173" s="13">
        <f>IF(AM173=15,K173,0)</f>
        <v>0</v>
      </c>
      <c r="AK173" s="13">
        <f>IF(AM173=21,K173,0)</f>
        <v>0</v>
      </c>
      <c r="AM173" s="20">
        <v>15</v>
      </c>
      <c r="AN173" s="20">
        <f>H173*1</f>
        <v>0</v>
      </c>
      <c r="AO173" s="20">
        <f>H173*(1-1)</f>
        <v>0</v>
      </c>
      <c r="AP173" s="17" t="s">
        <v>262</v>
      </c>
      <c r="AU173" s="20">
        <f>AV173+AW173</f>
        <v>0</v>
      </c>
      <c r="AV173" s="20">
        <f>G173*AN173</f>
        <v>0</v>
      </c>
      <c r="AW173" s="20">
        <f>G173*AO173</f>
        <v>0</v>
      </c>
      <c r="AX173" s="21" t="s">
        <v>152</v>
      </c>
      <c r="AY173" s="21" t="s">
        <v>178</v>
      </c>
      <c r="AZ173" s="15" t="s">
        <v>190</v>
      </c>
      <c r="BB173" s="20">
        <f>AV173+AW173</f>
        <v>0</v>
      </c>
      <c r="BC173" s="20">
        <f>H173/(100-BD173)*100</f>
        <v>0</v>
      </c>
      <c r="BD173" s="20">
        <v>0</v>
      </c>
      <c r="BE173" s="20">
        <f>173</f>
        <v>173</v>
      </c>
      <c r="BG173" s="13">
        <f>G173*AN173</f>
        <v>0</v>
      </c>
      <c r="BH173" s="13">
        <f>G173*AO173</f>
        <v>0</v>
      </c>
      <c r="BI173" s="13">
        <f>G173*H173</f>
        <v>0</v>
      </c>
    </row>
    <row r="174" spans="1:11" ht="12.75">
      <c r="A174" s="69"/>
      <c r="B174" s="69"/>
      <c r="C174" s="157" t="s">
        <v>837</v>
      </c>
      <c r="D174" s="150"/>
      <c r="E174" s="150"/>
      <c r="F174" s="69"/>
      <c r="G174" s="70">
        <v>54.81</v>
      </c>
      <c r="H174" s="69"/>
      <c r="I174" s="69"/>
      <c r="J174" s="69"/>
      <c r="K174" s="69"/>
    </row>
    <row r="175" spans="1:61" ht="12.75">
      <c r="A175" s="57" t="s">
        <v>316</v>
      </c>
      <c r="B175" s="57" t="s">
        <v>533</v>
      </c>
      <c r="C175" s="146" t="s">
        <v>838</v>
      </c>
      <c r="D175" s="145"/>
      <c r="E175" s="145"/>
      <c r="F175" s="57" t="s">
        <v>100</v>
      </c>
      <c r="G175" s="58">
        <v>8.6</v>
      </c>
      <c r="H175" s="58">
        <v>0</v>
      </c>
      <c r="I175" s="58">
        <f>G175*AN175</f>
        <v>0</v>
      </c>
      <c r="J175" s="58">
        <f>G175*AO175</f>
        <v>0</v>
      </c>
      <c r="K175" s="58">
        <f>G175*H175</f>
        <v>0</v>
      </c>
      <c r="Y175" s="20">
        <f>IF(AP175="5",BI175,0)</f>
        <v>0</v>
      </c>
      <c r="AA175" s="20">
        <f>IF(AP175="1",BG175,0)</f>
        <v>0</v>
      </c>
      <c r="AB175" s="20">
        <f>IF(AP175="1",BH175,0)</f>
        <v>0</v>
      </c>
      <c r="AC175" s="20">
        <f>IF(AP175="7",BG175,0)</f>
        <v>0</v>
      </c>
      <c r="AD175" s="20">
        <f>IF(AP175="7",BH175,0)</f>
        <v>0</v>
      </c>
      <c r="AE175" s="20">
        <f>IF(AP175="2",BG175,0)</f>
        <v>0</v>
      </c>
      <c r="AF175" s="20">
        <f>IF(AP175="2",BH175,0)</f>
        <v>0</v>
      </c>
      <c r="AG175" s="20">
        <f>IF(AP175="0",BI175,0)</f>
        <v>0</v>
      </c>
      <c r="AH175" s="15" t="s">
        <v>135</v>
      </c>
      <c r="AI175" s="12">
        <f>IF(AM175=0,K175,0)</f>
        <v>0</v>
      </c>
      <c r="AJ175" s="12">
        <f>IF(AM175=15,K175,0)</f>
        <v>0</v>
      </c>
      <c r="AK175" s="12">
        <f>IF(AM175=21,K175,0)</f>
        <v>0</v>
      </c>
      <c r="AM175" s="20">
        <v>15</v>
      </c>
      <c r="AN175" s="20">
        <f>H175*0.104411764705882</f>
        <v>0</v>
      </c>
      <c r="AO175" s="20">
        <f>H175*(1-0.104411764705882)</f>
        <v>0</v>
      </c>
      <c r="AP175" s="16" t="s">
        <v>262</v>
      </c>
      <c r="AU175" s="20">
        <f>AV175+AW175</f>
        <v>0</v>
      </c>
      <c r="AV175" s="20">
        <f>G175*AN175</f>
        <v>0</v>
      </c>
      <c r="AW175" s="20">
        <f>G175*AO175</f>
        <v>0</v>
      </c>
      <c r="AX175" s="21" t="s">
        <v>152</v>
      </c>
      <c r="AY175" s="21" t="s">
        <v>178</v>
      </c>
      <c r="AZ175" s="15" t="s">
        <v>190</v>
      </c>
      <c r="BB175" s="20">
        <f>AV175+AW175</f>
        <v>0</v>
      </c>
      <c r="BC175" s="20">
        <f>H175/(100-BD175)*100</f>
        <v>0</v>
      </c>
      <c r="BD175" s="20">
        <v>0</v>
      </c>
      <c r="BE175" s="20">
        <f>175</f>
        <v>175</v>
      </c>
      <c r="BG175" s="12">
        <f>G175*AN175</f>
        <v>0</v>
      </c>
      <c r="BH175" s="12">
        <f>G175*AO175</f>
        <v>0</v>
      </c>
      <c r="BI175" s="12">
        <f>G175*H175</f>
        <v>0</v>
      </c>
    </row>
    <row r="176" spans="1:11" ht="12.75">
      <c r="A176" s="59"/>
      <c r="B176" s="59"/>
      <c r="C176" s="149" t="s">
        <v>820</v>
      </c>
      <c r="D176" s="150"/>
      <c r="E176" s="150"/>
      <c r="F176" s="59"/>
      <c r="G176" s="60">
        <v>8.6</v>
      </c>
      <c r="H176" s="59"/>
      <c r="I176" s="59"/>
      <c r="J176" s="59"/>
      <c r="K176" s="59"/>
    </row>
    <row r="177" spans="1:61" ht="12.75">
      <c r="A177" s="67" t="s">
        <v>317</v>
      </c>
      <c r="B177" s="67" t="s">
        <v>534</v>
      </c>
      <c r="C177" s="155" t="s">
        <v>839</v>
      </c>
      <c r="D177" s="156"/>
      <c r="E177" s="156"/>
      <c r="F177" s="67" t="s">
        <v>100</v>
      </c>
      <c r="G177" s="68">
        <v>9.03</v>
      </c>
      <c r="H177" s="68">
        <v>0</v>
      </c>
      <c r="I177" s="68">
        <f>G177*AN177</f>
        <v>0</v>
      </c>
      <c r="J177" s="68">
        <f>G177*AO177</f>
        <v>0</v>
      </c>
      <c r="K177" s="68">
        <f>G177*H177</f>
        <v>0</v>
      </c>
      <c r="Y177" s="20">
        <f>IF(AP177="5",BI177,0)</f>
        <v>0</v>
      </c>
      <c r="AA177" s="20">
        <f>IF(AP177="1",BG177,0)</f>
        <v>0</v>
      </c>
      <c r="AB177" s="20">
        <f>IF(AP177="1",BH177,0)</f>
        <v>0</v>
      </c>
      <c r="AC177" s="20">
        <f>IF(AP177="7",BG177,0)</f>
        <v>0</v>
      </c>
      <c r="AD177" s="20">
        <f>IF(AP177="7",BH177,0)</f>
        <v>0</v>
      </c>
      <c r="AE177" s="20">
        <f>IF(AP177="2",BG177,0)</f>
        <v>0</v>
      </c>
      <c r="AF177" s="20">
        <f>IF(AP177="2",BH177,0)</f>
        <v>0</v>
      </c>
      <c r="AG177" s="20">
        <f>IF(AP177="0",BI177,0)</f>
        <v>0</v>
      </c>
      <c r="AH177" s="15" t="s">
        <v>135</v>
      </c>
      <c r="AI177" s="13">
        <f>IF(AM177=0,K177,0)</f>
        <v>0</v>
      </c>
      <c r="AJ177" s="13">
        <f>IF(AM177=15,K177,0)</f>
        <v>0</v>
      </c>
      <c r="AK177" s="13">
        <f>IF(AM177=21,K177,0)</f>
        <v>0</v>
      </c>
      <c r="AM177" s="20">
        <v>15</v>
      </c>
      <c r="AN177" s="20">
        <f>H177*1</f>
        <v>0</v>
      </c>
      <c r="AO177" s="20">
        <f>H177*(1-1)</f>
        <v>0</v>
      </c>
      <c r="AP177" s="17" t="s">
        <v>262</v>
      </c>
      <c r="AU177" s="20">
        <f>AV177+AW177</f>
        <v>0</v>
      </c>
      <c r="AV177" s="20">
        <f>G177*AN177</f>
        <v>0</v>
      </c>
      <c r="AW177" s="20">
        <f>G177*AO177</f>
        <v>0</v>
      </c>
      <c r="AX177" s="21" t="s">
        <v>152</v>
      </c>
      <c r="AY177" s="21" t="s">
        <v>178</v>
      </c>
      <c r="AZ177" s="15" t="s">
        <v>190</v>
      </c>
      <c r="BB177" s="20">
        <f>AV177+AW177</f>
        <v>0</v>
      </c>
      <c r="BC177" s="20">
        <f>H177/(100-BD177)*100</f>
        <v>0</v>
      </c>
      <c r="BD177" s="20">
        <v>0</v>
      </c>
      <c r="BE177" s="20">
        <f>177</f>
        <v>177</v>
      </c>
      <c r="BG177" s="13">
        <f>G177*AN177</f>
        <v>0</v>
      </c>
      <c r="BH177" s="13">
        <f>G177*AO177</f>
        <v>0</v>
      </c>
      <c r="BI177" s="13">
        <f>G177*H177</f>
        <v>0</v>
      </c>
    </row>
    <row r="178" spans="1:11" ht="12.75">
      <c r="A178" s="69"/>
      <c r="B178" s="69"/>
      <c r="C178" s="157" t="s">
        <v>840</v>
      </c>
      <c r="D178" s="150"/>
      <c r="E178" s="150"/>
      <c r="F178" s="69"/>
      <c r="G178" s="70">
        <v>9.03</v>
      </c>
      <c r="H178" s="69"/>
      <c r="I178" s="69"/>
      <c r="J178" s="69"/>
      <c r="K178" s="69"/>
    </row>
    <row r="179" spans="1:61" ht="12.75">
      <c r="A179" s="57" t="s">
        <v>318</v>
      </c>
      <c r="B179" s="57" t="s">
        <v>535</v>
      </c>
      <c r="C179" s="146" t="s">
        <v>841</v>
      </c>
      <c r="D179" s="145"/>
      <c r="E179" s="145"/>
      <c r="F179" s="57" t="s">
        <v>100</v>
      </c>
      <c r="G179" s="58">
        <v>8.6</v>
      </c>
      <c r="H179" s="58">
        <v>0</v>
      </c>
      <c r="I179" s="58">
        <f>G179*AN179</f>
        <v>0</v>
      </c>
      <c r="J179" s="58">
        <f>G179*AO179</f>
        <v>0</v>
      </c>
      <c r="K179" s="58">
        <f>G179*H179</f>
        <v>0</v>
      </c>
      <c r="Y179" s="20">
        <f>IF(AP179="5",BI179,0)</f>
        <v>0</v>
      </c>
      <c r="AA179" s="20">
        <f>IF(AP179="1",BG179,0)</f>
        <v>0</v>
      </c>
      <c r="AB179" s="20">
        <f>IF(AP179="1",BH179,0)</f>
        <v>0</v>
      </c>
      <c r="AC179" s="20">
        <f>IF(AP179="7",BG179,0)</f>
        <v>0</v>
      </c>
      <c r="AD179" s="20">
        <f>IF(AP179="7",BH179,0)</f>
        <v>0</v>
      </c>
      <c r="AE179" s="20">
        <f>IF(AP179="2",BG179,0)</f>
        <v>0</v>
      </c>
      <c r="AF179" s="20">
        <f>IF(AP179="2",BH179,0)</f>
        <v>0</v>
      </c>
      <c r="AG179" s="20">
        <f>IF(AP179="0",BI179,0)</f>
        <v>0</v>
      </c>
      <c r="AH179" s="15" t="s">
        <v>135</v>
      </c>
      <c r="AI179" s="12">
        <f>IF(AM179=0,K179,0)</f>
        <v>0</v>
      </c>
      <c r="AJ179" s="12">
        <f>IF(AM179=15,K179,0)</f>
        <v>0</v>
      </c>
      <c r="AK179" s="12">
        <f>IF(AM179=21,K179,0)</f>
        <v>0</v>
      </c>
      <c r="AM179" s="20">
        <v>15</v>
      </c>
      <c r="AN179" s="20">
        <f>H179*0</f>
        <v>0</v>
      </c>
      <c r="AO179" s="20">
        <f>H179*(1-0)</f>
        <v>0</v>
      </c>
      <c r="AP179" s="16" t="s">
        <v>262</v>
      </c>
      <c r="AU179" s="20">
        <f>AV179+AW179</f>
        <v>0</v>
      </c>
      <c r="AV179" s="20">
        <f>G179*AN179</f>
        <v>0</v>
      </c>
      <c r="AW179" s="20">
        <f>G179*AO179</f>
        <v>0</v>
      </c>
      <c r="AX179" s="21" t="s">
        <v>152</v>
      </c>
      <c r="AY179" s="21" t="s">
        <v>178</v>
      </c>
      <c r="AZ179" s="15" t="s">
        <v>190</v>
      </c>
      <c r="BB179" s="20">
        <f>AV179+AW179</f>
        <v>0</v>
      </c>
      <c r="BC179" s="20">
        <f>H179/(100-BD179)*100</f>
        <v>0</v>
      </c>
      <c r="BD179" s="20">
        <v>0</v>
      </c>
      <c r="BE179" s="20">
        <f>179</f>
        <v>179</v>
      </c>
      <c r="BG179" s="12">
        <f>G179*AN179</f>
        <v>0</v>
      </c>
      <c r="BH179" s="12">
        <f>G179*AO179</f>
        <v>0</v>
      </c>
      <c r="BI179" s="12">
        <f>G179*H179</f>
        <v>0</v>
      </c>
    </row>
    <row r="180" spans="1:11" ht="12.75">
      <c r="A180" s="59"/>
      <c r="B180" s="59"/>
      <c r="C180" s="149" t="s">
        <v>804</v>
      </c>
      <c r="D180" s="150"/>
      <c r="E180" s="150"/>
      <c r="F180" s="59"/>
      <c r="G180" s="60">
        <v>8.6</v>
      </c>
      <c r="H180" s="59"/>
      <c r="I180" s="59"/>
      <c r="J180" s="59"/>
      <c r="K180" s="59"/>
    </row>
    <row r="181" spans="1:61" ht="12.75">
      <c r="A181" s="67" t="s">
        <v>319</v>
      </c>
      <c r="B181" s="67" t="s">
        <v>536</v>
      </c>
      <c r="C181" s="155" t="s">
        <v>842</v>
      </c>
      <c r="D181" s="156"/>
      <c r="E181" s="156"/>
      <c r="F181" s="67" t="s">
        <v>100</v>
      </c>
      <c r="G181" s="68">
        <v>9.03</v>
      </c>
      <c r="H181" s="68">
        <v>0</v>
      </c>
      <c r="I181" s="68">
        <f>G181*AN181</f>
        <v>0</v>
      </c>
      <c r="J181" s="68">
        <f>G181*AO181</f>
        <v>0</v>
      </c>
      <c r="K181" s="68">
        <f>G181*H181</f>
        <v>0</v>
      </c>
      <c r="Y181" s="20">
        <f>IF(AP181="5",BI181,0)</f>
        <v>0</v>
      </c>
      <c r="AA181" s="20">
        <f>IF(AP181="1",BG181,0)</f>
        <v>0</v>
      </c>
      <c r="AB181" s="20">
        <f>IF(AP181="1",BH181,0)</f>
        <v>0</v>
      </c>
      <c r="AC181" s="20">
        <f>IF(AP181="7",BG181,0)</f>
        <v>0</v>
      </c>
      <c r="AD181" s="20">
        <f>IF(AP181="7",BH181,0)</f>
        <v>0</v>
      </c>
      <c r="AE181" s="20">
        <f>IF(AP181="2",BG181,0)</f>
        <v>0</v>
      </c>
      <c r="AF181" s="20">
        <f>IF(AP181="2",BH181,0)</f>
        <v>0</v>
      </c>
      <c r="AG181" s="20">
        <f>IF(AP181="0",BI181,0)</f>
        <v>0</v>
      </c>
      <c r="AH181" s="15" t="s">
        <v>135</v>
      </c>
      <c r="AI181" s="13">
        <f>IF(AM181=0,K181,0)</f>
        <v>0</v>
      </c>
      <c r="AJ181" s="13">
        <f>IF(AM181=15,K181,0)</f>
        <v>0</v>
      </c>
      <c r="AK181" s="13">
        <f>IF(AM181=21,K181,0)</f>
        <v>0</v>
      </c>
      <c r="AM181" s="20">
        <v>15</v>
      </c>
      <c r="AN181" s="20">
        <f>H181*1</f>
        <v>0</v>
      </c>
      <c r="AO181" s="20">
        <f>H181*(1-1)</f>
        <v>0</v>
      </c>
      <c r="AP181" s="17" t="s">
        <v>262</v>
      </c>
      <c r="AU181" s="20">
        <f>AV181+AW181</f>
        <v>0</v>
      </c>
      <c r="AV181" s="20">
        <f>G181*AN181</f>
        <v>0</v>
      </c>
      <c r="AW181" s="20">
        <f>G181*AO181</f>
        <v>0</v>
      </c>
      <c r="AX181" s="21" t="s">
        <v>152</v>
      </c>
      <c r="AY181" s="21" t="s">
        <v>178</v>
      </c>
      <c r="AZ181" s="15" t="s">
        <v>190</v>
      </c>
      <c r="BB181" s="20">
        <f>AV181+AW181</f>
        <v>0</v>
      </c>
      <c r="BC181" s="20">
        <f>H181/(100-BD181)*100</f>
        <v>0</v>
      </c>
      <c r="BD181" s="20">
        <v>0</v>
      </c>
      <c r="BE181" s="20">
        <f>181</f>
        <v>181</v>
      </c>
      <c r="BG181" s="13">
        <f>G181*AN181</f>
        <v>0</v>
      </c>
      <c r="BH181" s="13">
        <f>G181*AO181</f>
        <v>0</v>
      </c>
      <c r="BI181" s="13">
        <f>G181*H181</f>
        <v>0</v>
      </c>
    </row>
    <row r="182" spans="1:11" ht="12.75">
      <c r="A182" s="69"/>
      <c r="B182" s="69"/>
      <c r="C182" s="157" t="s">
        <v>840</v>
      </c>
      <c r="D182" s="150"/>
      <c r="E182" s="150"/>
      <c r="F182" s="69"/>
      <c r="G182" s="70">
        <v>9.03</v>
      </c>
      <c r="H182" s="69"/>
      <c r="I182" s="69"/>
      <c r="J182" s="69"/>
      <c r="K182" s="69"/>
    </row>
    <row r="183" spans="1:61" ht="12.75">
      <c r="A183" s="67" t="s">
        <v>320</v>
      </c>
      <c r="B183" s="67" t="s">
        <v>537</v>
      </c>
      <c r="C183" s="155" t="s">
        <v>843</v>
      </c>
      <c r="D183" s="156"/>
      <c r="E183" s="156"/>
      <c r="F183" s="67" t="s">
        <v>100</v>
      </c>
      <c r="G183" s="68">
        <v>9.03</v>
      </c>
      <c r="H183" s="68">
        <v>0</v>
      </c>
      <c r="I183" s="68">
        <f>G183*AN183</f>
        <v>0</v>
      </c>
      <c r="J183" s="68">
        <f>G183*AO183</f>
        <v>0</v>
      </c>
      <c r="K183" s="68">
        <f>G183*H183</f>
        <v>0</v>
      </c>
      <c r="Y183" s="20">
        <f>IF(AP183="5",BI183,0)</f>
        <v>0</v>
      </c>
      <c r="AA183" s="20">
        <f>IF(AP183="1",BG183,0)</f>
        <v>0</v>
      </c>
      <c r="AB183" s="20">
        <f>IF(AP183="1",BH183,0)</f>
        <v>0</v>
      </c>
      <c r="AC183" s="20">
        <f>IF(AP183="7",BG183,0)</f>
        <v>0</v>
      </c>
      <c r="AD183" s="20">
        <f>IF(AP183="7",BH183,0)</f>
        <v>0</v>
      </c>
      <c r="AE183" s="20">
        <f>IF(AP183="2",BG183,0)</f>
        <v>0</v>
      </c>
      <c r="AF183" s="20">
        <f>IF(AP183="2",BH183,0)</f>
        <v>0</v>
      </c>
      <c r="AG183" s="20">
        <f>IF(AP183="0",BI183,0)</f>
        <v>0</v>
      </c>
      <c r="AH183" s="15" t="s">
        <v>135</v>
      </c>
      <c r="AI183" s="13">
        <f>IF(AM183=0,K183,0)</f>
        <v>0</v>
      </c>
      <c r="AJ183" s="13">
        <f>IF(AM183=15,K183,0)</f>
        <v>0</v>
      </c>
      <c r="AK183" s="13">
        <f>IF(AM183=21,K183,0)</f>
        <v>0</v>
      </c>
      <c r="AM183" s="20">
        <v>15</v>
      </c>
      <c r="AN183" s="20">
        <f>H183*1</f>
        <v>0</v>
      </c>
      <c r="AO183" s="20">
        <f>H183*(1-1)</f>
        <v>0</v>
      </c>
      <c r="AP183" s="17" t="s">
        <v>262</v>
      </c>
      <c r="AU183" s="20">
        <f>AV183+AW183</f>
        <v>0</v>
      </c>
      <c r="AV183" s="20">
        <f>G183*AN183</f>
        <v>0</v>
      </c>
      <c r="AW183" s="20">
        <f>G183*AO183</f>
        <v>0</v>
      </c>
      <c r="AX183" s="21" t="s">
        <v>152</v>
      </c>
      <c r="AY183" s="21" t="s">
        <v>178</v>
      </c>
      <c r="AZ183" s="15" t="s">
        <v>190</v>
      </c>
      <c r="BB183" s="20">
        <f>AV183+AW183</f>
        <v>0</v>
      </c>
      <c r="BC183" s="20">
        <f>H183/(100-BD183)*100</f>
        <v>0</v>
      </c>
      <c r="BD183" s="20">
        <v>0</v>
      </c>
      <c r="BE183" s="20">
        <f>183</f>
        <v>183</v>
      </c>
      <c r="BG183" s="13">
        <f>G183*AN183</f>
        <v>0</v>
      </c>
      <c r="BH183" s="13">
        <f>G183*AO183</f>
        <v>0</v>
      </c>
      <c r="BI183" s="13">
        <f>G183*H183</f>
        <v>0</v>
      </c>
    </row>
    <row r="184" spans="1:11" ht="12.75">
      <c r="A184" s="69"/>
      <c r="B184" s="69"/>
      <c r="C184" s="157" t="s">
        <v>840</v>
      </c>
      <c r="D184" s="150"/>
      <c r="E184" s="150"/>
      <c r="F184" s="69"/>
      <c r="G184" s="70">
        <v>9.03</v>
      </c>
      <c r="H184" s="69"/>
      <c r="I184" s="69"/>
      <c r="J184" s="69"/>
      <c r="K184" s="69"/>
    </row>
    <row r="185" spans="1:61" ht="12.75">
      <c r="A185" s="57" t="s">
        <v>321</v>
      </c>
      <c r="B185" s="57" t="s">
        <v>538</v>
      </c>
      <c r="C185" s="146" t="s">
        <v>844</v>
      </c>
      <c r="D185" s="145"/>
      <c r="E185" s="145"/>
      <c r="F185" s="57" t="s">
        <v>100</v>
      </c>
      <c r="G185" s="58">
        <v>61.447</v>
      </c>
      <c r="H185" s="58">
        <v>0</v>
      </c>
      <c r="I185" s="58">
        <f>G185*AN185</f>
        <v>0</v>
      </c>
      <c r="J185" s="58">
        <f>G185*AO185</f>
        <v>0</v>
      </c>
      <c r="K185" s="58">
        <f>G185*H185</f>
        <v>0</v>
      </c>
      <c r="Y185" s="20">
        <f>IF(AP185="5",BI185,0)</f>
        <v>0</v>
      </c>
      <c r="AA185" s="20">
        <f>IF(AP185="1",BG185,0)</f>
        <v>0</v>
      </c>
      <c r="AB185" s="20">
        <f>IF(AP185="1",BH185,0)</f>
        <v>0</v>
      </c>
      <c r="AC185" s="20">
        <f>IF(AP185="7",BG185,0)</f>
        <v>0</v>
      </c>
      <c r="AD185" s="20">
        <f>IF(AP185="7",BH185,0)</f>
        <v>0</v>
      </c>
      <c r="AE185" s="20">
        <f>IF(AP185="2",BG185,0)</f>
        <v>0</v>
      </c>
      <c r="AF185" s="20">
        <f>IF(AP185="2",BH185,0)</f>
        <v>0</v>
      </c>
      <c r="AG185" s="20">
        <f>IF(AP185="0",BI185,0)</f>
        <v>0</v>
      </c>
      <c r="AH185" s="15" t="s">
        <v>135</v>
      </c>
      <c r="AI185" s="12">
        <f>IF(AM185=0,K185,0)</f>
        <v>0</v>
      </c>
      <c r="AJ185" s="12">
        <f>IF(AM185=15,K185,0)</f>
        <v>0</v>
      </c>
      <c r="AK185" s="12">
        <f>IF(AM185=21,K185,0)</f>
        <v>0</v>
      </c>
      <c r="AM185" s="20">
        <v>15</v>
      </c>
      <c r="AN185" s="20">
        <f>H185*0.455268485351984</f>
        <v>0</v>
      </c>
      <c r="AO185" s="20">
        <f>H185*(1-0.455268485351984)</f>
        <v>0</v>
      </c>
      <c r="AP185" s="16" t="s">
        <v>262</v>
      </c>
      <c r="AU185" s="20">
        <f>AV185+AW185</f>
        <v>0</v>
      </c>
      <c r="AV185" s="20">
        <f>G185*AN185</f>
        <v>0</v>
      </c>
      <c r="AW185" s="20">
        <f>G185*AO185</f>
        <v>0</v>
      </c>
      <c r="AX185" s="21" t="s">
        <v>152</v>
      </c>
      <c r="AY185" s="21" t="s">
        <v>178</v>
      </c>
      <c r="AZ185" s="15" t="s">
        <v>190</v>
      </c>
      <c r="BB185" s="20">
        <f>AV185+AW185</f>
        <v>0</v>
      </c>
      <c r="BC185" s="20">
        <f>H185/(100-BD185)*100</f>
        <v>0</v>
      </c>
      <c r="BD185" s="20">
        <v>0</v>
      </c>
      <c r="BE185" s="20">
        <f>185</f>
        <v>185</v>
      </c>
      <c r="BG185" s="12">
        <f>G185*AN185</f>
        <v>0</v>
      </c>
      <c r="BH185" s="12">
        <f>G185*AO185</f>
        <v>0</v>
      </c>
      <c r="BI185" s="12">
        <f>G185*H185</f>
        <v>0</v>
      </c>
    </row>
    <row r="186" spans="1:11" ht="12.75">
      <c r="A186" s="59"/>
      <c r="B186" s="59"/>
      <c r="C186" s="149" t="s">
        <v>845</v>
      </c>
      <c r="D186" s="150"/>
      <c r="E186" s="150"/>
      <c r="F186" s="59"/>
      <c r="G186" s="60">
        <v>61.447</v>
      </c>
      <c r="H186" s="59"/>
      <c r="I186" s="59"/>
      <c r="J186" s="59"/>
      <c r="K186" s="59"/>
    </row>
    <row r="187" spans="1:61" ht="12.75">
      <c r="A187" s="67" t="s">
        <v>322</v>
      </c>
      <c r="B187" s="67" t="s">
        <v>539</v>
      </c>
      <c r="C187" s="155" t="s">
        <v>846</v>
      </c>
      <c r="D187" s="156"/>
      <c r="E187" s="156"/>
      <c r="F187" s="67" t="s">
        <v>100</v>
      </c>
      <c r="G187" s="68">
        <v>193.536</v>
      </c>
      <c r="H187" s="68">
        <v>0</v>
      </c>
      <c r="I187" s="68">
        <f>G187*AN187</f>
        <v>0</v>
      </c>
      <c r="J187" s="68">
        <f>G187*AO187</f>
        <v>0</v>
      </c>
      <c r="K187" s="68">
        <f>G187*H187</f>
        <v>0</v>
      </c>
      <c r="Y187" s="20">
        <f>IF(AP187="5",BI187,0)</f>
        <v>0</v>
      </c>
      <c r="AA187" s="20">
        <f>IF(AP187="1",BG187,0)</f>
        <v>0</v>
      </c>
      <c r="AB187" s="20">
        <f>IF(AP187="1",BH187,0)</f>
        <v>0</v>
      </c>
      <c r="AC187" s="20">
        <f>IF(AP187="7",BG187,0)</f>
        <v>0</v>
      </c>
      <c r="AD187" s="20">
        <f>IF(AP187="7",BH187,0)</f>
        <v>0</v>
      </c>
      <c r="AE187" s="20">
        <f>IF(AP187="2",BG187,0)</f>
        <v>0</v>
      </c>
      <c r="AF187" s="20">
        <f>IF(AP187="2",BH187,0)</f>
        <v>0</v>
      </c>
      <c r="AG187" s="20">
        <f>IF(AP187="0",BI187,0)</f>
        <v>0</v>
      </c>
      <c r="AH187" s="15" t="s">
        <v>135</v>
      </c>
      <c r="AI187" s="13">
        <f>IF(AM187=0,K187,0)</f>
        <v>0</v>
      </c>
      <c r="AJ187" s="13">
        <f>IF(AM187=15,K187,0)</f>
        <v>0</v>
      </c>
      <c r="AK187" s="13">
        <f>IF(AM187=21,K187,0)</f>
        <v>0</v>
      </c>
      <c r="AM187" s="20">
        <v>15</v>
      </c>
      <c r="AN187" s="20">
        <f>H187*1</f>
        <v>0</v>
      </c>
      <c r="AO187" s="20">
        <f>H187*(1-1)</f>
        <v>0</v>
      </c>
      <c r="AP187" s="17" t="s">
        <v>262</v>
      </c>
      <c r="AU187" s="20">
        <f>AV187+AW187</f>
        <v>0</v>
      </c>
      <c r="AV187" s="20">
        <f>G187*AN187</f>
        <v>0</v>
      </c>
      <c r="AW187" s="20">
        <f>G187*AO187</f>
        <v>0</v>
      </c>
      <c r="AX187" s="21" t="s">
        <v>152</v>
      </c>
      <c r="AY187" s="21" t="s">
        <v>178</v>
      </c>
      <c r="AZ187" s="15" t="s">
        <v>190</v>
      </c>
      <c r="BB187" s="20">
        <f>AV187+AW187</f>
        <v>0</v>
      </c>
      <c r="BC187" s="20">
        <f>H187/(100-BD187)*100</f>
        <v>0</v>
      </c>
      <c r="BD187" s="20">
        <v>0</v>
      </c>
      <c r="BE187" s="20">
        <f>187</f>
        <v>187</v>
      </c>
      <c r="BG187" s="13">
        <f>G187*AN187</f>
        <v>0</v>
      </c>
      <c r="BH187" s="13">
        <f>G187*AO187</f>
        <v>0</v>
      </c>
      <c r="BI187" s="13">
        <f>G187*H187</f>
        <v>0</v>
      </c>
    </row>
    <row r="188" spans="1:11" ht="12.75">
      <c r="A188" s="69"/>
      <c r="B188" s="69"/>
      <c r="C188" s="157" t="s">
        <v>847</v>
      </c>
      <c r="D188" s="150"/>
      <c r="E188" s="150"/>
      <c r="F188" s="69"/>
      <c r="G188" s="70">
        <v>193.536</v>
      </c>
      <c r="H188" s="69"/>
      <c r="I188" s="69"/>
      <c r="J188" s="69"/>
      <c r="K188" s="69"/>
    </row>
    <row r="189" spans="1:61" ht="12.75">
      <c r="A189" s="57" t="s">
        <v>323</v>
      </c>
      <c r="B189" s="57" t="s">
        <v>540</v>
      </c>
      <c r="C189" s="146" t="s">
        <v>848</v>
      </c>
      <c r="D189" s="145"/>
      <c r="E189" s="145"/>
      <c r="F189" s="57" t="s">
        <v>103</v>
      </c>
      <c r="G189" s="58">
        <v>1.13</v>
      </c>
      <c r="H189" s="58">
        <v>0</v>
      </c>
      <c r="I189" s="58">
        <f>G189*AN189</f>
        <v>0</v>
      </c>
      <c r="J189" s="58">
        <f>G189*AO189</f>
        <v>0</v>
      </c>
      <c r="K189" s="58">
        <f>G189*H189</f>
        <v>0</v>
      </c>
      <c r="Y189" s="20">
        <f>IF(AP189="5",BI189,0)</f>
        <v>0</v>
      </c>
      <c r="AA189" s="20">
        <f>IF(AP189="1",BG189,0)</f>
        <v>0</v>
      </c>
      <c r="AB189" s="20">
        <f>IF(AP189="1",BH189,0)</f>
        <v>0</v>
      </c>
      <c r="AC189" s="20">
        <f>IF(AP189="7",BG189,0)</f>
        <v>0</v>
      </c>
      <c r="AD189" s="20">
        <f>IF(AP189="7",BH189,0)</f>
        <v>0</v>
      </c>
      <c r="AE189" s="20">
        <f>IF(AP189="2",BG189,0)</f>
        <v>0</v>
      </c>
      <c r="AF189" s="20">
        <f>IF(AP189="2",BH189,0)</f>
        <v>0</v>
      </c>
      <c r="AG189" s="20">
        <f>IF(AP189="0",BI189,0)</f>
        <v>0</v>
      </c>
      <c r="AH189" s="15" t="s">
        <v>135</v>
      </c>
      <c r="AI189" s="12">
        <f>IF(AM189=0,K189,0)</f>
        <v>0</v>
      </c>
      <c r="AJ189" s="12">
        <f>IF(AM189=15,K189,0)</f>
        <v>0</v>
      </c>
      <c r="AK189" s="12">
        <f>IF(AM189=21,K189,0)</f>
        <v>0</v>
      </c>
      <c r="AM189" s="20">
        <v>15</v>
      </c>
      <c r="AN189" s="20">
        <f>H189*0</f>
        <v>0</v>
      </c>
      <c r="AO189" s="20">
        <f>H189*(1-0)</f>
        <v>0</v>
      </c>
      <c r="AP189" s="16" t="s">
        <v>260</v>
      </c>
      <c r="AU189" s="20">
        <f>AV189+AW189</f>
        <v>0</v>
      </c>
      <c r="AV189" s="20">
        <f>G189*AN189</f>
        <v>0</v>
      </c>
      <c r="AW189" s="20">
        <f>G189*AO189</f>
        <v>0</v>
      </c>
      <c r="AX189" s="21" t="s">
        <v>152</v>
      </c>
      <c r="AY189" s="21" t="s">
        <v>178</v>
      </c>
      <c r="AZ189" s="15" t="s">
        <v>190</v>
      </c>
      <c r="BB189" s="20">
        <f>AV189+AW189</f>
        <v>0</v>
      </c>
      <c r="BC189" s="20">
        <f>H189/(100-BD189)*100</f>
        <v>0</v>
      </c>
      <c r="BD189" s="20">
        <v>0</v>
      </c>
      <c r="BE189" s="20">
        <f>189</f>
        <v>189</v>
      </c>
      <c r="BG189" s="12">
        <f>G189*AN189</f>
        <v>0</v>
      </c>
      <c r="BH189" s="12">
        <f>G189*AO189</f>
        <v>0</v>
      </c>
      <c r="BI189" s="12">
        <f>G189*H189</f>
        <v>0</v>
      </c>
    </row>
    <row r="190" spans="1:11" ht="12.75">
      <c r="A190" s="59"/>
      <c r="B190" s="59"/>
      <c r="C190" s="149" t="s">
        <v>849</v>
      </c>
      <c r="D190" s="150"/>
      <c r="E190" s="150"/>
      <c r="F190" s="59"/>
      <c r="G190" s="60">
        <v>1.13</v>
      </c>
      <c r="H190" s="59"/>
      <c r="I190" s="59"/>
      <c r="J190" s="59"/>
      <c r="K190" s="59"/>
    </row>
    <row r="191" spans="1:46" ht="12.75">
      <c r="A191" s="2"/>
      <c r="B191" s="8" t="s">
        <v>541</v>
      </c>
      <c r="C191" s="142" t="s">
        <v>850</v>
      </c>
      <c r="D191" s="143"/>
      <c r="E191" s="143"/>
      <c r="F191" s="2" t="s">
        <v>255</v>
      </c>
      <c r="G191" s="2" t="s">
        <v>255</v>
      </c>
      <c r="H191" s="2" t="s">
        <v>255</v>
      </c>
      <c r="I191" s="22">
        <f>SUM(I192:I197)</f>
        <v>0</v>
      </c>
      <c r="J191" s="22">
        <f>SUM(J192:J197)</f>
        <v>0</v>
      </c>
      <c r="K191" s="22">
        <f>SUM(K192:K197)</f>
        <v>0</v>
      </c>
      <c r="AH191" s="15" t="s">
        <v>135</v>
      </c>
      <c r="AR191" s="22">
        <f>SUM(AI192:AI197)</f>
        <v>0</v>
      </c>
      <c r="AS191" s="22">
        <f>SUM(AJ192:AJ197)</f>
        <v>0</v>
      </c>
      <c r="AT191" s="22">
        <f>SUM(AK192:AK197)</f>
        <v>0</v>
      </c>
    </row>
    <row r="192" spans="1:61" ht="12.75">
      <c r="A192" s="57" t="s">
        <v>324</v>
      </c>
      <c r="B192" s="57" t="s">
        <v>542</v>
      </c>
      <c r="C192" s="146" t="s">
        <v>851</v>
      </c>
      <c r="D192" s="145"/>
      <c r="E192" s="145"/>
      <c r="F192" s="57" t="s">
        <v>100</v>
      </c>
      <c r="G192" s="58">
        <v>52.2</v>
      </c>
      <c r="H192" s="58">
        <v>0</v>
      </c>
      <c r="I192" s="58">
        <f>G192*AN192</f>
        <v>0</v>
      </c>
      <c r="J192" s="58">
        <f>G192*AO192</f>
        <v>0</v>
      </c>
      <c r="K192" s="58">
        <f>G192*H192</f>
        <v>0</v>
      </c>
      <c r="Y192" s="20">
        <f>IF(AP192="5",BI192,0)</f>
        <v>0</v>
      </c>
      <c r="AA192" s="20">
        <f>IF(AP192="1",BG192,0)</f>
        <v>0</v>
      </c>
      <c r="AB192" s="20">
        <f>IF(AP192="1",BH192,0)</f>
        <v>0</v>
      </c>
      <c r="AC192" s="20">
        <f>IF(AP192="7",BG192,0)</f>
        <v>0</v>
      </c>
      <c r="AD192" s="20">
        <f>IF(AP192="7",BH192,0)</f>
        <v>0</v>
      </c>
      <c r="AE192" s="20">
        <f>IF(AP192="2",BG192,0)</f>
        <v>0</v>
      </c>
      <c r="AF192" s="20">
        <f>IF(AP192="2",BH192,0)</f>
        <v>0</v>
      </c>
      <c r="AG192" s="20">
        <f>IF(AP192="0",BI192,0)</f>
        <v>0</v>
      </c>
      <c r="AH192" s="15" t="s">
        <v>135</v>
      </c>
      <c r="AI192" s="12">
        <f>IF(AM192=0,K192,0)</f>
        <v>0</v>
      </c>
      <c r="AJ192" s="12">
        <f>IF(AM192=15,K192,0)</f>
        <v>0</v>
      </c>
      <c r="AK192" s="12">
        <f>IF(AM192=21,K192,0)</f>
        <v>0</v>
      </c>
      <c r="AM192" s="20">
        <v>15</v>
      </c>
      <c r="AN192" s="20">
        <f>H192*0.134366925064599</f>
        <v>0</v>
      </c>
      <c r="AO192" s="20">
        <f>H192*(1-0.134366925064599)</f>
        <v>0</v>
      </c>
      <c r="AP192" s="16" t="s">
        <v>262</v>
      </c>
      <c r="AU192" s="20">
        <f>AV192+AW192</f>
        <v>0</v>
      </c>
      <c r="AV192" s="20">
        <f>G192*AN192</f>
        <v>0</v>
      </c>
      <c r="AW192" s="20">
        <f>G192*AO192</f>
        <v>0</v>
      </c>
      <c r="AX192" s="21" t="s">
        <v>153</v>
      </c>
      <c r="AY192" s="21" t="s">
        <v>178</v>
      </c>
      <c r="AZ192" s="15" t="s">
        <v>190</v>
      </c>
      <c r="BB192" s="20">
        <f>AV192+AW192</f>
        <v>0</v>
      </c>
      <c r="BC192" s="20">
        <f>H192/(100-BD192)*100</f>
        <v>0</v>
      </c>
      <c r="BD192" s="20">
        <v>0</v>
      </c>
      <c r="BE192" s="20">
        <f>192</f>
        <v>192</v>
      </c>
      <c r="BG192" s="12">
        <f>G192*AN192</f>
        <v>0</v>
      </c>
      <c r="BH192" s="12">
        <f>G192*AO192</f>
        <v>0</v>
      </c>
      <c r="BI192" s="12">
        <f>G192*H192</f>
        <v>0</v>
      </c>
    </row>
    <row r="193" spans="1:11" ht="12.75">
      <c r="A193" s="59"/>
      <c r="B193" s="59"/>
      <c r="C193" s="149" t="s">
        <v>852</v>
      </c>
      <c r="D193" s="150"/>
      <c r="E193" s="150"/>
      <c r="F193" s="59"/>
      <c r="G193" s="60">
        <v>52.2</v>
      </c>
      <c r="H193" s="59"/>
      <c r="I193" s="59"/>
      <c r="J193" s="59"/>
      <c r="K193" s="59"/>
    </row>
    <row r="194" spans="1:61" ht="12.75">
      <c r="A194" s="67" t="s">
        <v>325</v>
      </c>
      <c r="B194" s="67" t="s">
        <v>543</v>
      </c>
      <c r="C194" s="155" t="s">
        <v>853</v>
      </c>
      <c r="D194" s="156"/>
      <c r="E194" s="156"/>
      <c r="F194" s="67" t="s">
        <v>104</v>
      </c>
      <c r="G194" s="68">
        <v>96.25</v>
      </c>
      <c r="H194" s="68">
        <v>0</v>
      </c>
      <c r="I194" s="68">
        <f>G194*AN194</f>
        <v>0</v>
      </c>
      <c r="J194" s="68">
        <f>G194*AO194</f>
        <v>0</v>
      </c>
      <c r="K194" s="68">
        <f>G194*H194</f>
        <v>0</v>
      </c>
      <c r="Y194" s="20">
        <f>IF(AP194="5",BI194,0)</f>
        <v>0</v>
      </c>
      <c r="AA194" s="20">
        <f>IF(AP194="1",BG194,0)</f>
        <v>0</v>
      </c>
      <c r="AB194" s="20">
        <f>IF(AP194="1",BH194,0)</f>
        <v>0</v>
      </c>
      <c r="AC194" s="20">
        <f>IF(AP194="7",BG194,0)</f>
        <v>0</v>
      </c>
      <c r="AD194" s="20">
        <f>IF(AP194="7",BH194,0)</f>
        <v>0</v>
      </c>
      <c r="AE194" s="20">
        <f>IF(AP194="2",BG194,0)</f>
        <v>0</v>
      </c>
      <c r="AF194" s="20">
        <f>IF(AP194="2",BH194,0)</f>
        <v>0</v>
      </c>
      <c r="AG194" s="20">
        <f>IF(AP194="0",BI194,0)</f>
        <v>0</v>
      </c>
      <c r="AH194" s="15" t="s">
        <v>135</v>
      </c>
      <c r="AI194" s="13">
        <f>IF(AM194=0,K194,0)</f>
        <v>0</v>
      </c>
      <c r="AJ194" s="13">
        <f>IF(AM194=15,K194,0)</f>
        <v>0</v>
      </c>
      <c r="AK194" s="13">
        <f>IF(AM194=21,K194,0)</f>
        <v>0</v>
      </c>
      <c r="AM194" s="20">
        <v>15</v>
      </c>
      <c r="AN194" s="20">
        <f>H194*1</f>
        <v>0</v>
      </c>
      <c r="AO194" s="20">
        <f>H194*(1-1)</f>
        <v>0</v>
      </c>
      <c r="AP194" s="17" t="s">
        <v>262</v>
      </c>
      <c r="AU194" s="20">
        <f>AV194+AW194</f>
        <v>0</v>
      </c>
      <c r="AV194" s="20">
        <f>G194*AN194</f>
        <v>0</v>
      </c>
      <c r="AW194" s="20">
        <f>G194*AO194</f>
        <v>0</v>
      </c>
      <c r="AX194" s="21" t="s">
        <v>153</v>
      </c>
      <c r="AY194" s="21" t="s">
        <v>178</v>
      </c>
      <c r="AZ194" s="15" t="s">
        <v>190</v>
      </c>
      <c r="BB194" s="20">
        <f>AV194+AW194</f>
        <v>0</v>
      </c>
      <c r="BC194" s="20">
        <f>H194/(100-BD194)*100</f>
        <v>0</v>
      </c>
      <c r="BD194" s="20">
        <v>0</v>
      </c>
      <c r="BE194" s="20">
        <f>194</f>
        <v>194</v>
      </c>
      <c r="BG194" s="13">
        <f>G194*AN194</f>
        <v>0</v>
      </c>
      <c r="BH194" s="13">
        <f>G194*AO194</f>
        <v>0</v>
      </c>
      <c r="BI194" s="13">
        <f>G194*H194</f>
        <v>0</v>
      </c>
    </row>
    <row r="195" spans="1:11" ht="12.75">
      <c r="A195" s="69"/>
      <c r="B195" s="69"/>
      <c r="C195" s="157" t="s">
        <v>854</v>
      </c>
      <c r="D195" s="150"/>
      <c r="E195" s="150"/>
      <c r="F195" s="69"/>
      <c r="G195" s="70">
        <v>96.25</v>
      </c>
      <c r="H195" s="69"/>
      <c r="I195" s="69"/>
      <c r="J195" s="69"/>
      <c r="K195" s="69"/>
    </row>
    <row r="196" spans="2:11" ht="38.25" customHeight="1">
      <c r="B196" s="9" t="s">
        <v>475</v>
      </c>
      <c r="C196" s="158" t="s">
        <v>855</v>
      </c>
      <c r="D196" s="159"/>
      <c r="E196" s="159"/>
      <c r="F196" s="159"/>
      <c r="G196" s="159"/>
      <c r="H196" s="159"/>
      <c r="I196" s="159"/>
      <c r="J196" s="159"/>
      <c r="K196" s="159"/>
    </row>
    <row r="197" spans="1:61" ht="12.75">
      <c r="A197" s="57" t="s">
        <v>326</v>
      </c>
      <c r="B197" s="57" t="s">
        <v>544</v>
      </c>
      <c r="C197" s="146" t="s">
        <v>856</v>
      </c>
      <c r="D197" s="145"/>
      <c r="E197" s="145"/>
      <c r="F197" s="57" t="s">
        <v>103</v>
      </c>
      <c r="G197" s="58">
        <v>0.078</v>
      </c>
      <c r="H197" s="58">
        <v>0</v>
      </c>
      <c r="I197" s="58">
        <f>G197*AN197</f>
        <v>0</v>
      </c>
      <c r="J197" s="58">
        <f>G197*AO197</f>
        <v>0</v>
      </c>
      <c r="K197" s="58">
        <f>G197*H197</f>
        <v>0</v>
      </c>
      <c r="Y197" s="20">
        <f>IF(AP197="5",BI197,0)</f>
        <v>0</v>
      </c>
      <c r="AA197" s="20">
        <f>IF(AP197="1",BG197,0)</f>
        <v>0</v>
      </c>
      <c r="AB197" s="20">
        <f>IF(AP197="1",BH197,0)</f>
        <v>0</v>
      </c>
      <c r="AC197" s="20">
        <f>IF(AP197="7",BG197,0)</f>
        <v>0</v>
      </c>
      <c r="AD197" s="20">
        <f>IF(AP197="7",BH197,0)</f>
        <v>0</v>
      </c>
      <c r="AE197" s="20">
        <f>IF(AP197="2",BG197,0)</f>
        <v>0</v>
      </c>
      <c r="AF197" s="20">
        <f>IF(AP197="2",BH197,0)</f>
        <v>0</v>
      </c>
      <c r="AG197" s="20">
        <f>IF(AP197="0",BI197,0)</f>
        <v>0</v>
      </c>
      <c r="AH197" s="15" t="s">
        <v>135</v>
      </c>
      <c r="AI197" s="12">
        <f>IF(AM197=0,K197,0)</f>
        <v>0</v>
      </c>
      <c r="AJ197" s="12">
        <f>IF(AM197=15,K197,0)</f>
        <v>0</v>
      </c>
      <c r="AK197" s="12">
        <f>IF(AM197=21,K197,0)</f>
        <v>0</v>
      </c>
      <c r="AM197" s="20">
        <v>15</v>
      </c>
      <c r="AN197" s="20">
        <f>H197*0</f>
        <v>0</v>
      </c>
      <c r="AO197" s="20">
        <f>H197*(1-0)</f>
        <v>0</v>
      </c>
      <c r="AP197" s="16" t="s">
        <v>260</v>
      </c>
      <c r="AU197" s="20">
        <f>AV197+AW197</f>
        <v>0</v>
      </c>
      <c r="AV197" s="20">
        <f>G197*AN197</f>
        <v>0</v>
      </c>
      <c r="AW197" s="20">
        <f>G197*AO197</f>
        <v>0</v>
      </c>
      <c r="AX197" s="21" t="s">
        <v>153</v>
      </c>
      <c r="AY197" s="21" t="s">
        <v>178</v>
      </c>
      <c r="AZ197" s="15" t="s">
        <v>190</v>
      </c>
      <c r="BB197" s="20">
        <f>AV197+AW197</f>
        <v>0</v>
      </c>
      <c r="BC197" s="20">
        <f>H197/(100-BD197)*100</f>
        <v>0</v>
      </c>
      <c r="BD197" s="20">
        <v>0</v>
      </c>
      <c r="BE197" s="20">
        <f>197</f>
        <v>197</v>
      </c>
      <c r="BG197" s="12">
        <f>G197*AN197</f>
        <v>0</v>
      </c>
      <c r="BH197" s="12">
        <f>G197*AO197</f>
        <v>0</v>
      </c>
      <c r="BI197" s="12">
        <f>G197*H197</f>
        <v>0</v>
      </c>
    </row>
    <row r="198" spans="1:11" ht="12.75">
      <c r="A198" s="59"/>
      <c r="B198" s="59"/>
      <c r="C198" s="149" t="s">
        <v>857</v>
      </c>
      <c r="D198" s="150"/>
      <c r="E198" s="150"/>
      <c r="F198" s="59"/>
      <c r="G198" s="60">
        <v>0.078</v>
      </c>
      <c r="H198" s="59"/>
      <c r="I198" s="59"/>
      <c r="J198" s="59"/>
      <c r="K198" s="59"/>
    </row>
    <row r="199" spans="1:46" ht="12.75">
      <c r="A199" s="2"/>
      <c r="B199" s="8" t="s">
        <v>545</v>
      </c>
      <c r="C199" s="142" t="s">
        <v>858</v>
      </c>
      <c r="D199" s="143"/>
      <c r="E199" s="143"/>
      <c r="F199" s="2" t="s">
        <v>255</v>
      </c>
      <c r="G199" s="2" t="s">
        <v>255</v>
      </c>
      <c r="H199" s="2" t="s">
        <v>255</v>
      </c>
      <c r="I199" s="22">
        <f>SUM(I200:I216)</f>
        <v>0</v>
      </c>
      <c r="J199" s="22">
        <f>SUM(J200:J216)</f>
        <v>0</v>
      </c>
      <c r="K199" s="22">
        <f>SUM(K200:K216)</f>
        <v>0</v>
      </c>
      <c r="AH199" s="15" t="s">
        <v>135</v>
      </c>
      <c r="AR199" s="22">
        <f>SUM(AI200:AI216)</f>
        <v>0</v>
      </c>
      <c r="AS199" s="22">
        <f>SUM(AJ200:AJ216)</f>
        <v>0</v>
      </c>
      <c r="AT199" s="22">
        <f>SUM(AK200:AK216)</f>
        <v>0</v>
      </c>
    </row>
    <row r="200" spans="1:61" ht="12.75">
      <c r="A200" s="57" t="s">
        <v>327</v>
      </c>
      <c r="B200" s="57" t="s">
        <v>546</v>
      </c>
      <c r="C200" s="146" t="s">
        <v>859</v>
      </c>
      <c r="D200" s="145"/>
      <c r="E200" s="145"/>
      <c r="F200" s="57" t="s">
        <v>102</v>
      </c>
      <c r="G200" s="58">
        <v>2.7</v>
      </c>
      <c r="H200" s="58">
        <v>0</v>
      </c>
      <c r="I200" s="58">
        <f>G200*AN200</f>
        <v>0</v>
      </c>
      <c r="J200" s="58">
        <f>G200*AO200</f>
        <v>0</v>
      </c>
      <c r="K200" s="58">
        <f>G200*H200</f>
        <v>0</v>
      </c>
      <c r="Y200" s="20">
        <f>IF(AP200="5",BI200,0)</f>
        <v>0</v>
      </c>
      <c r="AA200" s="20">
        <f>IF(AP200="1",BG200,0)</f>
        <v>0</v>
      </c>
      <c r="AB200" s="20">
        <f>IF(AP200="1",BH200,0)</f>
        <v>0</v>
      </c>
      <c r="AC200" s="20">
        <f>IF(AP200="7",BG200,0)</f>
        <v>0</v>
      </c>
      <c r="AD200" s="20">
        <f>IF(AP200="7",BH200,0)</f>
        <v>0</v>
      </c>
      <c r="AE200" s="20">
        <f>IF(AP200="2",BG200,0)</f>
        <v>0</v>
      </c>
      <c r="AF200" s="20">
        <f>IF(AP200="2",BH200,0)</f>
        <v>0</v>
      </c>
      <c r="AG200" s="20">
        <f>IF(AP200="0",BI200,0)</f>
        <v>0</v>
      </c>
      <c r="AH200" s="15" t="s">
        <v>135</v>
      </c>
      <c r="AI200" s="12">
        <f>IF(AM200=0,K200,0)</f>
        <v>0</v>
      </c>
      <c r="AJ200" s="12">
        <f>IF(AM200=15,K200,0)</f>
        <v>0</v>
      </c>
      <c r="AK200" s="12">
        <f>IF(AM200=21,K200,0)</f>
        <v>0</v>
      </c>
      <c r="AM200" s="20">
        <v>15</v>
      </c>
      <c r="AN200" s="20">
        <f>H200*0.520833333333333</f>
        <v>0</v>
      </c>
      <c r="AO200" s="20">
        <f>H200*(1-0.520833333333333)</f>
        <v>0</v>
      </c>
      <c r="AP200" s="16" t="s">
        <v>262</v>
      </c>
      <c r="AU200" s="20">
        <f>AV200+AW200</f>
        <v>0</v>
      </c>
      <c r="AV200" s="20">
        <f>G200*AN200</f>
        <v>0</v>
      </c>
      <c r="AW200" s="20">
        <f>G200*AO200</f>
        <v>0</v>
      </c>
      <c r="AX200" s="21" t="s">
        <v>154</v>
      </c>
      <c r="AY200" s="21" t="s">
        <v>179</v>
      </c>
      <c r="AZ200" s="15" t="s">
        <v>190</v>
      </c>
      <c r="BB200" s="20">
        <f>AV200+AW200</f>
        <v>0</v>
      </c>
      <c r="BC200" s="20">
        <f>H200/(100-BD200)*100</f>
        <v>0</v>
      </c>
      <c r="BD200" s="20">
        <v>0</v>
      </c>
      <c r="BE200" s="20">
        <f>200</f>
        <v>200</v>
      </c>
      <c r="BG200" s="12">
        <f>G200*AN200</f>
        <v>0</v>
      </c>
      <c r="BH200" s="12">
        <f>G200*AO200</f>
        <v>0</v>
      </c>
      <c r="BI200" s="12">
        <f>G200*H200</f>
        <v>0</v>
      </c>
    </row>
    <row r="201" spans="3:5" ht="12.75">
      <c r="C201" s="147" t="s">
        <v>860</v>
      </c>
      <c r="D201" s="148"/>
      <c r="E201" s="148"/>
    </row>
    <row r="202" spans="1:11" ht="12.75">
      <c r="A202" s="59"/>
      <c r="B202" s="59"/>
      <c r="C202" s="149" t="s">
        <v>861</v>
      </c>
      <c r="D202" s="150"/>
      <c r="E202" s="150"/>
      <c r="F202" s="59"/>
      <c r="G202" s="60">
        <v>2.7</v>
      </c>
      <c r="H202" s="59"/>
      <c r="I202" s="59"/>
      <c r="J202" s="59"/>
      <c r="K202" s="59"/>
    </row>
    <row r="203" spans="1:61" ht="12.75">
      <c r="A203" s="67" t="s">
        <v>328</v>
      </c>
      <c r="B203" s="67" t="s">
        <v>547</v>
      </c>
      <c r="C203" s="155" t="s">
        <v>862</v>
      </c>
      <c r="D203" s="156"/>
      <c r="E203" s="156"/>
      <c r="F203" s="67" t="s">
        <v>104</v>
      </c>
      <c r="G203" s="68">
        <v>1</v>
      </c>
      <c r="H203" s="68">
        <v>0</v>
      </c>
      <c r="I203" s="68">
        <f>G203*AN203</f>
        <v>0</v>
      </c>
      <c r="J203" s="68">
        <f>G203*AO203</f>
        <v>0</v>
      </c>
      <c r="K203" s="68">
        <f>G203*H203</f>
        <v>0</v>
      </c>
      <c r="Y203" s="20">
        <f>IF(AP203="5",BI203,0)</f>
        <v>0</v>
      </c>
      <c r="AA203" s="20">
        <f>IF(AP203="1",BG203,0)</f>
        <v>0</v>
      </c>
      <c r="AB203" s="20">
        <f>IF(AP203="1",BH203,0)</f>
        <v>0</v>
      </c>
      <c r="AC203" s="20">
        <f>IF(AP203="7",BG203,0)</f>
        <v>0</v>
      </c>
      <c r="AD203" s="20">
        <f>IF(AP203="7",BH203,0)</f>
        <v>0</v>
      </c>
      <c r="AE203" s="20">
        <f>IF(AP203="2",BG203,0)</f>
        <v>0</v>
      </c>
      <c r="AF203" s="20">
        <f>IF(AP203="2",BH203,0)</f>
        <v>0</v>
      </c>
      <c r="AG203" s="20">
        <f>IF(AP203="0",BI203,0)</f>
        <v>0</v>
      </c>
      <c r="AH203" s="15" t="s">
        <v>135</v>
      </c>
      <c r="AI203" s="13">
        <f>IF(AM203=0,K203,0)</f>
        <v>0</v>
      </c>
      <c r="AJ203" s="13">
        <f>IF(AM203=15,K203,0)</f>
        <v>0</v>
      </c>
      <c r="AK203" s="13">
        <f>IF(AM203=21,K203,0)</f>
        <v>0</v>
      </c>
      <c r="AM203" s="20">
        <v>15</v>
      </c>
      <c r="AN203" s="20">
        <f>H203*1</f>
        <v>0</v>
      </c>
      <c r="AO203" s="20">
        <f>H203*(1-1)</f>
        <v>0</v>
      </c>
      <c r="AP203" s="17" t="s">
        <v>262</v>
      </c>
      <c r="AU203" s="20">
        <f>AV203+AW203</f>
        <v>0</v>
      </c>
      <c r="AV203" s="20">
        <f>G203*AN203</f>
        <v>0</v>
      </c>
      <c r="AW203" s="20">
        <f>G203*AO203</f>
        <v>0</v>
      </c>
      <c r="AX203" s="21" t="s">
        <v>154</v>
      </c>
      <c r="AY203" s="21" t="s">
        <v>179</v>
      </c>
      <c r="AZ203" s="15" t="s">
        <v>190</v>
      </c>
      <c r="BB203" s="20">
        <f>AV203+AW203</f>
        <v>0</v>
      </c>
      <c r="BC203" s="20">
        <f>H203/(100-BD203)*100</f>
        <v>0</v>
      </c>
      <c r="BD203" s="20">
        <v>0</v>
      </c>
      <c r="BE203" s="20">
        <f>203</f>
        <v>203</v>
      </c>
      <c r="BG203" s="13">
        <f>G203*AN203</f>
        <v>0</v>
      </c>
      <c r="BH203" s="13">
        <f>G203*AO203</f>
        <v>0</v>
      </c>
      <c r="BI203" s="13">
        <f>G203*H203</f>
        <v>0</v>
      </c>
    </row>
    <row r="204" spans="1:11" ht="12.75">
      <c r="A204" s="69"/>
      <c r="B204" s="69"/>
      <c r="C204" s="157" t="s">
        <v>816</v>
      </c>
      <c r="D204" s="150"/>
      <c r="E204" s="150"/>
      <c r="F204" s="69"/>
      <c r="G204" s="70">
        <v>1</v>
      </c>
      <c r="H204" s="69"/>
      <c r="I204" s="69"/>
      <c r="J204" s="69"/>
      <c r="K204" s="69"/>
    </row>
    <row r="205" spans="1:61" ht="12.75">
      <c r="A205" s="67" t="s">
        <v>329</v>
      </c>
      <c r="B205" s="67" t="s">
        <v>548</v>
      </c>
      <c r="C205" s="155" t="s">
        <v>863</v>
      </c>
      <c r="D205" s="156"/>
      <c r="E205" s="156"/>
      <c r="F205" s="67" t="s">
        <v>104</v>
      </c>
      <c r="G205" s="68">
        <v>1</v>
      </c>
      <c r="H205" s="68">
        <v>0</v>
      </c>
      <c r="I205" s="68">
        <f>G205*AN205</f>
        <v>0</v>
      </c>
      <c r="J205" s="68">
        <f>G205*AO205</f>
        <v>0</v>
      </c>
      <c r="K205" s="68">
        <f>G205*H205</f>
        <v>0</v>
      </c>
      <c r="Y205" s="20">
        <f>IF(AP205="5",BI205,0)</f>
        <v>0</v>
      </c>
      <c r="AA205" s="20">
        <f>IF(AP205="1",BG205,0)</f>
        <v>0</v>
      </c>
      <c r="AB205" s="20">
        <f>IF(AP205="1",BH205,0)</f>
        <v>0</v>
      </c>
      <c r="AC205" s="20">
        <f>IF(AP205="7",BG205,0)</f>
        <v>0</v>
      </c>
      <c r="AD205" s="20">
        <f>IF(AP205="7",BH205,0)</f>
        <v>0</v>
      </c>
      <c r="AE205" s="20">
        <f>IF(AP205="2",BG205,0)</f>
        <v>0</v>
      </c>
      <c r="AF205" s="20">
        <f>IF(AP205="2",BH205,0)</f>
        <v>0</v>
      </c>
      <c r="AG205" s="20">
        <f>IF(AP205="0",BI205,0)</f>
        <v>0</v>
      </c>
      <c r="AH205" s="15" t="s">
        <v>135</v>
      </c>
      <c r="AI205" s="13">
        <f>IF(AM205=0,K205,0)</f>
        <v>0</v>
      </c>
      <c r="AJ205" s="13">
        <f>IF(AM205=15,K205,0)</f>
        <v>0</v>
      </c>
      <c r="AK205" s="13">
        <f>IF(AM205=21,K205,0)</f>
        <v>0</v>
      </c>
      <c r="AM205" s="20">
        <v>15</v>
      </c>
      <c r="AN205" s="20">
        <f>H205*1</f>
        <v>0</v>
      </c>
      <c r="AO205" s="20">
        <f>H205*(1-1)</f>
        <v>0</v>
      </c>
      <c r="AP205" s="17" t="s">
        <v>262</v>
      </c>
      <c r="AU205" s="20">
        <f>AV205+AW205</f>
        <v>0</v>
      </c>
      <c r="AV205" s="20">
        <f>G205*AN205</f>
        <v>0</v>
      </c>
      <c r="AW205" s="20">
        <f>G205*AO205</f>
        <v>0</v>
      </c>
      <c r="AX205" s="21" t="s">
        <v>154</v>
      </c>
      <c r="AY205" s="21" t="s">
        <v>179</v>
      </c>
      <c r="AZ205" s="15" t="s">
        <v>190</v>
      </c>
      <c r="BB205" s="20">
        <f>AV205+AW205</f>
        <v>0</v>
      </c>
      <c r="BC205" s="20">
        <f>H205/(100-BD205)*100</f>
        <v>0</v>
      </c>
      <c r="BD205" s="20">
        <v>0</v>
      </c>
      <c r="BE205" s="20">
        <f>205</f>
        <v>205</v>
      </c>
      <c r="BG205" s="13">
        <f>G205*AN205</f>
        <v>0</v>
      </c>
      <c r="BH205" s="13">
        <f>G205*AO205</f>
        <v>0</v>
      </c>
      <c r="BI205" s="13">
        <f>G205*H205</f>
        <v>0</v>
      </c>
    </row>
    <row r="206" spans="1:11" ht="12.75">
      <c r="A206" s="69"/>
      <c r="B206" s="69"/>
      <c r="C206" s="157" t="s">
        <v>816</v>
      </c>
      <c r="D206" s="150"/>
      <c r="E206" s="150"/>
      <c r="F206" s="69"/>
      <c r="G206" s="70">
        <v>1</v>
      </c>
      <c r="H206" s="69"/>
      <c r="I206" s="69"/>
      <c r="J206" s="69"/>
      <c r="K206" s="69"/>
    </row>
    <row r="207" spans="1:61" ht="12.75">
      <c r="A207" s="67" t="s">
        <v>330</v>
      </c>
      <c r="B207" s="67" t="s">
        <v>549</v>
      </c>
      <c r="C207" s="155" t="s">
        <v>864</v>
      </c>
      <c r="D207" s="156"/>
      <c r="E207" s="156"/>
      <c r="F207" s="67" t="s">
        <v>104</v>
      </c>
      <c r="G207" s="68">
        <v>1</v>
      </c>
      <c r="H207" s="68">
        <v>0</v>
      </c>
      <c r="I207" s="68">
        <f>G207*AN207</f>
        <v>0</v>
      </c>
      <c r="J207" s="68">
        <f>G207*AO207</f>
        <v>0</v>
      </c>
      <c r="K207" s="68">
        <f>G207*H207</f>
        <v>0</v>
      </c>
      <c r="Y207" s="20">
        <f>IF(AP207="5",BI207,0)</f>
        <v>0</v>
      </c>
      <c r="AA207" s="20">
        <f>IF(AP207="1",BG207,0)</f>
        <v>0</v>
      </c>
      <c r="AB207" s="20">
        <f>IF(AP207="1",BH207,0)</f>
        <v>0</v>
      </c>
      <c r="AC207" s="20">
        <f>IF(AP207="7",BG207,0)</f>
        <v>0</v>
      </c>
      <c r="AD207" s="20">
        <f>IF(AP207="7",BH207,0)</f>
        <v>0</v>
      </c>
      <c r="AE207" s="20">
        <f>IF(AP207="2",BG207,0)</f>
        <v>0</v>
      </c>
      <c r="AF207" s="20">
        <f>IF(AP207="2",BH207,0)</f>
        <v>0</v>
      </c>
      <c r="AG207" s="20">
        <f>IF(AP207="0",BI207,0)</f>
        <v>0</v>
      </c>
      <c r="AH207" s="15" t="s">
        <v>135</v>
      </c>
      <c r="AI207" s="13">
        <f>IF(AM207=0,K207,0)</f>
        <v>0</v>
      </c>
      <c r="AJ207" s="13">
        <f>IF(AM207=15,K207,0)</f>
        <v>0</v>
      </c>
      <c r="AK207" s="13">
        <f>IF(AM207=21,K207,0)</f>
        <v>0</v>
      </c>
      <c r="AM207" s="20">
        <v>15</v>
      </c>
      <c r="AN207" s="20">
        <f>H207*1</f>
        <v>0</v>
      </c>
      <c r="AO207" s="20">
        <f>H207*(1-1)</f>
        <v>0</v>
      </c>
      <c r="AP207" s="17" t="s">
        <v>262</v>
      </c>
      <c r="AU207" s="20">
        <f>AV207+AW207</f>
        <v>0</v>
      </c>
      <c r="AV207" s="20">
        <f>G207*AN207</f>
        <v>0</v>
      </c>
      <c r="AW207" s="20">
        <f>G207*AO207</f>
        <v>0</v>
      </c>
      <c r="AX207" s="21" t="s">
        <v>154</v>
      </c>
      <c r="AY207" s="21" t="s">
        <v>179</v>
      </c>
      <c r="AZ207" s="15" t="s">
        <v>190</v>
      </c>
      <c r="BB207" s="20">
        <f>AV207+AW207</f>
        <v>0</v>
      </c>
      <c r="BC207" s="20">
        <f>H207/(100-BD207)*100</f>
        <v>0</v>
      </c>
      <c r="BD207" s="20">
        <v>0</v>
      </c>
      <c r="BE207" s="20">
        <f>207</f>
        <v>207</v>
      </c>
      <c r="BG207" s="13">
        <f>G207*AN207</f>
        <v>0</v>
      </c>
      <c r="BH207" s="13">
        <f>G207*AO207</f>
        <v>0</v>
      </c>
      <c r="BI207" s="13">
        <f>G207*H207</f>
        <v>0</v>
      </c>
    </row>
    <row r="208" spans="1:11" ht="12.75">
      <c r="A208" s="69"/>
      <c r="B208" s="69"/>
      <c r="C208" s="157" t="s">
        <v>816</v>
      </c>
      <c r="D208" s="150"/>
      <c r="E208" s="150"/>
      <c r="F208" s="69"/>
      <c r="G208" s="70">
        <v>1</v>
      </c>
      <c r="H208" s="69"/>
      <c r="I208" s="69"/>
      <c r="J208" s="69"/>
      <c r="K208" s="69"/>
    </row>
    <row r="209" spans="1:61" ht="12.75">
      <c r="A209" s="67" t="s">
        <v>331</v>
      </c>
      <c r="B209" s="67" t="s">
        <v>550</v>
      </c>
      <c r="C209" s="155" t="s">
        <v>865</v>
      </c>
      <c r="D209" s="156"/>
      <c r="E209" s="156"/>
      <c r="F209" s="67" t="s">
        <v>104</v>
      </c>
      <c r="G209" s="68">
        <v>1</v>
      </c>
      <c r="H209" s="68">
        <v>0</v>
      </c>
      <c r="I209" s="68">
        <f>G209*AN209</f>
        <v>0</v>
      </c>
      <c r="J209" s="68">
        <f>G209*AO209</f>
        <v>0</v>
      </c>
      <c r="K209" s="68">
        <f>G209*H209</f>
        <v>0</v>
      </c>
      <c r="Y209" s="20">
        <f>IF(AP209="5",BI209,0)</f>
        <v>0</v>
      </c>
      <c r="AA209" s="20">
        <f>IF(AP209="1",BG209,0)</f>
        <v>0</v>
      </c>
      <c r="AB209" s="20">
        <f>IF(AP209="1",BH209,0)</f>
        <v>0</v>
      </c>
      <c r="AC209" s="20">
        <f>IF(AP209="7",BG209,0)</f>
        <v>0</v>
      </c>
      <c r="AD209" s="20">
        <f>IF(AP209="7",BH209,0)</f>
        <v>0</v>
      </c>
      <c r="AE209" s="20">
        <f>IF(AP209="2",BG209,0)</f>
        <v>0</v>
      </c>
      <c r="AF209" s="20">
        <f>IF(AP209="2",BH209,0)</f>
        <v>0</v>
      </c>
      <c r="AG209" s="20">
        <f>IF(AP209="0",BI209,0)</f>
        <v>0</v>
      </c>
      <c r="AH209" s="15" t="s">
        <v>135</v>
      </c>
      <c r="AI209" s="13">
        <f>IF(AM209=0,K209,0)</f>
        <v>0</v>
      </c>
      <c r="AJ209" s="13">
        <f>IF(AM209=15,K209,0)</f>
        <v>0</v>
      </c>
      <c r="AK209" s="13">
        <f>IF(AM209=21,K209,0)</f>
        <v>0</v>
      </c>
      <c r="AM209" s="20">
        <v>15</v>
      </c>
      <c r="AN209" s="20">
        <f>H209*1</f>
        <v>0</v>
      </c>
      <c r="AO209" s="20">
        <f>H209*(1-1)</f>
        <v>0</v>
      </c>
      <c r="AP209" s="17" t="s">
        <v>262</v>
      </c>
      <c r="AU209" s="20">
        <f>AV209+AW209</f>
        <v>0</v>
      </c>
      <c r="AV209" s="20">
        <f>G209*AN209</f>
        <v>0</v>
      </c>
      <c r="AW209" s="20">
        <f>G209*AO209</f>
        <v>0</v>
      </c>
      <c r="AX209" s="21" t="s">
        <v>154</v>
      </c>
      <c r="AY209" s="21" t="s">
        <v>179</v>
      </c>
      <c r="AZ209" s="15" t="s">
        <v>190</v>
      </c>
      <c r="BB209" s="20">
        <f>AV209+AW209</f>
        <v>0</v>
      </c>
      <c r="BC209" s="20">
        <f>H209/(100-BD209)*100</f>
        <v>0</v>
      </c>
      <c r="BD209" s="20">
        <v>0</v>
      </c>
      <c r="BE209" s="20">
        <f>209</f>
        <v>209</v>
      </c>
      <c r="BG209" s="13">
        <f>G209*AN209</f>
        <v>0</v>
      </c>
      <c r="BH209" s="13">
        <f>G209*AO209</f>
        <v>0</v>
      </c>
      <c r="BI209" s="13">
        <f>G209*H209</f>
        <v>0</v>
      </c>
    </row>
    <row r="210" spans="1:11" ht="12.75">
      <c r="A210" s="69"/>
      <c r="B210" s="69"/>
      <c r="C210" s="157" t="s">
        <v>816</v>
      </c>
      <c r="D210" s="150"/>
      <c r="E210" s="150"/>
      <c r="F210" s="69"/>
      <c r="G210" s="70">
        <v>1</v>
      </c>
      <c r="H210" s="69"/>
      <c r="I210" s="69"/>
      <c r="J210" s="69"/>
      <c r="K210" s="69"/>
    </row>
    <row r="211" spans="1:61" ht="12.75">
      <c r="A211" s="57" t="s">
        <v>332</v>
      </c>
      <c r="B211" s="57" t="s">
        <v>551</v>
      </c>
      <c r="C211" s="146" t="s">
        <v>866</v>
      </c>
      <c r="D211" s="145"/>
      <c r="E211" s="145"/>
      <c r="F211" s="57" t="s">
        <v>104</v>
      </c>
      <c r="G211" s="58">
        <v>1</v>
      </c>
      <c r="H211" s="58">
        <v>0</v>
      </c>
      <c r="I211" s="58">
        <f>G211*AN211</f>
        <v>0</v>
      </c>
      <c r="J211" s="58">
        <f>G211*AO211</f>
        <v>0</v>
      </c>
      <c r="K211" s="58">
        <f>G211*H211</f>
        <v>0</v>
      </c>
      <c r="Y211" s="20">
        <f>IF(AP211="5",BI211,0)</f>
        <v>0</v>
      </c>
      <c r="AA211" s="20">
        <f>IF(AP211="1",BG211,0)</f>
        <v>0</v>
      </c>
      <c r="AB211" s="20">
        <f>IF(AP211="1",BH211,0)</f>
        <v>0</v>
      </c>
      <c r="AC211" s="20">
        <f>IF(AP211="7",BG211,0)</f>
        <v>0</v>
      </c>
      <c r="AD211" s="20">
        <f>IF(AP211="7",BH211,0)</f>
        <v>0</v>
      </c>
      <c r="AE211" s="20">
        <f>IF(AP211="2",BG211,0)</f>
        <v>0</v>
      </c>
      <c r="AF211" s="20">
        <f>IF(AP211="2",BH211,0)</f>
        <v>0</v>
      </c>
      <c r="AG211" s="20">
        <f>IF(AP211="0",BI211,0)</f>
        <v>0</v>
      </c>
      <c r="AH211" s="15" t="s">
        <v>135</v>
      </c>
      <c r="AI211" s="12">
        <f>IF(AM211=0,K211,0)</f>
        <v>0</v>
      </c>
      <c r="AJ211" s="12">
        <f>IF(AM211=15,K211,0)</f>
        <v>0</v>
      </c>
      <c r="AK211" s="12">
        <f>IF(AM211=21,K211,0)</f>
        <v>0</v>
      </c>
      <c r="AM211" s="20">
        <v>15</v>
      </c>
      <c r="AN211" s="20">
        <f>H211*0.224183976261128</f>
        <v>0</v>
      </c>
      <c r="AO211" s="20">
        <f>H211*(1-0.224183976261128)</f>
        <v>0</v>
      </c>
      <c r="AP211" s="16" t="s">
        <v>262</v>
      </c>
      <c r="AU211" s="20">
        <f>AV211+AW211</f>
        <v>0</v>
      </c>
      <c r="AV211" s="20">
        <f>G211*AN211</f>
        <v>0</v>
      </c>
      <c r="AW211" s="20">
        <f>G211*AO211</f>
        <v>0</v>
      </c>
      <c r="AX211" s="21" t="s">
        <v>154</v>
      </c>
      <c r="AY211" s="21" t="s">
        <v>179</v>
      </c>
      <c r="AZ211" s="15" t="s">
        <v>190</v>
      </c>
      <c r="BB211" s="20">
        <f>AV211+AW211</f>
        <v>0</v>
      </c>
      <c r="BC211" s="20">
        <f>H211/(100-BD211)*100</f>
        <v>0</v>
      </c>
      <c r="BD211" s="20">
        <v>0</v>
      </c>
      <c r="BE211" s="20">
        <f>211</f>
        <v>211</v>
      </c>
      <c r="BG211" s="12">
        <f>G211*AN211</f>
        <v>0</v>
      </c>
      <c r="BH211" s="12">
        <f>G211*AO211</f>
        <v>0</v>
      </c>
      <c r="BI211" s="12">
        <f>G211*H211</f>
        <v>0</v>
      </c>
    </row>
    <row r="212" spans="1:11" ht="12.75">
      <c r="A212" s="59"/>
      <c r="B212" s="59"/>
      <c r="C212" s="149" t="s">
        <v>867</v>
      </c>
      <c r="D212" s="150"/>
      <c r="E212" s="150"/>
      <c r="F212" s="59"/>
      <c r="G212" s="60">
        <v>1</v>
      </c>
      <c r="H212" s="59"/>
      <c r="I212" s="59"/>
      <c r="J212" s="59"/>
      <c r="K212" s="59"/>
    </row>
    <row r="213" spans="1:61" ht="12.75">
      <c r="A213" s="67" t="s">
        <v>333</v>
      </c>
      <c r="B213" s="67" t="s">
        <v>552</v>
      </c>
      <c r="C213" s="155" t="s">
        <v>868</v>
      </c>
      <c r="D213" s="145"/>
      <c r="E213" s="145"/>
      <c r="F213" s="67" t="s">
        <v>104</v>
      </c>
      <c r="G213" s="68">
        <v>1</v>
      </c>
      <c r="H213" s="68">
        <v>0</v>
      </c>
      <c r="I213" s="68">
        <f>G213*AN213</f>
        <v>0</v>
      </c>
      <c r="J213" s="68">
        <f>G213*AO213</f>
        <v>0</v>
      </c>
      <c r="K213" s="68">
        <f>G213*H213</f>
        <v>0</v>
      </c>
      <c r="Y213" s="20">
        <f>IF(AP213="5",BI213,0)</f>
        <v>0</v>
      </c>
      <c r="AA213" s="20">
        <f>IF(AP213="1",BG213,0)</f>
        <v>0</v>
      </c>
      <c r="AB213" s="20">
        <f>IF(AP213="1",BH213,0)</f>
        <v>0</v>
      </c>
      <c r="AC213" s="20">
        <f>IF(AP213="7",BG213,0)</f>
        <v>0</v>
      </c>
      <c r="AD213" s="20">
        <f>IF(AP213="7",BH213,0)</f>
        <v>0</v>
      </c>
      <c r="AE213" s="20">
        <f>IF(AP213="2",BG213,0)</f>
        <v>0</v>
      </c>
      <c r="AF213" s="20">
        <f>IF(AP213="2",BH213,0)</f>
        <v>0</v>
      </c>
      <c r="AG213" s="20">
        <f>IF(AP213="0",BI213,0)</f>
        <v>0</v>
      </c>
      <c r="AH213" s="15" t="s">
        <v>135</v>
      </c>
      <c r="AI213" s="12">
        <f>IF(AM213=0,K213,0)</f>
        <v>0</v>
      </c>
      <c r="AJ213" s="12">
        <f>IF(AM213=15,K213,0)</f>
        <v>0</v>
      </c>
      <c r="AK213" s="12">
        <f>IF(AM213=21,K213,0)</f>
        <v>0</v>
      </c>
      <c r="AM213" s="20">
        <v>15</v>
      </c>
      <c r="AN213" s="20">
        <f>H213*1</f>
        <v>0</v>
      </c>
      <c r="AO213" s="20">
        <f>H213*(1-1)</f>
        <v>0</v>
      </c>
      <c r="AP213" s="16" t="s">
        <v>262</v>
      </c>
      <c r="AU213" s="20">
        <f>AV213+AW213</f>
        <v>0</v>
      </c>
      <c r="AV213" s="20">
        <f>G213*AN213</f>
        <v>0</v>
      </c>
      <c r="AW213" s="20">
        <f>G213*AO213</f>
        <v>0</v>
      </c>
      <c r="AX213" s="21" t="s">
        <v>154</v>
      </c>
      <c r="AY213" s="21" t="s">
        <v>179</v>
      </c>
      <c r="AZ213" s="15" t="s">
        <v>190</v>
      </c>
      <c r="BB213" s="20">
        <f>AV213+AW213</f>
        <v>0</v>
      </c>
      <c r="BC213" s="20">
        <f>H213/(100-BD213)*100</f>
        <v>0</v>
      </c>
      <c r="BD213" s="20">
        <v>0</v>
      </c>
      <c r="BE213" s="20">
        <f>213</f>
        <v>213</v>
      </c>
      <c r="BG213" s="12">
        <f>G213*AN213</f>
        <v>0</v>
      </c>
      <c r="BH213" s="12">
        <f>G213*AO213</f>
        <v>0</v>
      </c>
      <c r="BI213" s="12">
        <f>G213*H213</f>
        <v>0</v>
      </c>
    </row>
    <row r="214" spans="3:5" ht="12.75">
      <c r="C214" s="147" t="s">
        <v>869</v>
      </c>
      <c r="D214" s="148"/>
      <c r="E214" s="148"/>
    </row>
    <row r="215" spans="1:11" ht="12.75">
      <c r="A215" s="69"/>
      <c r="B215" s="69"/>
      <c r="C215" s="157" t="s">
        <v>816</v>
      </c>
      <c r="D215" s="150"/>
      <c r="E215" s="150"/>
      <c r="F215" s="69"/>
      <c r="G215" s="70">
        <v>1</v>
      </c>
      <c r="H215" s="69"/>
      <c r="I215" s="69"/>
      <c r="J215" s="69"/>
      <c r="K215" s="69"/>
    </row>
    <row r="216" spans="1:61" ht="12.75">
      <c r="A216" s="57" t="s">
        <v>334</v>
      </c>
      <c r="B216" s="57" t="s">
        <v>553</v>
      </c>
      <c r="C216" s="146" t="s">
        <v>870</v>
      </c>
      <c r="D216" s="145"/>
      <c r="E216" s="145"/>
      <c r="F216" s="57" t="s">
        <v>103</v>
      </c>
      <c r="G216" s="58">
        <v>0.0136</v>
      </c>
      <c r="H216" s="58">
        <v>0</v>
      </c>
      <c r="I216" s="58">
        <f>G216*AN216</f>
        <v>0</v>
      </c>
      <c r="J216" s="58">
        <f>G216*AO216</f>
        <v>0</v>
      </c>
      <c r="K216" s="58">
        <f>G216*H216</f>
        <v>0</v>
      </c>
      <c r="Y216" s="20">
        <f>IF(AP216="5",BI216,0)</f>
        <v>0</v>
      </c>
      <c r="AA216" s="20">
        <f>IF(AP216="1",BG216,0)</f>
        <v>0</v>
      </c>
      <c r="AB216" s="20">
        <f>IF(AP216="1",BH216,0)</f>
        <v>0</v>
      </c>
      <c r="AC216" s="20">
        <f>IF(AP216="7",BG216,0)</f>
        <v>0</v>
      </c>
      <c r="AD216" s="20">
        <f>IF(AP216="7",BH216,0)</f>
        <v>0</v>
      </c>
      <c r="AE216" s="20">
        <f>IF(AP216="2",BG216,0)</f>
        <v>0</v>
      </c>
      <c r="AF216" s="20">
        <f>IF(AP216="2",BH216,0)</f>
        <v>0</v>
      </c>
      <c r="AG216" s="20">
        <f>IF(AP216="0",BI216,0)</f>
        <v>0</v>
      </c>
      <c r="AH216" s="15" t="s">
        <v>135</v>
      </c>
      <c r="AI216" s="12">
        <f>IF(AM216=0,K216,0)</f>
        <v>0</v>
      </c>
      <c r="AJ216" s="12">
        <f>IF(AM216=15,K216,0)</f>
        <v>0</v>
      </c>
      <c r="AK216" s="12">
        <f>IF(AM216=21,K216,0)</f>
        <v>0</v>
      </c>
      <c r="AM216" s="20">
        <v>15</v>
      </c>
      <c r="AN216" s="20">
        <f>H216*0</f>
        <v>0</v>
      </c>
      <c r="AO216" s="20">
        <f>H216*(1-0)</f>
        <v>0</v>
      </c>
      <c r="AP216" s="16" t="s">
        <v>260</v>
      </c>
      <c r="AU216" s="20">
        <f>AV216+AW216</f>
        <v>0</v>
      </c>
      <c r="AV216" s="20">
        <f>G216*AN216</f>
        <v>0</v>
      </c>
      <c r="AW216" s="20">
        <f>G216*AO216</f>
        <v>0</v>
      </c>
      <c r="AX216" s="21" t="s">
        <v>154</v>
      </c>
      <c r="AY216" s="21" t="s">
        <v>179</v>
      </c>
      <c r="AZ216" s="15" t="s">
        <v>190</v>
      </c>
      <c r="BB216" s="20">
        <f>AV216+AW216</f>
        <v>0</v>
      </c>
      <c r="BC216" s="20">
        <f>H216/(100-BD216)*100</f>
        <v>0</v>
      </c>
      <c r="BD216" s="20">
        <v>0</v>
      </c>
      <c r="BE216" s="20">
        <f>216</f>
        <v>216</v>
      </c>
      <c r="BG216" s="12">
        <f>G216*AN216</f>
        <v>0</v>
      </c>
      <c r="BH216" s="12">
        <f>G216*AO216</f>
        <v>0</v>
      </c>
      <c r="BI216" s="12">
        <f>G216*H216</f>
        <v>0</v>
      </c>
    </row>
    <row r="217" spans="1:11" ht="12.75">
      <c r="A217" s="59"/>
      <c r="B217" s="59"/>
      <c r="C217" s="149" t="s">
        <v>871</v>
      </c>
      <c r="D217" s="150"/>
      <c r="E217" s="150"/>
      <c r="F217" s="59"/>
      <c r="G217" s="60">
        <v>0.0136</v>
      </c>
      <c r="H217" s="59"/>
      <c r="I217" s="59"/>
      <c r="J217" s="59"/>
      <c r="K217" s="59"/>
    </row>
    <row r="218" spans="1:46" ht="12.75">
      <c r="A218" s="2"/>
      <c r="B218" s="8" t="s">
        <v>554</v>
      </c>
      <c r="C218" s="142" t="s">
        <v>872</v>
      </c>
      <c r="D218" s="143"/>
      <c r="E218" s="143"/>
      <c r="F218" s="2" t="s">
        <v>255</v>
      </c>
      <c r="G218" s="2" t="s">
        <v>255</v>
      </c>
      <c r="H218" s="2" t="s">
        <v>255</v>
      </c>
      <c r="I218" s="22">
        <f>SUM(I219:I222)</f>
        <v>0</v>
      </c>
      <c r="J218" s="22">
        <f>SUM(J219:J222)</f>
        <v>0</v>
      </c>
      <c r="K218" s="22">
        <f>SUM(K219:K222)</f>
        <v>0</v>
      </c>
      <c r="AH218" s="15" t="s">
        <v>135</v>
      </c>
      <c r="AR218" s="22">
        <f>SUM(AI219:AI222)</f>
        <v>0</v>
      </c>
      <c r="AS218" s="22">
        <f>SUM(AJ219:AJ222)</f>
        <v>0</v>
      </c>
      <c r="AT218" s="22">
        <f>SUM(AK219:AK222)</f>
        <v>0</v>
      </c>
    </row>
    <row r="219" spans="1:61" ht="12.75">
      <c r="A219" s="57" t="s">
        <v>335</v>
      </c>
      <c r="B219" s="57" t="s">
        <v>555</v>
      </c>
      <c r="C219" s="146" t="s">
        <v>873</v>
      </c>
      <c r="D219" s="145"/>
      <c r="E219" s="145"/>
      <c r="F219" s="57" t="s">
        <v>100</v>
      </c>
      <c r="G219" s="58">
        <v>2.562</v>
      </c>
      <c r="H219" s="58">
        <v>0</v>
      </c>
      <c r="I219" s="58">
        <f>G219*AN219</f>
        <v>0</v>
      </c>
      <c r="J219" s="58">
        <f>G219*AO219</f>
        <v>0</v>
      </c>
      <c r="K219" s="58">
        <f>G219*H219</f>
        <v>0</v>
      </c>
      <c r="Y219" s="20">
        <f>IF(AP219="5",BI219,0)</f>
        <v>0</v>
      </c>
      <c r="AA219" s="20">
        <f>IF(AP219="1",BG219,0)</f>
        <v>0</v>
      </c>
      <c r="AB219" s="20">
        <f>IF(AP219="1",BH219,0)</f>
        <v>0</v>
      </c>
      <c r="AC219" s="20">
        <f>IF(AP219="7",BG219,0)</f>
        <v>0</v>
      </c>
      <c r="AD219" s="20">
        <f>IF(AP219="7",BH219,0)</f>
        <v>0</v>
      </c>
      <c r="AE219" s="20">
        <f>IF(AP219="2",BG219,0)</f>
        <v>0</v>
      </c>
      <c r="AF219" s="20">
        <f>IF(AP219="2",BH219,0)</f>
        <v>0</v>
      </c>
      <c r="AG219" s="20">
        <f>IF(AP219="0",BI219,0)</f>
        <v>0</v>
      </c>
      <c r="AH219" s="15" t="s">
        <v>135</v>
      </c>
      <c r="AI219" s="12">
        <f>IF(AM219=0,K219,0)</f>
        <v>0</v>
      </c>
      <c r="AJ219" s="12">
        <f>IF(AM219=15,K219,0)</f>
        <v>0</v>
      </c>
      <c r="AK219" s="12">
        <f>IF(AM219=21,K219,0)</f>
        <v>0</v>
      </c>
      <c r="AM219" s="20">
        <v>15</v>
      </c>
      <c r="AN219" s="20">
        <f>H219*0.775162601626016</f>
        <v>0</v>
      </c>
      <c r="AO219" s="20">
        <f>H219*(1-0.775162601626016)</f>
        <v>0</v>
      </c>
      <c r="AP219" s="16" t="s">
        <v>262</v>
      </c>
      <c r="AU219" s="20">
        <f>AV219+AW219</f>
        <v>0</v>
      </c>
      <c r="AV219" s="20">
        <f>G219*AN219</f>
        <v>0</v>
      </c>
      <c r="AW219" s="20">
        <f>G219*AO219</f>
        <v>0</v>
      </c>
      <c r="AX219" s="21" t="s">
        <v>155</v>
      </c>
      <c r="AY219" s="21" t="s">
        <v>180</v>
      </c>
      <c r="AZ219" s="15" t="s">
        <v>190</v>
      </c>
      <c r="BB219" s="20">
        <f>AV219+AW219</f>
        <v>0</v>
      </c>
      <c r="BC219" s="20">
        <f>H219/(100-BD219)*100</f>
        <v>0</v>
      </c>
      <c r="BD219" s="20">
        <v>0</v>
      </c>
      <c r="BE219" s="20">
        <f>219</f>
        <v>219</v>
      </c>
      <c r="BG219" s="12">
        <f>G219*AN219</f>
        <v>0</v>
      </c>
      <c r="BH219" s="12">
        <f>G219*AO219</f>
        <v>0</v>
      </c>
      <c r="BI219" s="12">
        <f>G219*H219</f>
        <v>0</v>
      </c>
    </row>
    <row r="220" spans="3:5" ht="12.75">
      <c r="C220" s="147" t="s">
        <v>874</v>
      </c>
      <c r="D220" s="148"/>
      <c r="E220" s="148"/>
    </row>
    <row r="221" spans="1:11" ht="12.75">
      <c r="A221" s="59"/>
      <c r="B221" s="59"/>
      <c r="C221" s="149" t="s">
        <v>875</v>
      </c>
      <c r="D221" s="150"/>
      <c r="E221" s="150"/>
      <c r="F221" s="59"/>
      <c r="G221" s="60">
        <v>2.562</v>
      </c>
      <c r="H221" s="59"/>
      <c r="I221" s="59"/>
      <c r="J221" s="59"/>
      <c r="K221" s="59"/>
    </row>
    <row r="222" spans="1:61" ht="12.75">
      <c r="A222" s="57" t="s">
        <v>336</v>
      </c>
      <c r="B222" s="57" t="s">
        <v>556</v>
      </c>
      <c r="C222" s="146" t="s">
        <v>876</v>
      </c>
      <c r="D222" s="145"/>
      <c r="E222" s="145"/>
      <c r="F222" s="57" t="s">
        <v>103</v>
      </c>
      <c r="G222" s="58">
        <v>0.316</v>
      </c>
      <c r="H222" s="58">
        <v>0</v>
      </c>
      <c r="I222" s="58">
        <f>G222*AN222</f>
        <v>0</v>
      </c>
      <c r="J222" s="58">
        <f>G222*AO222</f>
        <v>0</v>
      </c>
      <c r="K222" s="58">
        <f>G222*H222</f>
        <v>0</v>
      </c>
      <c r="Y222" s="20">
        <f>IF(AP222="5",BI222,0)</f>
        <v>0</v>
      </c>
      <c r="AA222" s="20">
        <f>IF(AP222="1",BG222,0)</f>
        <v>0</v>
      </c>
      <c r="AB222" s="20">
        <f>IF(AP222="1",BH222,0)</f>
        <v>0</v>
      </c>
      <c r="AC222" s="20">
        <f>IF(AP222="7",BG222,0)</f>
        <v>0</v>
      </c>
      <c r="AD222" s="20">
        <f>IF(AP222="7",BH222,0)</f>
        <v>0</v>
      </c>
      <c r="AE222" s="20">
        <f>IF(AP222="2",BG222,0)</f>
        <v>0</v>
      </c>
      <c r="AF222" s="20">
        <f>IF(AP222="2",BH222,0)</f>
        <v>0</v>
      </c>
      <c r="AG222" s="20">
        <f>IF(AP222="0",BI222,0)</f>
        <v>0</v>
      </c>
      <c r="AH222" s="15" t="s">
        <v>135</v>
      </c>
      <c r="AI222" s="12">
        <f>IF(AM222=0,K222,0)</f>
        <v>0</v>
      </c>
      <c r="AJ222" s="12">
        <f>IF(AM222=15,K222,0)</f>
        <v>0</v>
      </c>
      <c r="AK222" s="12">
        <f>IF(AM222=21,K222,0)</f>
        <v>0</v>
      </c>
      <c r="AM222" s="20">
        <v>15</v>
      </c>
      <c r="AN222" s="20">
        <f>H222*0</f>
        <v>0</v>
      </c>
      <c r="AO222" s="20">
        <f>H222*(1-0)</f>
        <v>0</v>
      </c>
      <c r="AP222" s="16" t="s">
        <v>260</v>
      </c>
      <c r="AU222" s="20">
        <f>AV222+AW222</f>
        <v>0</v>
      </c>
      <c r="AV222" s="20">
        <f>G222*AN222</f>
        <v>0</v>
      </c>
      <c r="AW222" s="20">
        <f>G222*AO222</f>
        <v>0</v>
      </c>
      <c r="AX222" s="21" t="s">
        <v>155</v>
      </c>
      <c r="AY222" s="21" t="s">
        <v>180</v>
      </c>
      <c r="AZ222" s="15" t="s">
        <v>190</v>
      </c>
      <c r="BB222" s="20">
        <f>AV222+AW222</f>
        <v>0</v>
      </c>
      <c r="BC222" s="20">
        <f>H222/(100-BD222)*100</f>
        <v>0</v>
      </c>
      <c r="BD222" s="20">
        <v>0</v>
      </c>
      <c r="BE222" s="20">
        <f>222</f>
        <v>222</v>
      </c>
      <c r="BG222" s="12">
        <f>G222*AN222</f>
        <v>0</v>
      </c>
      <c r="BH222" s="12">
        <f>G222*AO222</f>
        <v>0</v>
      </c>
      <c r="BI222" s="12">
        <f>G222*H222</f>
        <v>0</v>
      </c>
    </row>
    <row r="223" spans="1:11" ht="12.75">
      <c r="A223" s="59"/>
      <c r="B223" s="59"/>
      <c r="C223" s="149" t="s">
        <v>877</v>
      </c>
      <c r="D223" s="150"/>
      <c r="E223" s="150"/>
      <c r="F223" s="59"/>
      <c r="G223" s="60">
        <v>0.316</v>
      </c>
      <c r="H223" s="59"/>
      <c r="I223" s="59"/>
      <c r="J223" s="59"/>
      <c r="K223" s="59"/>
    </row>
    <row r="224" spans="1:46" ht="12.75">
      <c r="A224" s="2"/>
      <c r="B224" s="8" t="s">
        <v>557</v>
      </c>
      <c r="C224" s="142" t="s">
        <v>878</v>
      </c>
      <c r="D224" s="143"/>
      <c r="E224" s="143"/>
      <c r="F224" s="2" t="s">
        <v>255</v>
      </c>
      <c r="G224" s="2" t="s">
        <v>255</v>
      </c>
      <c r="H224" s="2" t="s">
        <v>255</v>
      </c>
      <c r="I224" s="22">
        <f>SUM(I225:I249)</f>
        <v>0</v>
      </c>
      <c r="J224" s="22">
        <f>SUM(J225:J249)</f>
        <v>0</v>
      </c>
      <c r="K224" s="22">
        <f>SUM(K225:K249)</f>
        <v>0</v>
      </c>
      <c r="AH224" s="15" t="s">
        <v>135</v>
      </c>
      <c r="AR224" s="22">
        <f>SUM(AI225:AI249)</f>
        <v>0</v>
      </c>
      <c r="AS224" s="22">
        <f>SUM(AJ225:AJ249)</f>
        <v>0</v>
      </c>
      <c r="AT224" s="22">
        <f>SUM(AK225:AK249)</f>
        <v>0</v>
      </c>
    </row>
    <row r="225" spans="1:61" ht="12.75">
      <c r="A225" s="57" t="s">
        <v>337</v>
      </c>
      <c r="B225" s="57" t="s">
        <v>558</v>
      </c>
      <c r="C225" s="146" t="s">
        <v>879</v>
      </c>
      <c r="D225" s="145"/>
      <c r="E225" s="145"/>
      <c r="F225" s="57" t="s">
        <v>100</v>
      </c>
      <c r="G225" s="58">
        <v>52.2</v>
      </c>
      <c r="H225" s="58">
        <v>0</v>
      </c>
      <c r="I225" s="58">
        <f>G225*AN225</f>
        <v>0</v>
      </c>
      <c r="J225" s="58">
        <f>G225*AO225</f>
        <v>0</v>
      </c>
      <c r="K225" s="58">
        <f>G225*H225</f>
        <v>0</v>
      </c>
      <c r="Y225" s="20">
        <f>IF(AP225="5",BI225,0)</f>
        <v>0</v>
      </c>
      <c r="AA225" s="20">
        <f>IF(AP225="1",BG225,0)</f>
        <v>0</v>
      </c>
      <c r="AB225" s="20">
        <f>IF(AP225="1",BH225,0)</f>
        <v>0</v>
      </c>
      <c r="AC225" s="20">
        <f>IF(AP225="7",BG225,0)</f>
        <v>0</v>
      </c>
      <c r="AD225" s="20">
        <f>IF(AP225="7",BH225,0)</f>
        <v>0</v>
      </c>
      <c r="AE225" s="20">
        <f>IF(AP225="2",BG225,0)</f>
        <v>0</v>
      </c>
      <c r="AF225" s="20">
        <f>IF(AP225="2",BH225,0)</f>
        <v>0</v>
      </c>
      <c r="AG225" s="20">
        <f>IF(AP225="0",BI225,0)</f>
        <v>0</v>
      </c>
      <c r="AH225" s="15" t="s">
        <v>135</v>
      </c>
      <c r="AI225" s="12">
        <f>IF(AM225=0,K225,0)</f>
        <v>0</v>
      </c>
      <c r="AJ225" s="12">
        <f>IF(AM225=15,K225,0)</f>
        <v>0</v>
      </c>
      <c r="AK225" s="12">
        <f>IF(AM225=21,K225,0)</f>
        <v>0</v>
      </c>
      <c r="AM225" s="20">
        <v>15</v>
      </c>
      <c r="AN225" s="20">
        <f>H225*0.0727547169811321</f>
        <v>0</v>
      </c>
      <c r="AO225" s="20">
        <f>H225*(1-0.0727547169811321)</f>
        <v>0</v>
      </c>
      <c r="AP225" s="16" t="s">
        <v>262</v>
      </c>
      <c r="AU225" s="20">
        <f>AV225+AW225</f>
        <v>0</v>
      </c>
      <c r="AV225" s="20">
        <f>G225*AN225</f>
        <v>0</v>
      </c>
      <c r="AW225" s="20">
        <f>G225*AO225</f>
        <v>0</v>
      </c>
      <c r="AX225" s="21" t="s">
        <v>156</v>
      </c>
      <c r="AY225" s="21" t="s">
        <v>180</v>
      </c>
      <c r="AZ225" s="15" t="s">
        <v>190</v>
      </c>
      <c r="BB225" s="20">
        <f>AV225+AW225</f>
        <v>0</v>
      </c>
      <c r="BC225" s="20">
        <f>H225/(100-BD225)*100</f>
        <v>0</v>
      </c>
      <c r="BD225" s="20">
        <v>0</v>
      </c>
      <c r="BE225" s="20">
        <f>225</f>
        <v>225</v>
      </c>
      <c r="BG225" s="12">
        <f>G225*AN225</f>
        <v>0</v>
      </c>
      <c r="BH225" s="12">
        <f>G225*AO225</f>
        <v>0</v>
      </c>
      <c r="BI225" s="12">
        <f>G225*H225</f>
        <v>0</v>
      </c>
    </row>
    <row r="226" spans="3:5" ht="25.5" customHeight="1">
      <c r="C226" s="147" t="s">
        <v>880</v>
      </c>
      <c r="D226" s="148"/>
      <c r="E226" s="148"/>
    </row>
    <row r="227" spans="1:11" ht="12.75">
      <c r="A227" s="59"/>
      <c r="B227" s="59"/>
      <c r="C227" s="149" t="s">
        <v>852</v>
      </c>
      <c r="D227" s="150"/>
      <c r="E227" s="150"/>
      <c r="F227" s="59"/>
      <c r="G227" s="60">
        <v>52.2</v>
      </c>
      <c r="H227" s="59"/>
      <c r="I227" s="59"/>
      <c r="J227" s="59"/>
      <c r="K227" s="59"/>
    </row>
    <row r="228" spans="1:61" ht="12.75">
      <c r="A228" s="67" t="s">
        <v>338</v>
      </c>
      <c r="B228" s="67" t="s">
        <v>559</v>
      </c>
      <c r="C228" s="155" t="s">
        <v>881</v>
      </c>
      <c r="D228" s="156"/>
      <c r="E228" s="156"/>
      <c r="F228" s="67" t="s">
        <v>100</v>
      </c>
      <c r="G228" s="68">
        <v>112.752</v>
      </c>
      <c r="H228" s="68">
        <v>0</v>
      </c>
      <c r="I228" s="68">
        <f>G228*AN228</f>
        <v>0</v>
      </c>
      <c r="J228" s="68">
        <f>G228*AO228</f>
        <v>0</v>
      </c>
      <c r="K228" s="68">
        <f>G228*H228</f>
        <v>0</v>
      </c>
      <c r="Y228" s="20">
        <f>IF(AP228="5",BI228,0)</f>
        <v>0</v>
      </c>
      <c r="AA228" s="20">
        <f>IF(AP228="1",BG228,0)</f>
        <v>0</v>
      </c>
      <c r="AB228" s="20">
        <f>IF(AP228="1",BH228,0)</f>
        <v>0</v>
      </c>
      <c r="AC228" s="20">
        <f>IF(AP228="7",BG228,0)</f>
        <v>0</v>
      </c>
      <c r="AD228" s="20">
        <f>IF(AP228="7",BH228,0)</f>
        <v>0</v>
      </c>
      <c r="AE228" s="20">
        <f>IF(AP228="2",BG228,0)</f>
        <v>0</v>
      </c>
      <c r="AF228" s="20">
        <f>IF(AP228="2",BH228,0)</f>
        <v>0</v>
      </c>
      <c r="AG228" s="20">
        <f>IF(AP228="0",BI228,0)</f>
        <v>0</v>
      </c>
      <c r="AH228" s="15" t="s">
        <v>135</v>
      </c>
      <c r="AI228" s="13">
        <f>IF(AM228=0,K228,0)</f>
        <v>0</v>
      </c>
      <c r="AJ228" s="13">
        <f>IF(AM228=15,K228,0)</f>
        <v>0</v>
      </c>
      <c r="AK228" s="13">
        <f>IF(AM228=21,K228,0)</f>
        <v>0</v>
      </c>
      <c r="AM228" s="20">
        <v>15</v>
      </c>
      <c r="AN228" s="20">
        <f>H228*1</f>
        <v>0</v>
      </c>
      <c r="AO228" s="20">
        <f>H228*(1-1)</f>
        <v>0</v>
      </c>
      <c r="AP228" s="17" t="s">
        <v>262</v>
      </c>
      <c r="AU228" s="20">
        <f>AV228+AW228</f>
        <v>0</v>
      </c>
      <c r="AV228" s="20">
        <f>G228*AN228</f>
        <v>0</v>
      </c>
      <c r="AW228" s="20">
        <f>G228*AO228</f>
        <v>0</v>
      </c>
      <c r="AX228" s="21" t="s">
        <v>156</v>
      </c>
      <c r="AY228" s="21" t="s">
        <v>180</v>
      </c>
      <c r="AZ228" s="15" t="s">
        <v>190</v>
      </c>
      <c r="BB228" s="20">
        <f>AV228+AW228</f>
        <v>0</v>
      </c>
      <c r="BC228" s="20">
        <f>H228/(100-BD228)*100</f>
        <v>0</v>
      </c>
      <c r="BD228" s="20">
        <v>0</v>
      </c>
      <c r="BE228" s="20">
        <f>228</f>
        <v>228</v>
      </c>
      <c r="BG228" s="13">
        <f>G228*AN228</f>
        <v>0</v>
      </c>
      <c r="BH228" s="13">
        <f>G228*AO228</f>
        <v>0</v>
      </c>
      <c r="BI228" s="13">
        <f>G228*H228</f>
        <v>0</v>
      </c>
    </row>
    <row r="229" spans="1:11" ht="12.75">
      <c r="A229" s="69"/>
      <c r="B229" s="69"/>
      <c r="C229" s="157" t="s">
        <v>882</v>
      </c>
      <c r="D229" s="150"/>
      <c r="E229" s="150"/>
      <c r="F229" s="69"/>
      <c r="G229" s="70">
        <v>112.752</v>
      </c>
      <c r="H229" s="69"/>
      <c r="I229" s="69"/>
      <c r="J229" s="69"/>
      <c r="K229" s="69"/>
    </row>
    <row r="230" spans="1:61" ht="12.75">
      <c r="A230" s="71" t="s">
        <v>339</v>
      </c>
      <c r="B230" s="71" t="s">
        <v>560</v>
      </c>
      <c r="C230" s="160" t="s">
        <v>883</v>
      </c>
      <c r="D230" s="145"/>
      <c r="E230" s="161"/>
      <c r="F230" s="71" t="s">
        <v>101</v>
      </c>
      <c r="G230" s="73">
        <v>3.7584</v>
      </c>
      <c r="H230" s="73">
        <v>0</v>
      </c>
      <c r="I230" s="73">
        <f>G230*AN230</f>
        <v>0</v>
      </c>
      <c r="J230" s="73">
        <f>G230*AO230</f>
        <v>0</v>
      </c>
      <c r="K230" s="73">
        <f>G230*H230</f>
        <v>0</v>
      </c>
      <c r="Y230" s="20">
        <f>IF(AP230="5",BI230,0)</f>
        <v>0</v>
      </c>
      <c r="AA230" s="20">
        <f>IF(AP230="1",BG230,0)</f>
        <v>0</v>
      </c>
      <c r="AB230" s="20">
        <f>IF(AP230="1",BH230,0)</f>
        <v>0</v>
      </c>
      <c r="AC230" s="20">
        <f>IF(AP230="7",BG230,0)</f>
        <v>0</v>
      </c>
      <c r="AD230" s="20">
        <f>IF(AP230="7",BH230,0)</f>
        <v>0</v>
      </c>
      <c r="AE230" s="20">
        <f>IF(AP230="2",BG230,0)</f>
        <v>0</v>
      </c>
      <c r="AF230" s="20">
        <f>IF(AP230="2",BH230,0)</f>
        <v>0</v>
      </c>
      <c r="AG230" s="20">
        <f>IF(AP230="0",BI230,0)</f>
        <v>0</v>
      </c>
      <c r="AH230" s="15" t="s">
        <v>135</v>
      </c>
      <c r="AI230" s="12">
        <f>IF(AM230=0,K230,0)</f>
        <v>0</v>
      </c>
      <c r="AJ230" s="12">
        <f>IF(AM230=15,K230,0)</f>
        <v>0</v>
      </c>
      <c r="AK230" s="12">
        <f>IF(AM230=21,K230,0)</f>
        <v>0</v>
      </c>
      <c r="AM230" s="20">
        <v>15</v>
      </c>
      <c r="AN230" s="20">
        <f>H230*1.00000692221165</f>
        <v>0</v>
      </c>
      <c r="AO230" s="20">
        <f>H230*(1-1.00000692221165)</f>
        <v>0</v>
      </c>
      <c r="AP230" s="16" t="s">
        <v>262</v>
      </c>
      <c r="AU230" s="20">
        <f>AV230+AW230</f>
        <v>0</v>
      </c>
      <c r="AV230" s="20">
        <f>G230*AN230</f>
        <v>0</v>
      </c>
      <c r="AW230" s="20">
        <f>G230*AO230</f>
        <v>0</v>
      </c>
      <c r="AX230" s="21" t="s">
        <v>156</v>
      </c>
      <c r="AY230" s="21" t="s">
        <v>180</v>
      </c>
      <c r="AZ230" s="15" t="s">
        <v>190</v>
      </c>
      <c r="BB230" s="20">
        <f>AV230+AW230</f>
        <v>0</v>
      </c>
      <c r="BC230" s="20">
        <f>H230/(100-BD230)*100</f>
        <v>0</v>
      </c>
      <c r="BD230" s="20">
        <v>0</v>
      </c>
      <c r="BE230" s="20">
        <f>230</f>
        <v>230</v>
      </c>
      <c r="BG230" s="12">
        <f>G230*AN230</f>
        <v>0</v>
      </c>
      <c r="BH230" s="12">
        <f>G230*AO230</f>
        <v>0</v>
      </c>
      <c r="BI230" s="12">
        <f>G230*H230</f>
        <v>0</v>
      </c>
    </row>
    <row r="231" spans="1:11" ht="12.75">
      <c r="A231" s="72"/>
      <c r="B231" s="72"/>
      <c r="C231" s="162" t="s">
        <v>884</v>
      </c>
      <c r="D231" s="150"/>
      <c r="E231" s="163"/>
      <c r="F231" s="72"/>
      <c r="G231" s="74">
        <v>3.7584</v>
      </c>
      <c r="H231" s="72"/>
      <c r="I231" s="72"/>
      <c r="J231" s="72"/>
      <c r="K231" s="72"/>
    </row>
    <row r="232" spans="1:61" ht="12.75">
      <c r="A232" s="57" t="s">
        <v>340</v>
      </c>
      <c r="B232" s="57" t="s">
        <v>561</v>
      </c>
      <c r="C232" s="146" t="s">
        <v>885</v>
      </c>
      <c r="D232" s="145"/>
      <c r="E232" s="145"/>
      <c r="F232" s="57" t="s">
        <v>100</v>
      </c>
      <c r="G232" s="58">
        <v>122.894</v>
      </c>
      <c r="H232" s="58">
        <v>0</v>
      </c>
      <c r="I232" s="58">
        <f>G232*AN232</f>
        <v>0</v>
      </c>
      <c r="J232" s="58">
        <f>G232*AO232</f>
        <v>0</v>
      </c>
      <c r="K232" s="58">
        <f>G232*H232</f>
        <v>0</v>
      </c>
      <c r="Y232" s="20">
        <f>IF(AP232="5",BI232,0)</f>
        <v>0</v>
      </c>
      <c r="AA232" s="20">
        <f>IF(AP232="1",BG232,0)</f>
        <v>0</v>
      </c>
      <c r="AB232" s="20">
        <f>IF(AP232="1",BH232,0)</f>
        <v>0</v>
      </c>
      <c r="AC232" s="20">
        <f>IF(AP232="7",BG232,0)</f>
        <v>0</v>
      </c>
      <c r="AD232" s="20">
        <f>IF(AP232="7",BH232,0)</f>
        <v>0</v>
      </c>
      <c r="AE232" s="20">
        <f>IF(AP232="2",BG232,0)</f>
        <v>0</v>
      </c>
      <c r="AF232" s="20">
        <f>IF(AP232="2",BH232,0)</f>
        <v>0</v>
      </c>
      <c r="AG232" s="20">
        <f>IF(AP232="0",BI232,0)</f>
        <v>0</v>
      </c>
      <c r="AH232" s="15" t="s">
        <v>135</v>
      </c>
      <c r="AI232" s="12">
        <f>IF(AM232=0,K232,0)</f>
        <v>0</v>
      </c>
      <c r="AJ232" s="12">
        <f>IF(AM232=15,K232,0)</f>
        <v>0</v>
      </c>
      <c r="AK232" s="12">
        <f>IF(AM232=21,K232,0)</f>
        <v>0</v>
      </c>
      <c r="AM232" s="20">
        <v>15</v>
      </c>
      <c r="AN232" s="20">
        <f>H232*0</f>
        <v>0</v>
      </c>
      <c r="AO232" s="20">
        <f>H232*(1-0)</f>
        <v>0</v>
      </c>
      <c r="AP232" s="16" t="s">
        <v>262</v>
      </c>
      <c r="AU232" s="20">
        <f>AV232+AW232</f>
        <v>0</v>
      </c>
      <c r="AV232" s="20">
        <f>G232*AN232</f>
        <v>0</v>
      </c>
      <c r="AW232" s="20">
        <f>G232*AO232</f>
        <v>0</v>
      </c>
      <c r="AX232" s="21" t="s">
        <v>156</v>
      </c>
      <c r="AY232" s="21" t="s">
        <v>180</v>
      </c>
      <c r="AZ232" s="15" t="s">
        <v>190</v>
      </c>
      <c r="BB232" s="20">
        <f>AV232+AW232</f>
        <v>0</v>
      </c>
      <c r="BC232" s="20">
        <f>H232/(100-BD232)*100</f>
        <v>0</v>
      </c>
      <c r="BD232" s="20">
        <v>0</v>
      </c>
      <c r="BE232" s="20">
        <f>232</f>
        <v>232</v>
      </c>
      <c r="BG232" s="12">
        <f>G232*AN232</f>
        <v>0</v>
      </c>
      <c r="BH232" s="12">
        <f>G232*AO232</f>
        <v>0</v>
      </c>
      <c r="BI232" s="12">
        <f>G232*H232</f>
        <v>0</v>
      </c>
    </row>
    <row r="233" spans="3:5" ht="12.75">
      <c r="C233" s="147" t="s">
        <v>886</v>
      </c>
      <c r="D233" s="148"/>
      <c r="E233" s="148"/>
    </row>
    <row r="234" spans="1:11" ht="12.75">
      <c r="A234" s="59"/>
      <c r="B234" s="59"/>
      <c r="C234" s="149" t="s">
        <v>887</v>
      </c>
      <c r="D234" s="150"/>
      <c r="E234" s="150"/>
      <c r="F234" s="59"/>
      <c r="G234" s="60">
        <v>122.894</v>
      </c>
      <c r="H234" s="59"/>
      <c r="I234" s="59"/>
      <c r="J234" s="59"/>
      <c r="K234" s="59"/>
    </row>
    <row r="235" spans="1:61" ht="12.75">
      <c r="A235" s="67" t="s">
        <v>341</v>
      </c>
      <c r="B235" s="67" t="s">
        <v>562</v>
      </c>
      <c r="C235" s="155" t="s">
        <v>888</v>
      </c>
      <c r="D235" s="156"/>
      <c r="E235" s="156"/>
      <c r="F235" s="67" t="s">
        <v>100</v>
      </c>
      <c r="G235" s="68">
        <v>66.36276</v>
      </c>
      <c r="H235" s="68">
        <v>0</v>
      </c>
      <c r="I235" s="68">
        <f>G235*AN235</f>
        <v>0</v>
      </c>
      <c r="J235" s="68">
        <f>G235*AO235</f>
        <v>0</v>
      </c>
      <c r="K235" s="68">
        <f>G235*H235</f>
        <v>0</v>
      </c>
      <c r="Y235" s="20">
        <f>IF(AP235="5",BI235,0)</f>
        <v>0</v>
      </c>
      <c r="AA235" s="20">
        <f>IF(AP235="1",BG235,0)</f>
        <v>0</v>
      </c>
      <c r="AB235" s="20">
        <f>IF(AP235="1",BH235,0)</f>
        <v>0</v>
      </c>
      <c r="AC235" s="20">
        <f>IF(AP235="7",BG235,0)</f>
        <v>0</v>
      </c>
      <c r="AD235" s="20">
        <f>IF(AP235="7",BH235,0)</f>
        <v>0</v>
      </c>
      <c r="AE235" s="20">
        <f>IF(AP235="2",BG235,0)</f>
        <v>0</v>
      </c>
      <c r="AF235" s="20">
        <f>IF(AP235="2",BH235,0)</f>
        <v>0</v>
      </c>
      <c r="AG235" s="20">
        <f>IF(AP235="0",BI235,0)</f>
        <v>0</v>
      </c>
      <c r="AH235" s="15" t="s">
        <v>135</v>
      </c>
      <c r="AI235" s="13">
        <f>IF(AM235=0,K235,0)</f>
        <v>0</v>
      </c>
      <c r="AJ235" s="13">
        <f>IF(AM235=15,K235,0)</f>
        <v>0</v>
      </c>
      <c r="AK235" s="13">
        <f>IF(AM235=21,K235,0)</f>
        <v>0</v>
      </c>
      <c r="AM235" s="20">
        <v>15</v>
      </c>
      <c r="AN235" s="20">
        <f>H235*1</f>
        <v>0</v>
      </c>
      <c r="AO235" s="20">
        <f>H235*(1-1)</f>
        <v>0</v>
      </c>
      <c r="AP235" s="17" t="s">
        <v>262</v>
      </c>
      <c r="AU235" s="20">
        <f>AV235+AW235</f>
        <v>0</v>
      </c>
      <c r="AV235" s="20">
        <f>G235*AN235</f>
        <v>0</v>
      </c>
      <c r="AW235" s="20">
        <f>G235*AO235</f>
        <v>0</v>
      </c>
      <c r="AX235" s="21" t="s">
        <v>156</v>
      </c>
      <c r="AY235" s="21" t="s">
        <v>180</v>
      </c>
      <c r="AZ235" s="15" t="s">
        <v>190</v>
      </c>
      <c r="BB235" s="20">
        <f>AV235+AW235</f>
        <v>0</v>
      </c>
      <c r="BC235" s="20">
        <f>H235/(100-BD235)*100</f>
        <v>0</v>
      </c>
      <c r="BD235" s="20">
        <v>0</v>
      </c>
      <c r="BE235" s="20">
        <f>235</f>
        <v>235</v>
      </c>
      <c r="BG235" s="13">
        <f>G235*AN235</f>
        <v>0</v>
      </c>
      <c r="BH235" s="13">
        <f>G235*AO235</f>
        <v>0</v>
      </c>
      <c r="BI235" s="13">
        <f>G235*H235</f>
        <v>0</v>
      </c>
    </row>
    <row r="236" spans="1:11" ht="12.75">
      <c r="A236" s="69"/>
      <c r="B236" s="69"/>
      <c r="C236" s="157" t="s">
        <v>889</v>
      </c>
      <c r="D236" s="150"/>
      <c r="E236" s="150"/>
      <c r="F236" s="69"/>
      <c r="G236" s="70">
        <v>66.36276</v>
      </c>
      <c r="H236" s="69"/>
      <c r="I236" s="69"/>
      <c r="J236" s="69"/>
      <c r="K236" s="69"/>
    </row>
    <row r="237" spans="1:61" ht="12.75">
      <c r="A237" s="67" t="s">
        <v>342</v>
      </c>
      <c r="B237" s="67" t="s">
        <v>563</v>
      </c>
      <c r="C237" s="155" t="s">
        <v>890</v>
      </c>
      <c r="D237" s="156"/>
      <c r="E237" s="156"/>
      <c r="F237" s="67" t="s">
        <v>100</v>
      </c>
      <c r="G237" s="68">
        <v>66.36276</v>
      </c>
      <c r="H237" s="68">
        <v>0</v>
      </c>
      <c r="I237" s="68">
        <f>G237*AN237</f>
        <v>0</v>
      </c>
      <c r="J237" s="68">
        <f>G237*AO237</f>
        <v>0</v>
      </c>
      <c r="K237" s="68">
        <f>G237*H237</f>
        <v>0</v>
      </c>
      <c r="Y237" s="20">
        <f>IF(AP237="5",BI237,0)</f>
        <v>0</v>
      </c>
      <c r="AA237" s="20">
        <f>IF(AP237="1",BG237,0)</f>
        <v>0</v>
      </c>
      <c r="AB237" s="20">
        <f>IF(AP237="1",BH237,0)</f>
        <v>0</v>
      </c>
      <c r="AC237" s="20">
        <f>IF(AP237="7",BG237,0)</f>
        <v>0</v>
      </c>
      <c r="AD237" s="20">
        <f>IF(AP237="7",BH237,0)</f>
        <v>0</v>
      </c>
      <c r="AE237" s="20">
        <f>IF(AP237="2",BG237,0)</f>
        <v>0</v>
      </c>
      <c r="AF237" s="20">
        <f>IF(AP237="2",BH237,0)</f>
        <v>0</v>
      </c>
      <c r="AG237" s="20">
        <f>IF(AP237="0",BI237,0)</f>
        <v>0</v>
      </c>
      <c r="AH237" s="15" t="s">
        <v>135</v>
      </c>
      <c r="AI237" s="13">
        <f>IF(AM237=0,K237,0)</f>
        <v>0</v>
      </c>
      <c r="AJ237" s="13">
        <f>IF(AM237=15,K237,0)</f>
        <v>0</v>
      </c>
      <c r="AK237" s="13">
        <f>IF(AM237=21,K237,0)</f>
        <v>0</v>
      </c>
      <c r="AM237" s="20">
        <v>15</v>
      </c>
      <c r="AN237" s="20">
        <f>H237*1</f>
        <v>0</v>
      </c>
      <c r="AO237" s="20">
        <f>H237*(1-1)</f>
        <v>0</v>
      </c>
      <c r="AP237" s="17" t="s">
        <v>262</v>
      </c>
      <c r="AU237" s="20">
        <f>AV237+AW237</f>
        <v>0</v>
      </c>
      <c r="AV237" s="20">
        <f>G237*AN237</f>
        <v>0</v>
      </c>
      <c r="AW237" s="20">
        <f>G237*AO237</f>
        <v>0</v>
      </c>
      <c r="AX237" s="21" t="s">
        <v>156</v>
      </c>
      <c r="AY237" s="21" t="s">
        <v>180</v>
      </c>
      <c r="AZ237" s="15" t="s">
        <v>190</v>
      </c>
      <c r="BB237" s="20">
        <f>AV237+AW237</f>
        <v>0</v>
      </c>
      <c r="BC237" s="20">
        <f>H237/(100-BD237)*100</f>
        <v>0</v>
      </c>
      <c r="BD237" s="20">
        <v>0</v>
      </c>
      <c r="BE237" s="20">
        <f>237</f>
        <v>237</v>
      </c>
      <c r="BG237" s="13">
        <f>G237*AN237</f>
        <v>0</v>
      </c>
      <c r="BH237" s="13">
        <f>G237*AO237</f>
        <v>0</v>
      </c>
      <c r="BI237" s="13">
        <f>G237*H237</f>
        <v>0</v>
      </c>
    </row>
    <row r="238" spans="1:11" ht="12.75">
      <c r="A238" s="69"/>
      <c r="B238" s="69"/>
      <c r="C238" s="157" t="s">
        <v>891</v>
      </c>
      <c r="D238" s="150"/>
      <c r="E238" s="150"/>
      <c r="F238" s="69"/>
      <c r="G238" s="70">
        <v>66.36276</v>
      </c>
      <c r="H238" s="69"/>
      <c r="I238" s="69"/>
      <c r="J238" s="69"/>
      <c r="K238" s="69"/>
    </row>
    <row r="239" spans="1:61" ht="12.75">
      <c r="A239" s="57" t="s">
        <v>343</v>
      </c>
      <c r="B239" s="57" t="s">
        <v>564</v>
      </c>
      <c r="C239" s="146" t="s">
        <v>892</v>
      </c>
      <c r="D239" s="145"/>
      <c r="E239" s="145"/>
      <c r="F239" s="57" t="s">
        <v>102</v>
      </c>
      <c r="G239" s="58">
        <v>58.32</v>
      </c>
      <c r="H239" s="58">
        <v>0</v>
      </c>
      <c r="I239" s="58">
        <f>G239*AN239</f>
        <v>0</v>
      </c>
      <c r="J239" s="58">
        <f>G239*AO239</f>
        <v>0</v>
      </c>
      <c r="K239" s="58">
        <f>G239*H239</f>
        <v>0</v>
      </c>
      <c r="Y239" s="20">
        <f>IF(AP239="5",BI239,0)</f>
        <v>0</v>
      </c>
      <c r="AA239" s="20">
        <f>IF(AP239="1",BG239,0)</f>
        <v>0</v>
      </c>
      <c r="AB239" s="20">
        <f>IF(AP239="1",BH239,0)</f>
        <v>0</v>
      </c>
      <c r="AC239" s="20">
        <f>IF(AP239="7",BG239,0)</f>
        <v>0</v>
      </c>
      <c r="AD239" s="20">
        <f>IF(AP239="7",BH239,0)</f>
        <v>0</v>
      </c>
      <c r="AE239" s="20">
        <f>IF(AP239="2",BG239,0)</f>
        <v>0</v>
      </c>
      <c r="AF239" s="20">
        <f>IF(AP239="2",BH239,0)</f>
        <v>0</v>
      </c>
      <c r="AG239" s="20">
        <f>IF(AP239="0",BI239,0)</f>
        <v>0</v>
      </c>
      <c r="AH239" s="15" t="s">
        <v>135</v>
      </c>
      <c r="AI239" s="12">
        <f>IF(AM239=0,K239,0)</f>
        <v>0</v>
      </c>
      <c r="AJ239" s="12">
        <f>IF(AM239=15,K239,0)</f>
        <v>0</v>
      </c>
      <c r="AK239" s="12">
        <f>IF(AM239=21,K239,0)</f>
        <v>0</v>
      </c>
      <c r="AM239" s="20">
        <v>15</v>
      </c>
      <c r="AN239" s="20">
        <f>H239*0</f>
        <v>0</v>
      </c>
      <c r="AO239" s="20">
        <f>H239*(1-0)</f>
        <v>0</v>
      </c>
      <c r="AP239" s="16" t="s">
        <v>262</v>
      </c>
      <c r="AU239" s="20">
        <f>AV239+AW239</f>
        <v>0</v>
      </c>
      <c r="AV239" s="20">
        <f>G239*AN239</f>
        <v>0</v>
      </c>
      <c r="AW239" s="20">
        <f>G239*AO239</f>
        <v>0</v>
      </c>
      <c r="AX239" s="21" t="s">
        <v>156</v>
      </c>
      <c r="AY239" s="21" t="s">
        <v>180</v>
      </c>
      <c r="AZ239" s="15" t="s">
        <v>190</v>
      </c>
      <c r="BB239" s="20">
        <f>AV239+AW239</f>
        <v>0</v>
      </c>
      <c r="BC239" s="20">
        <f>H239/(100-BD239)*100</f>
        <v>0</v>
      </c>
      <c r="BD239" s="20">
        <v>0</v>
      </c>
      <c r="BE239" s="20">
        <f>239</f>
        <v>239</v>
      </c>
      <c r="BG239" s="12">
        <f>G239*AN239</f>
        <v>0</v>
      </c>
      <c r="BH239" s="12">
        <f>G239*AO239</f>
        <v>0</v>
      </c>
      <c r="BI239" s="12">
        <f>G239*H239</f>
        <v>0</v>
      </c>
    </row>
    <row r="240" spans="1:11" ht="12.75">
      <c r="A240" s="59"/>
      <c r="B240" s="59"/>
      <c r="C240" s="149" t="s">
        <v>893</v>
      </c>
      <c r="D240" s="150"/>
      <c r="E240" s="150"/>
      <c r="F240" s="59"/>
      <c r="G240" s="60">
        <v>58.32</v>
      </c>
      <c r="H240" s="59"/>
      <c r="I240" s="59"/>
      <c r="J240" s="59"/>
      <c r="K240" s="59"/>
    </row>
    <row r="241" spans="1:61" ht="12.75">
      <c r="A241" s="75" t="s">
        <v>344</v>
      </c>
      <c r="B241" s="75" t="s">
        <v>565</v>
      </c>
      <c r="C241" s="164" t="s">
        <v>894</v>
      </c>
      <c r="D241" s="156"/>
      <c r="E241" s="165"/>
      <c r="F241" s="75" t="s">
        <v>102</v>
      </c>
      <c r="G241" s="77">
        <v>62.9856</v>
      </c>
      <c r="H241" s="77">
        <v>0</v>
      </c>
      <c r="I241" s="77">
        <f>G241*AN241</f>
        <v>0</v>
      </c>
      <c r="J241" s="77">
        <f>G241*AO241</f>
        <v>0</v>
      </c>
      <c r="K241" s="77">
        <f>G241*H241</f>
        <v>0</v>
      </c>
      <c r="Y241" s="20">
        <f>IF(AP241="5",BI241,0)</f>
        <v>0</v>
      </c>
      <c r="AA241" s="20">
        <f>IF(AP241="1",BG241,0)</f>
        <v>0</v>
      </c>
      <c r="AB241" s="20">
        <f>IF(AP241="1",BH241,0)</f>
        <v>0</v>
      </c>
      <c r="AC241" s="20">
        <f>IF(AP241="7",BG241,0)</f>
        <v>0</v>
      </c>
      <c r="AD241" s="20">
        <f>IF(AP241="7",BH241,0)</f>
        <v>0</v>
      </c>
      <c r="AE241" s="20">
        <f>IF(AP241="2",BG241,0)</f>
        <v>0</v>
      </c>
      <c r="AF241" s="20">
        <f>IF(AP241="2",BH241,0)</f>
        <v>0</v>
      </c>
      <c r="AG241" s="20">
        <f>IF(AP241="0",BI241,0)</f>
        <v>0</v>
      </c>
      <c r="AH241" s="15" t="s">
        <v>135</v>
      </c>
      <c r="AI241" s="13">
        <f>IF(AM241=0,K241,0)</f>
        <v>0</v>
      </c>
      <c r="AJ241" s="13">
        <f>IF(AM241=15,K241,0)</f>
        <v>0</v>
      </c>
      <c r="AK241" s="13">
        <f>IF(AM241=21,K241,0)</f>
        <v>0</v>
      </c>
      <c r="AM241" s="20">
        <v>15</v>
      </c>
      <c r="AN241" s="20">
        <f>H241*1</f>
        <v>0</v>
      </c>
      <c r="AO241" s="20">
        <f>H241*(1-1)</f>
        <v>0</v>
      </c>
      <c r="AP241" s="17" t="s">
        <v>262</v>
      </c>
      <c r="AU241" s="20">
        <f>AV241+AW241</f>
        <v>0</v>
      </c>
      <c r="AV241" s="20">
        <f>G241*AN241</f>
        <v>0</v>
      </c>
      <c r="AW241" s="20">
        <f>G241*AO241</f>
        <v>0</v>
      </c>
      <c r="AX241" s="21" t="s">
        <v>156</v>
      </c>
      <c r="AY241" s="21" t="s">
        <v>180</v>
      </c>
      <c r="AZ241" s="15" t="s">
        <v>190</v>
      </c>
      <c r="BB241" s="20">
        <f>AV241+AW241</f>
        <v>0</v>
      </c>
      <c r="BC241" s="20">
        <f>H241/(100-BD241)*100</f>
        <v>0</v>
      </c>
      <c r="BD241" s="20">
        <v>0</v>
      </c>
      <c r="BE241" s="20">
        <f>241</f>
        <v>241</v>
      </c>
      <c r="BG241" s="13">
        <f>G241*AN241</f>
        <v>0</v>
      </c>
      <c r="BH241" s="13">
        <f>G241*AO241</f>
        <v>0</v>
      </c>
      <c r="BI241" s="13">
        <f>G241*H241</f>
        <v>0</v>
      </c>
    </row>
    <row r="242" spans="1:11" ht="12.75">
      <c r="A242" s="76"/>
      <c r="B242" s="76"/>
      <c r="C242" s="166" t="s">
        <v>895</v>
      </c>
      <c r="D242" s="150"/>
      <c r="E242" s="163"/>
      <c r="F242" s="76"/>
      <c r="G242" s="78">
        <v>62.9856</v>
      </c>
      <c r="H242" s="76"/>
      <c r="I242" s="76"/>
      <c r="J242" s="76"/>
      <c r="K242" s="76"/>
    </row>
    <row r="243" spans="2:11" ht="25.5" customHeight="1">
      <c r="B243" s="9" t="s">
        <v>475</v>
      </c>
      <c r="C243" s="158" t="s">
        <v>896</v>
      </c>
      <c r="D243" s="159"/>
      <c r="E243" s="159"/>
      <c r="F243" s="159"/>
      <c r="G243" s="159"/>
      <c r="H243" s="159"/>
      <c r="I243" s="159"/>
      <c r="J243" s="159"/>
      <c r="K243" s="159"/>
    </row>
    <row r="244" spans="1:61" ht="12.75">
      <c r="A244" s="57" t="s">
        <v>345</v>
      </c>
      <c r="B244" s="57" t="s">
        <v>566</v>
      </c>
      <c r="C244" s="146" t="s">
        <v>897</v>
      </c>
      <c r="D244" s="145"/>
      <c r="E244" s="145"/>
      <c r="F244" s="57" t="s">
        <v>101</v>
      </c>
      <c r="G244" s="58">
        <v>3.91005</v>
      </c>
      <c r="H244" s="58">
        <v>0</v>
      </c>
      <c r="I244" s="58">
        <f>G244*AN244</f>
        <v>0</v>
      </c>
      <c r="J244" s="58">
        <f>G244*AO244</f>
        <v>0</v>
      </c>
      <c r="K244" s="58">
        <f>G244*H244</f>
        <v>0</v>
      </c>
      <c r="Y244" s="20">
        <f>IF(AP244="5",BI244,0)</f>
        <v>0</v>
      </c>
      <c r="AA244" s="20">
        <f>IF(AP244="1",BG244,0)</f>
        <v>0</v>
      </c>
      <c r="AB244" s="20">
        <f>IF(AP244="1",BH244,0)</f>
        <v>0</v>
      </c>
      <c r="AC244" s="20">
        <f>IF(AP244="7",BG244,0)</f>
        <v>0</v>
      </c>
      <c r="AD244" s="20">
        <f>IF(AP244="7",BH244,0)</f>
        <v>0</v>
      </c>
      <c r="AE244" s="20">
        <f>IF(AP244="2",BG244,0)</f>
        <v>0</v>
      </c>
      <c r="AF244" s="20">
        <f>IF(AP244="2",BH244,0)</f>
        <v>0</v>
      </c>
      <c r="AG244" s="20">
        <f>IF(AP244="0",BI244,0)</f>
        <v>0</v>
      </c>
      <c r="AH244" s="15" t="s">
        <v>135</v>
      </c>
      <c r="AI244" s="12">
        <f>IF(AM244=0,K244,0)</f>
        <v>0</v>
      </c>
      <c r="AJ244" s="12">
        <f>IF(AM244=15,K244,0)</f>
        <v>0</v>
      </c>
      <c r="AK244" s="12">
        <f>IF(AM244=21,K244,0)</f>
        <v>0</v>
      </c>
      <c r="AM244" s="20">
        <v>15</v>
      </c>
      <c r="AN244" s="20">
        <f>H244*0.999999565563134</f>
        <v>0</v>
      </c>
      <c r="AO244" s="20">
        <f>H244*(1-0.999999565563134)</f>
        <v>0</v>
      </c>
      <c r="AP244" s="16" t="s">
        <v>262</v>
      </c>
      <c r="AU244" s="20">
        <f>AV244+AW244</f>
        <v>0</v>
      </c>
      <c r="AV244" s="20">
        <f>G244*AN244</f>
        <v>0</v>
      </c>
      <c r="AW244" s="20">
        <f>G244*AO244</f>
        <v>0</v>
      </c>
      <c r="AX244" s="21" t="s">
        <v>156</v>
      </c>
      <c r="AY244" s="21" t="s">
        <v>180</v>
      </c>
      <c r="AZ244" s="15" t="s">
        <v>190</v>
      </c>
      <c r="BB244" s="20">
        <f>AV244+AW244</f>
        <v>0</v>
      </c>
      <c r="BC244" s="20">
        <f>H244/(100-BD244)*100</f>
        <v>0</v>
      </c>
      <c r="BD244" s="20">
        <v>0</v>
      </c>
      <c r="BE244" s="20">
        <f>244</f>
        <v>244</v>
      </c>
      <c r="BG244" s="12">
        <f>G244*AN244</f>
        <v>0</v>
      </c>
      <c r="BH244" s="12">
        <f>G244*AO244</f>
        <v>0</v>
      </c>
      <c r="BI244" s="12">
        <f>G244*H244</f>
        <v>0</v>
      </c>
    </row>
    <row r="245" spans="1:11" ht="12.75">
      <c r="A245" s="59"/>
      <c r="B245" s="59"/>
      <c r="C245" s="149" t="s">
        <v>898</v>
      </c>
      <c r="D245" s="150"/>
      <c r="E245" s="150"/>
      <c r="F245" s="59"/>
      <c r="G245" s="60">
        <v>0.92171</v>
      </c>
      <c r="H245" s="59"/>
      <c r="I245" s="59"/>
      <c r="J245" s="59"/>
      <c r="K245" s="59"/>
    </row>
    <row r="246" spans="1:11" ht="12.75">
      <c r="A246" s="59"/>
      <c r="B246" s="59"/>
      <c r="C246" s="149" t="s">
        <v>899</v>
      </c>
      <c r="D246" s="150"/>
      <c r="E246" s="150"/>
      <c r="F246" s="59"/>
      <c r="G246" s="60">
        <v>1.53618</v>
      </c>
      <c r="H246" s="59"/>
      <c r="I246" s="59"/>
      <c r="J246" s="59"/>
      <c r="K246" s="59"/>
    </row>
    <row r="247" spans="1:11" ht="12.75">
      <c r="A247" s="59"/>
      <c r="B247" s="59"/>
      <c r="C247" s="149" t="s">
        <v>900</v>
      </c>
      <c r="D247" s="150"/>
      <c r="E247" s="150"/>
      <c r="F247" s="59"/>
      <c r="G247" s="60">
        <v>1.03226</v>
      </c>
      <c r="H247" s="59"/>
      <c r="I247" s="59"/>
      <c r="J247" s="59"/>
      <c r="K247" s="59"/>
    </row>
    <row r="248" spans="1:11" ht="12.75">
      <c r="A248" s="59"/>
      <c r="B248" s="59"/>
      <c r="C248" s="149" t="s">
        <v>901</v>
      </c>
      <c r="D248" s="150"/>
      <c r="E248" s="150"/>
      <c r="F248" s="59"/>
      <c r="G248" s="60">
        <v>0.4199</v>
      </c>
      <c r="H248" s="59"/>
      <c r="I248" s="59"/>
      <c r="J248" s="59"/>
      <c r="K248" s="59"/>
    </row>
    <row r="249" spans="1:61" ht="12.75">
      <c r="A249" s="57" t="s">
        <v>346</v>
      </c>
      <c r="B249" s="57" t="s">
        <v>567</v>
      </c>
      <c r="C249" s="146" t="s">
        <v>902</v>
      </c>
      <c r="D249" s="145"/>
      <c r="E249" s="145"/>
      <c r="F249" s="57" t="s">
        <v>103</v>
      </c>
      <c r="G249" s="58">
        <v>3.28</v>
      </c>
      <c r="H249" s="58">
        <v>0</v>
      </c>
      <c r="I249" s="58">
        <f>G249*AN249</f>
        <v>0</v>
      </c>
      <c r="J249" s="58">
        <f>G249*AO249</f>
        <v>0</v>
      </c>
      <c r="K249" s="58">
        <f>G249*H249</f>
        <v>0</v>
      </c>
      <c r="Y249" s="20">
        <f>IF(AP249="5",BI249,0)</f>
        <v>0</v>
      </c>
      <c r="AA249" s="20">
        <f>IF(AP249="1",BG249,0)</f>
        <v>0</v>
      </c>
      <c r="AB249" s="20">
        <f>IF(AP249="1",BH249,0)</f>
        <v>0</v>
      </c>
      <c r="AC249" s="20">
        <f>IF(AP249="7",BG249,0)</f>
        <v>0</v>
      </c>
      <c r="AD249" s="20">
        <f>IF(AP249="7",BH249,0)</f>
        <v>0</v>
      </c>
      <c r="AE249" s="20">
        <f>IF(AP249="2",BG249,0)</f>
        <v>0</v>
      </c>
      <c r="AF249" s="20">
        <f>IF(AP249="2",BH249,0)</f>
        <v>0</v>
      </c>
      <c r="AG249" s="20">
        <f>IF(AP249="0",BI249,0)</f>
        <v>0</v>
      </c>
      <c r="AH249" s="15" t="s">
        <v>135</v>
      </c>
      <c r="AI249" s="12">
        <f>IF(AM249=0,K249,0)</f>
        <v>0</v>
      </c>
      <c r="AJ249" s="12">
        <f>IF(AM249=15,K249,0)</f>
        <v>0</v>
      </c>
      <c r="AK249" s="12">
        <f>IF(AM249=21,K249,0)</f>
        <v>0</v>
      </c>
      <c r="AM249" s="20">
        <v>15</v>
      </c>
      <c r="AN249" s="20">
        <f>H249*0</f>
        <v>0</v>
      </c>
      <c r="AO249" s="20">
        <f>H249*(1-0)</f>
        <v>0</v>
      </c>
      <c r="AP249" s="16" t="s">
        <v>260</v>
      </c>
      <c r="AU249" s="20">
        <f>AV249+AW249</f>
        <v>0</v>
      </c>
      <c r="AV249" s="20">
        <f>G249*AN249</f>
        <v>0</v>
      </c>
      <c r="AW249" s="20">
        <f>G249*AO249</f>
        <v>0</v>
      </c>
      <c r="AX249" s="21" t="s">
        <v>156</v>
      </c>
      <c r="AY249" s="21" t="s">
        <v>180</v>
      </c>
      <c r="AZ249" s="15" t="s">
        <v>190</v>
      </c>
      <c r="BB249" s="20">
        <f>AV249+AW249</f>
        <v>0</v>
      </c>
      <c r="BC249" s="20">
        <f>H249/(100-BD249)*100</f>
        <v>0</v>
      </c>
      <c r="BD249" s="20">
        <v>0</v>
      </c>
      <c r="BE249" s="20">
        <f>249</f>
        <v>249</v>
      </c>
      <c r="BG249" s="12">
        <f>G249*AN249</f>
        <v>0</v>
      </c>
      <c r="BH249" s="12">
        <f>G249*AO249</f>
        <v>0</v>
      </c>
      <c r="BI249" s="12">
        <f>G249*H249</f>
        <v>0</v>
      </c>
    </row>
    <row r="250" spans="3:5" ht="12.75">
      <c r="C250" s="147" t="s">
        <v>903</v>
      </c>
      <c r="D250" s="148"/>
      <c r="E250" s="148"/>
    </row>
    <row r="251" spans="1:11" ht="12.75">
      <c r="A251" s="59"/>
      <c r="B251" s="59"/>
      <c r="C251" s="149" t="s">
        <v>904</v>
      </c>
      <c r="D251" s="150"/>
      <c r="E251" s="150"/>
      <c r="F251" s="59"/>
      <c r="G251" s="60">
        <v>3.28</v>
      </c>
      <c r="H251" s="59"/>
      <c r="I251" s="59"/>
      <c r="J251" s="59"/>
      <c r="K251" s="59"/>
    </row>
    <row r="252" spans="1:46" ht="12.75">
      <c r="A252" s="2"/>
      <c r="B252" s="8" t="s">
        <v>568</v>
      </c>
      <c r="C252" s="142" t="s">
        <v>905</v>
      </c>
      <c r="D252" s="143"/>
      <c r="E252" s="143"/>
      <c r="F252" s="2" t="s">
        <v>255</v>
      </c>
      <c r="G252" s="2" t="s">
        <v>255</v>
      </c>
      <c r="H252" s="2" t="s">
        <v>255</v>
      </c>
      <c r="I252" s="22">
        <f>SUM(I253:I284)</f>
        <v>0</v>
      </c>
      <c r="J252" s="22">
        <f>SUM(J253:J284)</f>
        <v>0</v>
      </c>
      <c r="K252" s="22">
        <f>SUM(K253:K284)</f>
        <v>0</v>
      </c>
      <c r="AH252" s="15" t="s">
        <v>135</v>
      </c>
      <c r="AR252" s="22">
        <f>SUM(AI253:AI284)</f>
        <v>0</v>
      </c>
      <c r="AS252" s="22">
        <f>SUM(AJ253:AJ284)</f>
        <v>0</v>
      </c>
      <c r="AT252" s="22">
        <f>SUM(AK253:AK284)</f>
        <v>0</v>
      </c>
    </row>
    <row r="253" spans="1:61" ht="12.75">
      <c r="A253" s="57" t="s">
        <v>347</v>
      </c>
      <c r="B253" s="57" t="s">
        <v>569</v>
      </c>
      <c r="C253" s="146" t="s">
        <v>906</v>
      </c>
      <c r="D253" s="145"/>
      <c r="E253" s="145"/>
      <c r="F253" s="57" t="s">
        <v>102</v>
      </c>
      <c r="G253" s="58">
        <v>6.02</v>
      </c>
      <c r="H253" s="58">
        <v>0</v>
      </c>
      <c r="I253" s="58">
        <f>G253*AN253</f>
        <v>0</v>
      </c>
      <c r="J253" s="58">
        <f>G253*AO253</f>
        <v>0</v>
      </c>
      <c r="K253" s="58">
        <f>G253*H253</f>
        <v>0</v>
      </c>
      <c r="Y253" s="20">
        <f>IF(AP253="5",BI253,0)</f>
        <v>0</v>
      </c>
      <c r="AA253" s="20">
        <f>IF(AP253="1",BG253,0)</f>
        <v>0</v>
      </c>
      <c r="AB253" s="20">
        <f>IF(AP253="1",BH253,0)</f>
        <v>0</v>
      </c>
      <c r="AC253" s="20">
        <f>IF(AP253="7",BG253,0)</f>
        <v>0</v>
      </c>
      <c r="AD253" s="20">
        <f>IF(AP253="7",BH253,0)</f>
        <v>0</v>
      </c>
      <c r="AE253" s="20">
        <f>IF(AP253="2",BG253,0)</f>
        <v>0</v>
      </c>
      <c r="AF253" s="20">
        <f>IF(AP253="2",BH253,0)</f>
        <v>0</v>
      </c>
      <c r="AG253" s="20">
        <f>IF(AP253="0",BI253,0)</f>
        <v>0</v>
      </c>
      <c r="AH253" s="15" t="s">
        <v>135</v>
      </c>
      <c r="AI253" s="12">
        <f>IF(AM253=0,K253,0)</f>
        <v>0</v>
      </c>
      <c r="AJ253" s="12">
        <f>IF(AM253=15,K253,0)</f>
        <v>0</v>
      </c>
      <c r="AK253" s="12">
        <f>IF(AM253=21,K253,0)</f>
        <v>0</v>
      </c>
      <c r="AM253" s="20">
        <v>15</v>
      </c>
      <c r="AN253" s="20">
        <f>H253*0.170664556962025</f>
        <v>0</v>
      </c>
      <c r="AO253" s="20">
        <f>H253*(1-0.170664556962025)</f>
        <v>0</v>
      </c>
      <c r="AP253" s="16" t="s">
        <v>262</v>
      </c>
      <c r="AU253" s="20">
        <f>AV253+AW253</f>
        <v>0</v>
      </c>
      <c r="AV253" s="20">
        <f>G253*AN253</f>
        <v>0</v>
      </c>
      <c r="AW253" s="20">
        <f>G253*AO253</f>
        <v>0</v>
      </c>
      <c r="AX253" s="21" t="s">
        <v>157</v>
      </c>
      <c r="AY253" s="21" t="s">
        <v>180</v>
      </c>
      <c r="AZ253" s="15" t="s">
        <v>190</v>
      </c>
      <c r="BB253" s="20">
        <f>AV253+AW253</f>
        <v>0</v>
      </c>
      <c r="BC253" s="20">
        <f>H253/(100-BD253)*100</f>
        <v>0</v>
      </c>
      <c r="BD253" s="20">
        <v>0</v>
      </c>
      <c r="BE253" s="20">
        <f>253</f>
        <v>253</v>
      </c>
      <c r="BG253" s="12">
        <f>G253*AN253</f>
        <v>0</v>
      </c>
      <c r="BH253" s="12">
        <f>G253*AO253</f>
        <v>0</v>
      </c>
      <c r="BI253" s="12">
        <f>G253*H253</f>
        <v>0</v>
      </c>
    </row>
    <row r="254" spans="1:11" ht="12.75">
      <c r="A254" s="59"/>
      <c r="B254" s="59"/>
      <c r="C254" s="149" t="s">
        <v>907</v>
      </c>
      <c r="D254" s="150"/>
      <c r="E254" s="150"/>
      <c r="F254" s="59"/>
      <c r="G254" s="60">
        <v>6.02</v>
      </c>
      <c r="H254" s="59"/>
      <c r="I254" s="59"/>
      <c r="J254" s="59"/>
      <c r="K254" s="59"/>
    </row>
    <row r="255" spans="1:61" ht="12.75">
      <c r="A255" s="57" t="s">
        <v>348</v>
      </c>
      <c r="B255" s="57" t="s">
        <v>570</v>
      </c>
      <c r="C255" s="146" t="s">
        <v>908</v>
      </c>
      <c r="D255" s="145"/>
      <c r="E255" s="145"/>
      <c r="F255" s="57" t="s">
        <v>102</v>
      </c>
      <c r="G255" s="58">
        <v>6.5</v>
      </c>
      <c r="H255" s="58">
        <v>0</v>
      </c>
      <c r="I255" s="58">
        <f>G255*AN255</f>
        <v>0</v>
      </c>
      <c r="J255" s="58">
        <f>G255*AO255</f>
        <v>0</v>
      </c>
      <c r="K255" s="58">
        <f>G255*H255</f>
        <v>0</v>
      </c>
      <c r="Y255" s="20">
        <f>IF(AP255="5",BI255,0)</f>
        <v>0</v>
      </c>
      <c r="AA255" s="20">
        <f>IF(AP255="1",BG255,0)</f>
        <v>0</v>
      </c>
      <c r="AB255" s="20">
        <f>IF(AP255="1",BH255,0)</f>
        <v>0</v>
      </c>
      <c r="AC255" s="20">
        <f>IF(AP255="7",BG255,0)</f>
        <v>0</v>
      </c>
      <c r="AD255" s="20">
        <f>IF(AP255="7",BH255,0)</f>
        <v>0</v>
      </c>
      <c r="AE255" s="20">
        <f>IF(AP255="2",BG255,0)</f>
        <v>0</v>
      </c>
      <c r="AF255" s="20">
        <f>IF(AP255="2",BH255,0)</f>
        <v>0</v>
      </c>
      <c r="AG255" s="20">
        <f>IF(AP255="0",BI255,0)</f>
        <v>0</v>
      </c>
      <c r="AH255" s="15" t="s">
        <v>135</v>
      </c>
      <c r="AI255" s="12">
        <f>IF(AM255=0,K255,0)</f>
        <v>0</v>
      </c>
      <c r="AJ255" s="12">
        <f>IF(AM255=15,K255,0)</f>
        <v>0</v>
      </c>
      <c r="AK255" s="12">
        <f>IF(AM255=21,K255,0)</f>
        <v>0</v>
      </c>
      <c r="AM255" s="20">
        <v>15</v>
      </c>
      <c r="AN255" s="20">
        <f>H255*0.194625468164794</f>
        <v>0</v>
      </c>
      <c r="AO255" s="20">
        <f>H255*(1-0.194625468164794)</f>
        <v>0</v>
      </c>
      <c r="AP255" s="16" t="s">
        <v>262</v>
      </c>
      <c r="AU255" s="20">
        <f>AV255+AW255</f>
        <v>0</v>
      </c>
      <c r="AV255" s="20">
        <f>G255*AN255</f>
        <v>0</v>
      </c>
      <c r="AW255" s="20">
        <f>G255*AO255</f>
        <v>0</v>
      </c>
      <c r="AX255" s="21" t="s">
        <v>157</v>
      </c>
      <c r="AY255" s="21" t="s">
        <v>180</v>
      </c>
      <c r="AZ255" s="15" t="s">
        <v>190</v>
      </c>
      <c r="BB255" s="20">
        <f>AV255+AW255</f>
        <v>0</v>
      </c>
      <c r="BC255" s="20">
        <f>H255/(100-BD255)*100</f>
        <v>0</v>
      </c>
      <c r="BD255" s="20">
        <v>0</v>
      </c>
      <c r="BE255" s="20">
        <f>255</f>
        <v>255</v>
      </c>
      <c r="BG255" s="12">
        <f>G255*AN255</f>
        <v>0</v>
      </c>
      <c r="BH255" s="12">
        <f>G255*AO255</f>
        <v>0</v>
      </c>
      <c r="BI255" s="12">
        <f>G255*H255</f>
        <v>0</v>
      </c>
    </row>
    <row r="256" spans="1:11" ht="12.75">
      <c r="A256" s="59"/>
      <c r="B256" s="59"/>
      <c r="C256" s="149" t="s">
        <v>909</v>
      </c>
      <c r="D256" s="150"/>
      <c r="E256" s="150"/>
      <c r="F256" s="59"/>
      <c r="G256" s="60">
        <v>6.5</v>
      </c>
      <c r="H256" s="59"/>
      <c r="I256" s="59"/>
      <c r="J256" s="59"/>
      <c r="K256" s="59"/>
    </row>
    <row r="257" spans="1:61" ht="12.75">
      <c r="A257" s="57" t="s">
        <v>349</v>
      </c>
      <c r="B257" s="57" t="s">
        <v>571</v>
      </c>
      <c r="C257" s="146" t="s">
        <v>910</v>
      </c>
      <c r="D257" s="145"/>
      <c r="E257" s="145"/>
      <c r="F257" s="57" t="s">
        <v>102</v>
      </c>
      <c r="G257" s="58">
        <v>6</v>
      </c>
      <c r="H257" s="58">
        <v>0</v>
      </c>
      <c r="I257" s="58">
        <f>G257*AN257</f>
        <v>0</v>
      </c>
      <c r="J257" s="58">
        <f>G257*AO257</f>
        <v>0</v>
      </c>
      <c r="K257" s="58">
        <f>G257*H257</f>
        <v>0</v>
      </c>
      <c r="Y257" s="20">
        <f>IF(AP257="5",BI257,0)</f>
        <v>0</v>
      </c>
      <c r="AA257" s="20">
        <f>IF(AP257="1",BG257,0)</f>
        <v>0</v>
      </c>
      <c r="AB257" s="20">
        <f>IF(AP257="1",BH257,0)</f>
        <v>0</v>
      </c>
      <c r="AC257" s="20">
        <f>IF(AP257="7",BG257,0)</f>
        <v>0</v>
      </c>
      <c r="AD257" s="20">
        <f>IF(AP257="7",BH257,0)</f>
        <v>0</v>
      </c>
      <c r="AE257" s="20">
        <f>IF(AP257="2",BG257,0)</f>
        <v>0</v>
      </c>
      <c r="AF257" s="20">
        <f>IF(AP257="2",BH257,0)</f>
        <v>0</v>
      </c>
      <c r="AG257" s="20">
        <f>IF(AP257="0",BI257,0)</f>
        <v>0</v>
      </c>
      <c r="AH257" s="15" t="s">
        <v>135</v>
      </c>
      <c r="AI257" s="12">
        <f>IF(AM257=0,K257,0)</f>
        <v>0</v>
      </c>
      <c r="AJ257" s="12">
        <f>IF(AM257=15,K257,0)</f>
        <v>0</v>
      </c>
      <c r="AK257" s="12">
        <f>IF(AM257=21,K257,0)</f>
        <v>0</v>
      </c>
      <c r="AM257" s="20">
        <v>15</v>
      </c>
      <c r="AN257" s="20">
        <f>H257*0.745192307692308</f>
        <v>0</v>
      </c>
      <c r="AO257" s="20">
        <f>H257*(1-0.745192307692308)</f>
        <v>0</v>
      </c>
      <c r="AP257" s="16" t="s">
        <v>262</v>
      </c>
      <c r="AU257" s="20">
        <f>AV257+AW257</f>
        <v>0</v>
      </c>
      <c r="AV257" s="20">
        <f>G257*AN257</f>
        <v>0</v>
      </c>
      <c r="AW257" s="20">
        <f>G257*AO257</f>
        <v>0</v>
      </c>
      <c r="AX257" s="21" t="s">
        <v>157</v>
      </c>
      <c r="AY257" s="21" t="s">
        <v>180</v>
      </c>
      <c r="AZ257" s="15" t="s">
        <v>190</v>
      </c>
      <c r="BB257" s="20">
        <f>AV257+AW257</f>
        <v>0</v>
      </c>
      <c r="BC257" s="20">
        <f>H257/(100-BD257)*100</f>
        <v>0</v>
      </c>
      <c r="BD257" s="20">
        <v>0</v>
      </c>
      <c r="BE257" s="20">
        <f>257</f>
        <v>257</v>
      </c>
      <c r="BG257" s="12">
        <f>G257*AN257</f>
        <v>0</v>
      </c>
      <c r="BH257" s="12">
        <f>G257*AO257</f>
        <v>0</v>
      </c>
      <c r="BI257" s="12">
        <f>G257*H257</f>
        <v>0</v>
      </c>
    </row>
    <row r="258" spans="1:11" ht="12.75">
      <c r="A258" s="59"/>
      <c r="B258" s="59"/>
      <c r="C258" s="149" t="s">
        <v>911</v>
      </c>
      <c r="D258" s="150"/>
      <c r="E258" s="150"/>
      <c r="F258" s="59"/>
      <c r="G258" s="60">
        <v>6</v>
      </c>
      <c r="H258" s="59"/>
      <c r="I258" s="59"/>
      <c r="J258" s="59"/>
      <c r="K258" s="59"/>
    </row>
    <row r="259" spans="1:61" ht="12.75">
      <c r="A259" s="57" t="s">
        <v>350</v>
      </c>
      <c r="B259" s="57" t="s">
        <v>572</v>
      </c>
      <c r="C259" s="146" t="s">
        <v>912</v>
      </c>
      <c r="D259" s="145"/>
      <c r="E259" s="145"/>
      <c r="F259" s="57" t="s">
        <v>102</v>
      </c>
      <c r="G259" s="58">
        <v>7.56</v>
      </c>
      <c r="H259" s="58">
        <v>0</v>
      </c>
      <c r="I259" s="58">
        <f>G259*AN259</f>
        <v>0</v>
      </c>
      <c r="J259" s="58">
        <f>G259*AO259</f>
        <v>0</v>
      </c>
      <c r="K259" s="58">
        <f>G259*H259</f>
        <v>0</v>
      </c>
      <c r="Y259" s="20">
        <f>IF(AP259="5",BI259,0)</f>
        <v>0</v>
      </c>
      <c r="AA259" s="20">
        <f>IF(AP259="1",BG259,0)</f>
        <v>0</v>
      </c>
      <c r="AB259" s="20">
        <f>IF(AP259="1",BH259,0)</f>
        <v>0</v>
      </c>
      <c r="AC259" s="20">
        <f>IF(AP259="7",BG259,0)</f>
        <v>0</v>
      </c>
      <c r="AD259" s="20">
        <f>IF(AP259="7",BH259,0)</f>
        <v>0</v>
      </c>
      <c r="AE259" s="20">
        <f>IF(AP259="2",BG259,0)</f>
        <v>0</v>
      </c>
      <c r="AF259" s="20">
        <f>IF(AP259="2",BH259,0)</f>
        <v>0</v>
      </c>
      <c r="AG259" s="20">
        <f>IF(AP259="0",BI259,0)</f>
        <v>0</v>
      </c>
      <c r="AH259" s="15" t="s">
        <v>135</v>
      </c>
      <c r="AI259" s="12">
        <f>IF(AM259=0,K259,0)</f>
        <v>0</v>
      </c>
      <c r="AJ259" s="12">
        <f>IF(AM259=15,K259,0)</f>
        <v>0</v>
      </c>
      <c r="AK259" s="12">
        <f>IF(AM259=21,K259,0)</f>
        <v>0</v>
      </c>
      <c r="AM259" s="20">
        <v>15</v>
      </c>
      <c r="AN259" s="20">
        <f>H259*0.151270754680192</f>
        <v>0</v>
      </c>
      <c r="AO259" s="20">
        <f>H259*(1-0.151270754680192)</f>
        <v>0</v>
      </c>
      <c r="AP259" s="16" t="s">
        <v>262</v>
      </c>
      <c r="AU259" s="20">
        <f>AV259+AW259</f>
        <v>0</v>
      </c>
      <c r="AV259" s="20">
        <f>G259*AN259</f>
        <v>0</v>
      </c>
      <c r="AW259" s="20">
        <f>G259*AO259</f>
        <v>0</v>
      </c>
      <c r="AX259" s="21" t="s">
        <v>157</v>
      </c>
      <c r="AY259" s="21" t="s">
        <v>180</v>
      </c>
      <c r="AZ259" s="15" t="s">
        <v>190</v>
      </c>
      <c r="BB259" s="20">
        <f>AV259+AW259</f>
        <v>0</v>
      </c>
      <c r="BC259" s="20">
        <f>H259/(100-BD259)*100</f>
        <v>0</v>
      </c>
      <c r="BD259" s="20">
        <v>0</v>
      </c>
      <c r="BE259" s="20">
        <f>259</f>
        <v>259</v>
      </c>
      <c r="BG259" s="12">
        <f>G259*AN259</f>
        <v>0</v>
      </c>
      <c r="BH259" s="12">
        <f>G259*AO259</f>
        <v>0</v>
      </c>
      <c r="BI259" s="12">
        <f>G259*H259</f>
        <v>0</v>
      </c>
    </row>
    <row r="260" spans="1:11" ht="12.75">
      <c r="A260" s="59"/>
      <c r="B260" s="59"/>
      <c r="C260" s="149" t="s">
        <v>913</v>
      </c>
      <c r="D260" s="150"/>
      <c r="E260" s="150"/>
      <c r="F260" s="59"/>
      <c r="G260" s="60">
        <v>7.56</v>
      </c>
      <c r="H260" s="59"/>
      <c r="I260" s="59"/>
      <c r="J260" s="59"/>
      <c r="K260" s="59"/>
    </row>
    <row r="261" spans="1:61" ht="12.75">
      <c r="A261" s="57" t="s">
        <v>351</v>
      </c>
      <c r="B261" s="57" t="s">
        <v>573</v>
      </c>
      <c r="C261" s="146" t="s">
        <v>914</v>
      </c>
      <c r="D261" s="145"/>
      <c r="E261" s="145"/>
      <c r="F261" s="57" t="s">
        <v>102</v>
      </c>
      <c r="G261" s="58">
        <v>8.9</v>
      </c>
      <c r="H261" s="58">
        <v>0</v>
      </c>
      <c r="I261" s="58">
        <f>G261*AN261</f>
        <v>0</v>
      </c>
      <c r="J261" s="58">
        <f>G261*AO261</f>
        <v>0</v>
      </c>
      <c r="K261" s="58">
        <f>G261*H261</f>
        <v>0</v>
      </c>
      <c r="Y261" s="20">
        <f>IF(AP261="5",BI261,0)</f>
        <v>0</v>
      </c>
      <c r="AA261" s="20">
        <f>IF(AP261="1",BG261,0)</f>
        <v>0</v>
      </c>
      <c r="AB261" s="20">
        <f>IF(AP261="1",BH261,0)</f>
        <v>0</v>
      </c>
      <c r="AC261" s="20">
        <f>IF(AP261="7",BG261,0)</f>
        <v>0</v>
      </c>
      <c r="AD261" s="20">
        <f>IF(AP261="7",BH261,0)</f>
        <v>0</v>
      </c>
      <c r="AE261" s="20">
        <f>IF(AP261="2",BG261,0)</f>
        <v>0</v>
      </c>
      <c r="AF261" s="20">
        <f>IF(AP261="2",BH261,0)</f>
        <v>0</v>
      </c>
      <c r="AG261" s="20">
        <f>IF(AP261="0",BI261,0)</f>
        <v>0</v>
      </c>
      <c r="AH261" s="15" t="s">
        <v>135</v>
      </c>
      <c r="AI261" s="12">
        <f>IF(AM261=0,K261,0)</f>
        <v>0</v>
      </c>
      <c r="AJ261" s="12">
        <f>IF(AM261=15,K261,0)</f>
        <v>0</v>
      </c>
      <c r="AK261" s="12">
        <f>IF(AM261=21,K261,0)</f>
        <v>0</v>
      </c>
      <c r="AM261" s="20">
        <v>15</v>
      </c>
      <c r="AN261" s="20">
        <f>H261*0.375773919164214</f>
        <v>0</v>
      </c>
      <c r="AO261" s="20">
        <f>H261*(1-0.375773919164214)</f>
        <v>0</v>
      </c>
      <c r="AP261" s="16" t="s">
        <v>262</v>
      </c>
      <c r="AU261" s="20">
        <f>AV261+AW261</f>
        <v>0</v>
      </c>
      <c r="AV261" s="20">
        <f>G261*AN261</f>
        <v>0</v>
      </c>
      <c r="AW261" s="20">
        <f>G261*AO261</f>
        <v>0</v>
      </c>
      <c r="AX261" s="21" t="s">
        <v>157</v>
      </c>
      <c r="AY261" s="21" t="s">
        <v>180</v>
      </c>
      <c r="AZ261" s="15" t="s">
        <v>190</v>
      </c>
      <c r="BB261" s="20">
        <f>AV261+AW261</f>
        <v>0</v>
      </c>
      <c r="BC261" s="20">
        <f>H261/(100-BD261)*100</f>
        <v>0</v>
      </c>
      <c r="BD261" s="20">
        <v>0</v>
      </c>
      <c r="BE261" s="20">
        <f>261</f>
        <v>261</v>
      </c>
      <c r="BG261" s="12">
        <f>G261*AN261</f>
        <v>0</v>
      </c>
      <c r="BH261" s="12">
        <f>G261*AO261</f>
        <v>0</v>
      </c>
      <c r="BI261" s="12">
        <f>G261*H261</f>
        <v>0</v>
      </c>
    </row>
    <row r="262" spans="3:5" ht="12.75">
      <c r="C262" s="147" t="s">
        <v>915</v>
      </c>
      <c r="D262" s="148"/>
      <c r="E262" s="148"/>
    </row>
    <row r="263" spans="1:11" ht="12.75">
      <c r="A263" s="59"/>
      <c r="B263" s="59"/>
      <c r="C263" s="149" t="s">
        <v>916</v>
      </c>
      <c r="D263" s="150"/>
      <c r="E263" s="150"/>
      <c r="F263" s="59"/>
      <c r="G263" s="60">
        <v>8.9</v>
      </c>
      <c r="H263" s="59"/>
      <c r="I263" s="59"/>
      <c r="J263" s="59"/>
      <c r="K263" s="59"/>
    </row>
    <row r="264" spans="1:61" ht="12.75">
      <c r="A264" s="57" t="s">
        <v>352</v>
      </c>
      <c r="B264" s="57" t="s">
        <v>574</v>
      </c>
      <c r="C264" s="146" t="s">
        <v>917</v>
      </c>
      <c r="D264" s="145"/>
      <c r="E264" s="145"/>
      <c r="F264" s="57" t="s">
        <v>102</v>
      </c>
      <c r="G264" s="58">
        <v>4</v>
      </c>
      <c r="H264" s="58">
        <v>0</v>
      </c>
      <c r="I264" s="58">
        <f>G264*AN264</f>
        <v>0</v>
      </c>
      <c r="J264" s="58">
        <f>G264*AO264</f>
        <v>0</v>
      </c>
      <c r="K264" s="58">
        <f>G264*H264</f>
        <v>0</v>
      </c>
      <c r="Y264" s="20">
        <f>IF(AP264="5",BI264,0)</f>
        <v>0</v>
      </c>
      <c r="AA264" s="20">
        <f>IF(AP264="1",BG264,0)</f>
        <v>0</v>
      </c>
      <c r="AB264" s="20">
        <f>IF(AP264="1",BH264,0)</f>
        <v>0</v>
      </c>
      <c r="AC264" s="20">
        <f>IF(AP264="7",BG264,0)</f>
        <v>0</v>
      </c>
      <c r="AD264" s="20">
        <f>IF(AP264="7",BH264,0)</f>
        <v>0</v>
      </c>
      <c r="AE264" s="20">
        <f>IF(AP264="2",BG264,0)</f>
        <v>0</v>
      </c>
      <c r="AF264" s="20">
        <f>IF(AP264="2",BH264,0)</f>
        <v>0</v>
      </c>
      <c r="AG264" s="20">
        <f>IF(AP264="0",BI264,0)</f>
        <v>0</v>
      </c>
      <c r="AH264" s="15" t="s">
        <v>135</v>
      </c>
      <c r="AI264" s="12">
        <f>IF(AM264=0,K264,0)</f>
        <v>0</v>
      </c>
      <c r="AJ264" s="12">
        <f>IF(AM264=15,K264,0)</f>
        <v>0</v>
      </c>
      <c r="AK264" s="12">
        <f>IF(AM264=21,K264,0)</f>
        <v>0</v>
      </c>
      <c r="AM264" s="20">
        <v>15</v>
      </c>
      <c r="AN264" s="20">
        <f>H264*0.291087007479703</f>
        <v>0</v>
      </c>
      <c r="AO264" s="20">
        <f>H264*(1-0.291087007479703)</f>
        <v>0</v>
      </c>
      <c r="AP264" s="16" t="s">
        <v>262</v>
      </c>
      <c r="AU264" s="20">
        <f>AV264+AW264</f>
        <v>0</v>
      </c>
      <c r="AV264" s="20">
        <f>G264*AN264</f>
        <v>0</v>
      </c>
      <c r="AW264" s="20">
        <f>G264*AO264</f>
        <v>0</v>
      </c>
      <c r="AX264" s="21" t="s">
        <v>157</v>
      </c>
      <c r="AY264" s="21" t="s">
        <v>180</v>
      </c>
      <c r="AZ264" s="15" t="s">
        <v>190</v>
      </c>
      <c r="BB264" s="20">
        <f>AV264+AW264</f>
        <v>0</v>
      </c>
      <c r="BC264" s="20">
        <f>H264/(100-BD264)*100</f>
        <v>0</v>
      </c>
      <c r="BD264" s="20">
        <v>0</v>
      </c>
      <c r="BE264" s="20">
        <f>264</f>
        <v>264</v>
      </c>
      <c r="BG264" s="12">
        <f>G264*AN264</f>
        <v>0</v>
      </c>
      <c r="BH264" s="12">
        <f>G264*AO264</f>
        <v>0</v>
      </c>
      <c r="BI264" s="12">
        <f>G264*H264</f>
        <v>0</v>
      </c>
    </row>
    <row r="265" spans="3:5" ht="12.75">
      <c r="C265" s="147" t="s">
        <v>918</v>
      </c>
      <c r="D265" s="148"/>
      <c r="E265" s="148"/>
    </row>
    <row r="266" spans="1:11" ht="12.75">
      <c r="A266" s="59"/>
      <c r="B266" s="59"/>
      <c r="C266" s="149" t="s">
        <v>812</v>
      </c>
      <c r="D266" s="150"/>
      <c r="E266" s="150"/>
      <c r="F266" s="59"/>
      <c r="G266" s="60">
        <v>4</v>
      </c>
      <c r="H266" s="59"/>
      <c r="I266" s="59"/>
      <c r="J266" s="59"/>
      <c r="K266" s="59"/>
    </row>
    <row r="267" spans="1:61" ht="12.75">
      <c r="A267" s="57" t="s">
        <v>353</v>
      </c>
      <c r="B267" s="57" t="s">
        <v>575</v>
      </c>
      <c r="C267" s="146" t="s">
        <v>919</v>
      </c>
      <c r="D267" s="145"/>
      <c r="E267" s="145"/>
      <c r="F267" s="57" t="s">
        <v>102</v>
      </c>
      <c r="G267" s="58">
        <v>12.63</v>
      </c>
      <c r="H267" s="58">
        <v>0</v>
      </c>
      <c r="I267" s="58">
        <f>G267*AN267</f>
        <v>0</v>
      </c>
      <c r="J267" s="58">
        <f>G267*AO267</f>
        <v>0</v>
      </c>
      <c r="K267" s="58">
        <f>G267*H267</f>
        <v>0</v>
      </c>
      <c r="Y267" s="20">
        <f>IF(AP267="5",BI267,0)</f>
        <v>0</v>
      </c>
      <c r="AA267" s="20">
        <f>IF(AP267="1",BG267,0)</f>
        <v>0</v>
      </c>
      <c r="AB267" s="20">
        <f>IF(AP267="1",BH267,0)</f>
        <v>0</v>
      </c>
      <c r="AC267" s="20">
        <f>IF(AP267="7",BG267,0)</f>
        <v>0</v>
      </c>
      <c r="AD267" s="20">
        <f>IF(AP267="7",BH267,0)</f>
        <v>0</v>
      </c>
      <c r="AE267" s="20">
        <f>IF(AP267="2",BG267,0)</f>
        <v>0</v>
      </c>
      <c r="AF267" s="20">
        <f>IF(AP267="2",BH267,0)</f>
        <v>0</v>
      </c>
      <c r="AG267" s="20">
        <f>IF(AP267="0",BI267,0)</f>
        <v>0</v>
      </c>
      <c r="AH267" s="15" t="s">
        <v>135</v>
      </c>
      <c r="AI267" s="12">
        <f>IF(AM267=0,K267,0)</f>
        <v>0</v>
      </c>
      <c r="AJ267" s="12">
        <f>IF(AM267=15,K267,0)</f>
        <v>0</v>
      </c>
      <c r="AK267" s="12">
        <f>IF(AM267=21,K267,0)</f>
        <v>0</v>
      </c>
      <c r="AM267" s="20">
        <v>15</v>
      </c>
      <c r="AN267" s="20">
        <f>H267*0.124930131568128</f>
        <v>0</v>
      </c>
      <c r="AO267" s="20">
        <f>H267*(1-0.124930131568128)</f>
        <v>0</v>
      </c>
      <c r="AP267" s="16" t="s">
        <v>262</v>
      </c>
      <c r="AU267" s="20">
        <f>AV267+AW267</f>
        <v>0</v>
      </c>
      <c r="AV267" s="20">
        <f>G267*AN267</f>
        <v>0</v>
      </c>
      <c r="AW267" s="20">
        <f>G267*AO267</f>
        <v>0</v>
      </c>
      <c r="AX267" s="21" t="s">
        <v>157</v>
      </c>
      <c r="AY267" s="21" t="s">
        <v>180</v>
      </c>
      <c r="AZ267" s="15" t="s">
        <v>190</v>
      </c>
      <c r="BB267" s="20">
        <f>AV267+AW267</f>
        <v>0</v>
      </c>
      <c r="BC267" s="20">
        <f>H267/(100-BD267)*100</f>
        <v>0</v>
      </c>
      <c r="BD267" s="20">
        <v>0</v>
      </c>
      <c r="BE267" s="20">
        <f>267</f>
        <v>267</v>
      </c>
      <c r="BG267" s="12">
        <f>G267*AN267</f>
        <v>0</v>
      </c>
      <c r="BH267" s="12">
        <f>G267*AO267</f>
        <v>0</v>
      </c>
      <c r="BI267" s="12">
        <f>G267*H267</f>
        <v>0</v>
      </c>
    </row>
    <row r="268" spans="3:5" ht="12.75">
      <c r="C268" s="147" t="s">
        <v>920</v>
      </c>
      <c r="D268" s="148"/>
      <c r="E268" s="148"/>
    </row>
    <row r="269" spans="1:11" ht="12.75">
      <c r="A269" s="59"/>
      <c r="B269" s="59"/>
      <c r="C269" s="149" t="s">
        <v>921</v>
      </c>
      <c r="D269" s="150"/>
      <c r="E269" s="150"/>
      <c r="F269" s="59"/>
      <c r="G269" s="60">
        <v>12.63</v>
      </c>
      <c r="H269" s="59"/>
      <c r="I269" s="59"/>
      <c r="J269" s="59"/>
      <c r="K269" s="59"/>
    </row>
    <row r="270" spans="1:61" ht="12.75">
      <c r="A270" s="57" t="s">
        <v>354</v>
      </c>
      <c r="B270" s="57" t="s">
        <v>576</v>
      </c>
      <c r="C270" s="146" t="s">
        <v>922</v>
      </c>
      <c r="D270" s="145"/>
      <c r="E270" s="145"/>
      <c r="F270" s="57" t="s">
        <v>102</v>
      </c>
      <c r="G270" s="58">
        <v>12.69</v>
      </c>
      <c r="H270" s="58">
        <v>0</v>
      </c>
      <c r="I270" s="58">
        <f>G270*AN270</f>
        <v>0</v>
      </c>
      <c r="J270" s="58">
        <f>G270*AO270</f>
        <v>0</v>
      </c>
      <c r="K270" s="58">
        <f>G270*H270</f>
        <v>0</v>
      </c>
      <c r="Y270" s="20">
        <f>IF(AP270="5",BI270,0)</f>
        <v>0</v>
      </c>
      <c r="AA270" s="20">
        <f>IF(AP270="1",BG270,0)</f>
        <v>0</v>
      </c>
      <c r="AB270" s="20">
        <f>IF(AP270="1",BH270,0)</f>
        <v>0</v>
      </c>
      <c r="AC270" s="20">
        <f>IF(AP270="7",BG270,0)</f>
        <v>0</v>
      </c>
      <c r="AD270" s="20">
        <f>IF(AP270="7",BH270,0)</f>
        <v>0</v>
      </c>
      <c r="AE270" s="20">
        <f>IF(AP270="2",BG270,0)</f>
        <v>0</v>
      </c>
      <c r="AF270" s="20">
        <f>IF(AP270="2",BH270,0)</f>
        <v>0</v>
      </c>
      <c r="AG270" s="20">
        <f>IF(AP270="0",BI270,0)</f>
        <v>0</v>
      </c>
      <c r="AH270" s="15" t="s">
        <v>135</v>
      </c>
      <c r="AI270" s="12">
        <f>IF(AM270=0,K270,0)</f>
        <v>0</v>
      </c>
      <c r="AJ270" s="12">
        <f>IF(AM270=15,K270,0)</f>
        <v>0</v>
      </c>
      <c r="AK270" s="12">
        <f>IF(AM270=21,K270,0)</f>
        <v>0</v>
      </c>
      <c r="AM270" s="20">
        <v>15</v>
      </c>
      <c r="AN270" s="20">
        <f>H270*0.311240808784593</f>
        <v>0</v>
      </c>
      <c r="AO270" s="20">
        <f>H270*(1-0.311240808784593)</f>
        <v>0</v>
      </c>
      <c r="AP270" s="16" t="s">
        <v>262</v>
      </c>
      <c r="AU270" s="20">
        <f>AV270+AW270</f>
        <v>0</v>
      </c>
      <c r="AV270" s="20">
        <f>G270*AN270</f>
        <v>0</v>
      </c>
      <c r="AW270" s="20">
        <f>G270*AO270</f>
        <v>0</v>
      </c>
      <c r="AX270" s="21" t="s">
        <v>157</v>
      </c>
      <c r="AY270" s="21" t="s">
        <v>180</v>
      </c>
      <c r="AZ270" s="15" t="s">
        <v>190</v>
      </c>
      <c r="BB270" s="20">
        <f>AV270+AW270</f>
        <v>0</v>
      </c>
      <c r="BC270" s="20">
        <f>H270/(100-BD270)*100</f>
        <v>0</v>
      </c>
      <c r="BD270" s="20">
        <v>0</v>
      </c>
      <c r="BE270" s="20">
        <f>270</f>
        <v>270</v>
      </c>
      <c r="BG270" s="12">
        <f>G270*AN270</f>
        <v>0</v>
      </c>
      <c r="BH270" s="12">
        <f>G270*AO270</f>
        <v>0</v>
      </c>
      <c r="BI270" s="12">
        <f>G270*H270</f>
        <v>0</v>
      </c>
    </row>
    <row r="271" spans="3:5" ht="12.75">
      <c r="C271" s="147" t="s">
        <v>920</v>
      </c>
      <c r="D271" s="148"/>
      <c r="E271" s="148"/>
    </row>
    <row r="272" spans="1:11" ht="12.75">
      <c r="A272" s="59"/>
      <c r="B272" s="59"/>
      <c r="C272" s="149" t="s">
        <v>923</v>
      </c>
      <c r="D272" s="150"/>
      <c r="E272" s="150"/>
      <c r="F272" s="59"/>
      <c r="G272" s="60">
        <v>12.69</v>
      </c>
      <c r="H272" s="59"/>
      <c r="I272" s="59"/>
      <c r="J272" s="59"/>
      <c r="K272" s="59"/>
    </row>
    <row r="273" spans="1:61" ht="12.75">
      <c r="A273" s="57" t="s">
        <v>355</v>
      </c>
      <c r="B273" s="57" t="s">
        <v>577</v>
      </c>
      <c r="C273" s="146" t="s">
        <v>924</v>
      </c>
      <c r="D273" s="145"/>
      <c r="E273" s="145"/>
      <c r="F273" s="57" t="s">
        <v>102</v>
      </c>
      <c r="G273" s="58">
        <v>7.29</v>
      </c>
      <c r="H273" s="58">
        <v>0</v>
      </c>
      <c r="I273" s="58">
        <f>G273*AN273</f>
        <v>0</v>
      </c>
      <c r="J273" s="58">
        <f>G273*AO273</f>
        <v>0</v>
      </c>
      <c r="K273" s="58">
        <f>G273*H273</f>
        <v>0</v>
      </c>
      <c r="Y273" s="20">
        <f>IF(AP273="5",BI273,0)</f>
        <v>0</v>
      </c>
      <c r="AA273" s="20">
        <f>IF(AP273="1",BG273,0)</f>
        <v>0</v>
      </c>
      <c r="AB273" s="20">
        <f>IF(AP273="1",BH273,0)</f>
        <v>0</v>
      </c>
      <c r="AC273" s="20">
        <f>IF(AP273="7",BG273,0)</f>
        <v>0</v>
      </c>
      <c r="AD273" s="20">
        <f>IF(AP273="7",BH273,0)</f>
        <v>0</v>
      </c>
      <c r="AE273" s="20">
        <f>IF(AP273="2",BG273,0)</f>
        <v>0</v>
      </c>
      <c r="AF273" s="20">
        <f>IF(AP273="2",BH273,0)</f>
        <v>0</v>
      </c>
      <c r="AG273" s="20">
        <f>IF(AP273="0",BI273,0)</f>
        <v>0</v>
      </c>
      <c r="AH273" s="15" t="s">
        <v>135</v>
      </c>
      <c r="AI273" s="12">
        <f>IF(AM273=0,K273,0)</f>
        <v>0</v>
      </c>
      <c r="AJ273" s="12">
        <f>IF(AM273=15,K273,0)</f>
        <v>0</v>
      </c>
      <c r="AK273" s="12">
        <f>IF(AM273=21,K273,0)</f>
        <v>0</v>
      </c>
      <c r="AM273" s="20">
        <v>15</v>
      </c>
      <c r="AN273" s="20">
        <f>H273*0.257666394024675</f>
        <v>0</v>
      </c>
      <c r="AO273" s="20">
        <f>H273*(1-0.257666394024675)</f>
        <v>0</v>
      </c>
      <c r="AP273" s="16" t="s">
        <v>262</v>
      </c>
      <c r="AU273" s="20">
        <f>AV273+AW273</f>
        <v>0</v>
      </c>
      <c r="AV273" s="20">
        <f>G273*AN273</f>
        <v>0</v>
      </c>
      <c r="AW273" s="20">
        <f>G273*AO273</f>
        <v>0</v>
      </c>
      <c r="AX273" s="21" t="s">
        <v>157</v>
      </c>
      <c r="AY273" s="21" t="s">
        <v>180</v>
      </c>
      <c r="AZ273" s="15" t="s">
        <v>190</v>
      </c>
      <c r="BB273" s="20">
        <f>AV273+AW273</f>
        <v>0</v>
      </c>
      <c r="BC273" s="20">
        <f>H273/(100-BD273)*100</f>
        <v>0</v>
      </c>
      <c r="BD273" s="20">
        <v>0</v>
      </c>
      <c r="BE273" s="20">
        <f>273</f>
        <v>273</v>
      </c>
      <c r="BG273" s="12">
        <f>G273*AN273</f>
        <v>0</v>
      </c>
      <c r="BH273" s="12">
        <f>G273*AO273</f>
        <v>0</v>
      </c>
      <c r="BI273" s="12">
        <f>G273*H273</f>
        <v>0</v>
      </c>
    </row>
    <row r="274" spans="1:11" ht="12.75">
      <c r="A274" s="59"/>
      <c r="B274" s="59"/>
      <c r="C274" s="149" t="s">
        <v>925</v>
      </c>
      <c r="D274" s="150"/>
      <c r="E274" s="150"/>
      <c r="F274" s="59"/>
      <c r="G274" s="60">
        <v>7.29</v>
      </c>
      <c r="H274" s="59"/>
      <c r="I274" s="59"/>
      <c r="J274" s="59"/>
      <c r="K274" s="59"/>
    </row>
    <row r="275" spans="1:61" ht="12.75">
      <c r="A275" s="57" t="s">
        <v>356</v>
      </c>
      <c r="B275" s="57" t="s">
        <v>578</v>
      </c>
      <c r="C275" s="146" t="s">
        <v>926</v>
      </c>
      <c r="D275" s="145"/>
      <c r="E275" s="145"/>
      <c r="F275" s="57" t="s">
        <v>102</v>
      </c>
      <c r="G275" s="58">
        <v>1.78</v>
      </c>
      <c r="H275" s="58">
        <v>0</v>
      </c>
      <c r="I275" s="58">
        <f>G275*AN275</f>
        <v>0</v>
      </c>
      <c r="J275" s="58">
        <f>G275*AO275</f>
        <v>0</v>
      </c>
      <c r="K275" s="58">
        <f>G275*H275</f>
        <v>0</v>
      </c>
      <c r="Y275" s="20">
        <f>IF(AP275="5",BI275,0)</f>
        <v>0</v>
      </c>
      <c r="AA275" s="20">
        <f>IF(AP275="1",BG275,0)</f>
        <v>0</v>
      </c>
      <c r="AB275" s="20">
        <f>IF(AP275="1",BH275,0)</f>
        <v>0</v>
      </c>
      <c r="AC275" s="20">
        <f>IF(AP275="7",BG275,0)</f>
        <v>0</v>
      </c>
      <c r="AD275" s="20">
        <f>IF(AP275="7",BH275,0)</f>
        <v>0</v>
      </c>
      <c r="AE275" s="20">
        <f>IF(AP275="2",BG275,0)</f>
        <v>0</v>
      </c>
      <c r="AF275" s="20">
        <f>IF(AP275="2",BH275,0)</f>
        <v>0</v>
      </c>
      <c r="AG275" s="20">
        <f>IF(AP275="0",BI275,0)</f>
        <v>0</v>
      </c>
      <c r="AH275" s="15" t="s">
        <v>135</v>
      </c>
      <c r="AI275" s="12">
        <f>IF(AM275=0,K275,0)</f>
        <v>0</v>
      </c>
      <c r="AJ275" s="12">
        <f>IF(AM275=15,K275,0)</f>
        <v>0</v>
      </c>
      <c r="AK275" s="12">
        <f>IF(AM275=21,K275,0)</f>
        <v>0</v>
      </c>
      <c r="AM275" s="20">
        <v>15</v>
      </c>
      <c r="AN275" s="20">
        <f>H275*0.233646277616018</f>
        <v>0</v>
      </c>
      <c r="AO275" s="20">
        <f>H275*(1-0.233646277616018)</f>
        <v>0</v>
      </c>
      <c r="AP275" s="16" t="s">
        <v>262</v>
      </c>
      <c r="AU275" s="20">
        <f>AV275+AW275</f>
        <v>0</v>
      </c>
      <c r="AV275" s="20">
        <f>G275*AN275</f>
        <v>0</v>
      </c>
      <c r="AW275" s="20">
        <f>G275*AO275</f>
        <v>0</v>
      </c>
      <c r="AX275" s="21" t="s">
        <v>157</v>
      </c>
      <c r="AY275" s="21" t="s">
        <v>180</v>
      </c>
      <c r="AZ275" s="15" t="s">
        <v>190</v>
      </c>
      <c r="BB275" s="20">
        <f>AV275+AW275</f>
        <v>0</v>
      </c>
      <c r="BC275" s="20">
        <f>H275/(100-BD275)*100</f>
        <v>0</v>
      </c>
      <c r="BD275" s="20">
        <v>0</v>
      </c>
      <c r="BE275" s="20">
        <f>275</f>
        <v>275</v>
      </c>
      <c r="BG275" s="12">
        <f>G275*AN275</f>
        <v>0</v>
      </c>
      <c r="BH275" s="12">
        <f>G275*AO275</f>
        <v>0</v>
      </c>
      <c r="BI275" s="12">
        <f>G275*H275</f>
        <v>0</v>
      </c>
    </row>
    <row r="276" spans="3:5" ht="12.75">
      <c r="C276" s="147" t="s">
        <v>920</v>
      </c>
      <c r="D276" s="148"/>
      <c r="E276" s="148"/>
    </row>
    <row r="277" spans="1:11" ht="12.75">
      <c r="A277" s="59"/>
      <c r="B277" s="59"/>
      <c r="C277" s="149" t="s">
        <v>927</v>
      </c>
      <c r="D277" s="150"/>
      <c r="E277" s="150"/>
      <c r="F277" s="59"/>
      <c r="G277" s="60">
        <v>1.78</v>
      </c>
      <c r="H277" s="59"/>
      <c r="I277" s="59"/>
      <c r="J277" s="59"/>
      <c r="K277" s="59"/>
    </row>
    <row r="278" spans="1:61" ht="12.75">
      <c r="A278" s="57" t="s">
        <v>357</v>
      </c>
      <c r="B278" s="57" t="s">
        <v>579</v>
      </c>
      <c r="C278" s="146" t="s">
        <v>928</v>
      </c>
      <c r="D278" s="145"/>
      <c r="E278" s="145"/>
      <c r="F278" s="57" t="s">
        <v>102</v>
      </c>
      <c r="G278" s="58">
        <v>1.3</v>
      </c>
      <c r="H278" s="58">
        <v>0</v>
      </c>
      <c r="I278" s="58">
        <f>G278*AN278</f>
        <v>0</v>
      </c>
      <c r="J278" s="58">
        <f>G278*AO278</f>
        <v>0</v>
      </c>
      <c r="K278" s="58">
        <f>G278*H278</f>
        <v>0</v>
      </c>
      <c r="Y278" s="20">
        <f>IF(AP278="5",BI278,0)</f>
        <v>0</v>
      </c>
      <c r="AA278" s="20">
        <f>IF(AP278="1",BG278,0)</f>
        <v>0</v>
      </c>
      <c r="AB278" s="20">
        <f>IF(AP278="1",BH278,0)</f>
        <v>0</v>
      </c>
      <c r="AC278" s="20">
        <f>IF(AP278="7",BG278,0)</f>
        <v>0</v>
      </c>
      <c r="AD278" s="20">
        <f>IF(AP278="7",BH278,0)</f>
        <v>0</v>
      </c>
      <c r="AE278" s="20">
        <f>IF(AP278="2",BG278,0)</f>
        <v>0</v>
      </c>
      <c r="AF278" s="20">
        <f>IF(AP278="2",BH278,0)</f>
        <v>0</v>
      </c>
      <c r="AG278" s="20">
        <f>IF(AP278="0",BI278,0)</f>
        <v>0</v>
      </c>
      <c r="AH278" s="15" t="s">
        <v>135</v>
      </c>
      <c r="AI278" s="12">
        <f>IF(AM278=0,K278,0)</f>
        <v>0</v>
      </c>
      <c r="AJ278" s="12">
        <f>IF(AM278=15,K278,0)</f>
        <v>0</v>
      </c>
      <c r="AK278" s="12">
        <f>IF(AM278=21,K278,0)</f>
        <v>0</v>
      </c>
      <c r="AM278" s="20">
        <v>15</v>
      </c>
      <c r="AN278" s="20">
        <f>H278*0.204486163934426</f>
        <v>0</v>
      </c>
      <c r="AO278" s="20">
        <f>H278*(1-0.204486163934426)</f>
        <v>0</v>
      </c>
      <c r="AP278" s="16" t="s">
        <v>262</v>
      </c>
      <c r="AU278" s="20">
        <f>AV278+AW278</f>
        <v>0</v>
      </c>
      <c r="AV278" s="20">
        <f>G278*AN278</f>
        <v>0</v>
      </c>
      <c r="AW278" s="20">
        <f>G278*AO278</f>
        <v>0</v>
      </c>
      <c r="AX278" s="21" t="s">
        <v>157</v>
      </c>
      <c r="AY278" s="21" t="s">
        <v>180</v>
      </c>
      <c r="AZ278" s="15" t="s">
        <v>190</v>
      </c>
      <c r="BB278" s="20">
        <f>AV278+AW278</f>
        <v>0</v>
      </c>
      <c r="BC278" s="20">
        <f>H278/(100-BD278)*100</f>
        <v>0</v>
      </c>
      <c r="BD278" s="20">
        <v>0</v>
      </c>
      <c r="BE278" s="20">
        <f>278</f>
        <v>278</v>
      </c>
      <c r="BG278" s="12">
        <f>G278*AN278</f>
        <v>0</v>
      </c>
      <c r="BH278" s="12">
        <f>G278*AO278</f>
        <v>0</v>
      </c>
      <c r="BI278" s="12">
        <f>G278*H278</f>
        <v>0</v>
      </c>
    </row>
    <row r="279" spans="3:5" ht="12.75">
      <c r="C279" s="147" t="s">
        <v>929</v>
      </c>
      <c r="D279" s="148"/>
      <c r="E279" s="148"/>
    </row>
    <row r="280" spans="1:11" ht="12.75">
      <c r="A280" s="59"/>
      <c r="B280" s="59"/>
      <c r="C280" s="149" t="s">
        <v>930</v>
      </c>
      <c r="D280" s="150"/>
      <c r="E280" s="150"/>
      <c r="F280" s="59"/>
      <c r="G280" s="60">
        <v>1.3</v>
      </c>
      <c r="H280" s="59"/>
      <c r="I280" s="59"/>
      <c r="J280" s="59"/>
      <c r="K280" s="59"/>
    </row>
    <row r="281" spans="1:61" ht="12.75">
      <c r="A281" s="57" t="s">
        <v>358</v>
      </c>
      <c r="B281" s="57" t="s">
        <v>580</v>
      </c>
      <c r="C281" s="146" t="s">
        <v>931</v>
      </c>
      <c r="D281" s="145"/>
      <c r="E281" s="145"/>
      <c r="F281" s="57" t="s">
        <v>102</v>
      </c>
      <c r="G281" s="58">
        <v>19.1</v>
      </c>
      <c r="H281" s="58">
        <v>0</v>
      </c>
      <c r="I281" s="58">
        <f>G281*AN281</f>
        <v>0</v>
      </c>
      <c r="J281" s="58">
        <f>G281*AO281</f>
        <v>0</v>
      </c>
      <c r="K281" s="58">
        <f>G281*H281</f>
        <v>0</v>
      </c>
      <c r="Y281" s="20">
        <f>IF(AP281="5",BI281,0)</f>
        <v>0</v>
      </c>
      <c r="AA281" s="20">
        <f>IF(AP281="1",BG281,0)</f>
        <v>0</v>
      </c>
      <c r="AB281" s="20">
        <f>IF(AP281="1",BH281,0)</f>
        <v>0</v>
      </c>
      <c r="AC281" s="20">
        <f>IF(AP281="7",BG281,0)</f>
        <v>0</v>
      </c>
      <c r="AD281" s="20">
        <f>IF(AP281="7",BH281,0)</f>
        <v>0</v>
      </c>
      <c r="AE281" s="20">
        <f>IF(AP281="2",BG281,0)</f>
        <v>0</v>
      </c>
      <c r="AF281" s="20">
        <f>IF(AP281="2",BH281,0)</f>
        <v>0</v>
      </c>
      <c r="AG281" s="20">
        <f>IF(AP281="0",BI281,0)</f>
        <v>0</v>
      </c>
      <c r="AH281" s="15" t="s">
        <v>135</v>
      </c>
      <c r="AI281" s="12">
        <f>IF(AM281=0,K281,0)</f>
        <v>0</v>
      </c>
      <c r="AJ281" s="12">
        <f>IF(AM281=15,K281,0)</f>
        <v>0</v>
      </c>
      <c r="AK281" s="12">
        <f>IF(AM281=21,K281,0)</f>
        <v>0</v>
      </c>
      <c r="AM281" s="20">
        <v>15</v>
      </c>
      <c r="AN281" s="20">
        <f>H281*0.453422222222222</f>
        <v>0</v>
      </c>
      <c r="AO281" s="20">
        <f>H281*(1-0.453422222222222)</f>
        <v>0</v>
      </c>
      <c r="AP281" s="16" t="s">
        <v>262</v>
      </c>
      <c r="AU281" s="20">
        <f>AV281+AW281</f>
        <v>0</v>
      </c>
      <c r="AV281" s="20">
        <f>G281*AN281</f>
        <v>0</v>
      </c>
      <c r="AW281" s="20">
        <f>G281*AO281</f>
        <v>0</v>
      </c>
      <c r="AX281" s="21" t="s">
        <v>157</v>
      </c>
      <c r="AY281" s="21" t="s">
        <v>180</v>
      </c>
      <c r="AZ281" s="15" t="s">
        <v>190</v>
      </c>
      <c r="BB281" s="20">
        <f>AV281+AW281</f>
        <v>0</v>
      </c>
      <c r="BC281" s="20">
        <f>H281/(100-BD281)*100</f>
        <v>0</v>
      </c>
      <c r="BD281" s="20">
        <v>0</v>
      </c>
      <c r="BE281" s="20">
        <f>281</f>
        <v>281</v>
      </c>
      <c r="BG281" s="12">
        <f>G281*AN281</f>
        <v>0</v>
      </c>
      <c r="BH281" s="12">
        <f>G281*AO281</f>
        <v>0</v>
      </c>
      <c r="BI281" s="12">
        <f>G281*H281</f>
        <v>0</v>
      </c>
    </row>
    <row r="282" spans="3:5" ht="12.75">
      <c r="C282" s="147" t="s">
        <v>932</v>
      </c>
      <c r="D282" s="148"/>
      <c r="E282" s="148"/>
    </row>
    <row r="283" spans="1:11" ht="12.75">
      <c r="A283" s="59"/>
      <c r="B283" s="59"/>
      <c r="C283" s="149" t="s">
        <v>933</v>
      </c>
      <c r="D283" s="150"/>
      <c r="E283" s="150"/>
      <c r="F283" s="59"/>
      <c r="G283" s="60">
        <v>19.1</v>
      </c>
      <c r="H283" s="59"/>
      <c r="I283" s="59"/>
      <c r="J283" s="59"/>
      <c r="K283" s="59"/>
    </row>
    <row r="284" spans="1:61" ht="12.75">
      <c r="A284" s="57" t="s">
        <v>359</v>
      </c>
      <c r="B284" s="57" t="s">
        <v>581</v>
      </c>
      <c r="C284" s="146" t="s">
        <v>934</v>
      </c>
      <c r="D284" s="145"/>
      <c r="E284" s="145"/>
      <c r="F284" s="57" t="s">
        <v>103</v>
      </c>
      <c r="G284" s="58">
        <v>0.307</v>
      </c>
      <c r="H284" s="58">
        <v>0</v>
      </c>
      <c r="I284" s="58">
        <f>G284*AN284</f>
        <v>0</v>
      </c>
      <c r="J284" s="58">
        <f>G284*AO284</f>
        <v>0</v>
      </c>
      <c r="K284" s="58">
        <f>G284*H284</f>
        <v>0</v>
      </c>
      <c r="Y284" s="20">
        <f>IF(AP284="5",BI284,0)</f>
        <v>0</v>
      </c>
      <c r="AA284" s="20">
        <f>IF(AP284="1",BG284,0)</f>
        <v>0</v>
      </c>
      <c r="AB284" s="20">
        <f>IF(AP284="1",BH284,0)</f>
        <v>0</v>
      </c>
      <c r="AC284" s="20">
        <f>IF(AP284="7",BG284,0)</f>
        <v>0</v>
      </c>
      <c r="AD284" s="20">
        <f>IF(AP284="7",BH284,0)</f>
        <v>0</v>
      </c>
      <c r="AE284" s="20">
        <f>IF(AP284="2",BG284,0)</f>
        <v>0</v>
      </c>
      <c r="AF284" s="20">
        <f>IF(AP284="2",BH284,0)</f>
        <v>0</v>
      </c>
      <c r="AG284" s="20">
        <f>IF(AP284="0",BI284,0)</f>
        <v>0</v>
      </c>
      <c r="AH284" s="15" t="s">
        <v>135</v>
      </c>
      <c r="AI284" s="12">
        <f>IF(AM284=0,K284,0)</f>
        <v>0</v>
      </c>
      <c r="AJ284" s="12">
        <f>IF(AM284=15,K284,0)</f>
        <v>0</v>
      </c>
      <c r="AK284" s="12">
        <f>IF(AM284=21,K284,0)</f>
        <v>0</v>
      </c>
      <c r="AM284" s="20">
        <v>15</v>
      </c>
      <c r="AN284" s="20">
        <f>H284*0</f>
        <v>0</v>
      </c>
      <c r="AO284" s="20">
        <f>H284*(1-0)</f>
        <v>0</v>
      </c>
      <c r="AP284" s="16" t="s">
        <v>260</v>
      </c>
      <c r="AU284" s="20">
        <f>AV284+AW284</f>
        <v>0</v>
      </c>
      <c r="AV284" s="20">
        <f>G284*AN284</f>
        <v>0</v>
      </c>
      <c r="AW284" s="20">
        <f>G284*AO284</f>
        <v>0</v>
      </c>
      <c r="AX284" s="21" t="s">
        <v>157</v>
      </c>
      <c r="AY284" s="21" t="s">
        <v>180</v>
      </c>
      <c r="AZ284" s="15" t="s">
        <v>190</v>
      </c>
      <c r="BB284" s="20">
        <f>AV284+AW284</f>
        <v>0</v>
      </c>
      <c r="BC284" s="20">
        <f>H284/(100-BD284)*100</f>
        <v>0</v>
      </c>
      <c r="BD284" s="20">
        <v>0</v>
      </c>
      <c r="BE284" s="20">
        <f>284</f>
        <v>284</v>
      </c>
      <c r="BG284" s="12">
        <f>G284*AN284</f>
        <v>0</v>
      </c>
      <c r="BH284" s="12">
        <f>G284*AO284</f>
        <v>0</v>
      </c>
      <c r="BI284" s="12">
        <f>G284*H284</f>
        <v>0</v>
      </c>
    </row>
    <row r="285" spans="1:11" ht="12.75">
      <c r="A285" s="59"/>
      <c r="B285" s="59"/>
      <c r="C285" s="149" t="s">
        <v>935</v>
      </c>
      <c r="D285" s="150"/>
      <c r="E285" s="150"/>
      <c r="F285" s="59"/>
      <c r="G285" s="60">
        <v>0.307</v>
      </c>
      <c r="H285" s="59"/>
      <c r="I285" s="59"/>
      <c r="J285" s="59"/>
      <c r="K285" s="59"/>
    </row>
    <row r="286" spans="1:46" ht="12.75">
      <c r="A286" s="2"/>
      <c r="B286" s="8" t="s">
        <v>582</v>
      </c>
      <c r="C286" s="142" t="s">
        <v>936</v>
      </c>
      <c r="D286" s="143"/>
      <c r="E286" s="143"/>
      <c r="F286" s="2" t="s">
        <v>255</v>
      </c>
      <c r="G286" s="2" t="s">
        <v>255</v>
      </c>
      <c r="H286" s="2" t="s">
        <v>255</v>
      </c>
      <c r="I286" s="22">
        <f>SUM(I287:I331)</f>
        <v>0</v>
      </c>
      <c r="J286" s="22">
        <f>SUM(J287:J331)</f>
        <v>0</v>
      </c>
      <c r="K286" s="22">
        <f>SUM(K287:K331)</f>
        <v>0</v>
      </c>
      <c r="AH286" s="15" t="s">
        <v>135</v>
      </c>
      <c r="AR286" s="22">
        <f>SUM(AI287:AI331)</f>
        <v>0</v>
      </c>
      <c r="AS286" s="22">
        <f>SUM(AJ287:AJ331)</f>
        <v>0</v>
      </c>
      <c r="AT286" s="22">
        <f>SUM(AK287:AK331)</f>
        <v>0</v>
      </c>
    </row>
    <row r="287" spans="1:61" ht="12.75">
      <c r="A287" s="57" t="s">
        <v>360</v>
      </c>
      <c r="B287" s="57" t="s">
        <v>583</v>
      </c>
      <c r="C287" s="146" t="s">
        <v>937</v>
      </c>
      <c r="D287" s="145"/>
      <c r="E287" s="145"/>
      <c r="F287" s="57" t="s">
        <v>104</v>
      </c>
      <c r="G287" s="58">
        <v>2</v>
      </c>
      <c r="H287" s="58">
        <v>0</v>
      </c>
      <c r="I287" s="58">
        <f>G287*AN287</f>
        <v>0</v>
      </c>
      <c r="J287" s="58">
        <f>G287*AO287</f>
        <v>0</v>
      </c>
      <c r="K287" s="58">
        <f>G287*H287</f>
        <v>0</v>
      </c>
      <c r="Y287" s="20">
        <f>IF(AP287="5",BI287,0)</f>
        <v>0</v>
      </c>
      <c r="AA287" s="20">
        <f>IF(AP287="1",BG287,0)</f>
        <v>0</v>
      </c>
      <c r="AB287" s="20">
        <f>IF(AP287="1",BH287,0)</f>
        <v>0</v>
      </c>
      <c r="AC287" s="20">
        <f>IF(AP287="7",BG287,0)</f>
        <v>0</v>
      </c>
      <c r="AD287" s="20">
        <f>IF(AP287="7",BH287,0)</f>
        <v>0</v>
      </c>
      <c r="AE287" s="20">
        <f>IF(AP287="2",BG287,0)</f>
        <v>0</v>
      </c>
      <c r="AF287" s="20">
        <f>IF(AP287="2",BH287,0)</f>
        <v>0</v>
      </c>
      <c r="AG287" s="20">
        <f>IF(AP287="0",BI287,0)</f>
        <v>0</v>
      </c>
      <c r="AH287" s="15" t="s">
        <v>135</v>
      </c>
      <c r="AI287" s="12">
        <f>IF(AM287=0,K287,0)</f>
        <v>0</v>
      </c>
      <c r="AJ287" s="12">
        <f>IF(AM287=15,K287,0)</f>
        <v>0</v>
      </c>
      <c r="AK287" s="12">
        <f>IF(AM287=21,K287,0)</f>
        <v>0</v>
      </c>
      <c r="AM287" s="20">
        <v>15</v>
      </c>
      <c r="AN287" s="20">
        <f>H287*0.312887624466572</f>
        <v>0</v>
      </c>
      <c r="AO287" s="20">
        <f>H287*(1-0.312887624466572)</f>
        <v>0</v>
      </c>
      <c r="AP287" s="16" t="s">
        <v>262</v>
      </c>
      <c r="AU287" s="20">
        <f>AV287+AW287</f>
        <v>0</v>
      </c>
      <c r="AV287" s="20">
        <f>G287*AN287</f>
        <v>0</v>
      </c>
      <c r="AW287" s="20">
        <f>G287*AO287</f>
        <v>0</v>
      </c>
      <c r="AX287" s="21" t="s">
        <v>158</v>
      </c>
      <c r="AY287" s="21" t="s">
        <v>180</v>
      </c>
      <c r="AZ287" s="15" t="s">
        <v>190</v>
      </c>
      <c r="BB287" s="20">
        <f>AV287+AW287</f>
        <v>0</v>
      </c>
      <c r="BC287" s="20">
        <f>H287/(100-BD287)*100</f>
        <v>0</v>
      </c>
      <c r="BD287" s="20">
        <v>0</v>
      </c>
      <c r="BE287" s="20">
        <f>287</f>
        <v>287</v>
      </c>
      <c r="BG287" s="12">
        <f>G287*AN287</f>
        <v>0</v>
      </c>
      <c r="BH287" s="12">
        <f>G287*AO287</f>
        <v>0</v>
      </c>
      <c r="BI287" s="12">
        <f>G287*H287</f>
        <v>0</v>
      </c>
    </row>
    <row r="288" spans="1:11" ht="12.75">
      <c r="A288" s="59"/>
      <c r="B288" s="59"/>
      <c r="C288" s="149" t="s">
        <v>938</v>
      </c>
      <c r="D288" s="150"/>
      <c r="E288" s="150"/>
      <c r="F288" s="59"/>
      <c r="G288" s="60">
        <v>2</v>
      </c>
      <c r="H288" s="59"/>
      <c r="I288" s="59"/>
      <c r="J288" s="59"/>
      <c r="K288" s="59"/>
    </row>
    <row r="289" spans="1:61" ht="12.75">
      <c r="A289" s="75" t="s">
        <v>361</v>
      </c>
      <c r="B289" s="75" t="s">
        <v>584</v>
      </c>
      <c r="C289" s="164" t="s">
        <v>939</v>
      </c>
      <c r="D289" s="156"/>
      <c r="E289" s="165"/>
      <c r="F289" s="75" t="s">
        <v>104</v>
      </c>
      <c r="G289" s="77">
        <v>1</v>
      </c>
      <c r="H289" s="77">
        <v>0</v>
      </c>
      <c r="I289" s="77">
        <f>G289*AN289</f>
        <v>0</v>
      </c>
      <c r="J289" s="77">
        <f>G289*AO289</f>
        <v>0</v>
      </c>
      <c r="K289" s="77">
        <f>G289*H289</f>
        <v>0</v>
      </c>
      <c r="Y289" s="20">
        <f>IF(AP289="5",BI289,0)</f>
        <v>0</v>
      </c>
      <c r="AA289" s="20">
        <f>IF(AP289="1",BG289,0)</f>
        <v>0</v>
      </c>
      <c r="AB289" s="20">
        <f>IF(AP289="1",BH289,0)</f>
        <v>0</v>
      </c>
      <c r="AC289" s="20">
        <f>IF(AP289="7",BG289,0)</f>
        <v>0</v>
      </c>
      <c r="AD289" s="20">
        <f>IF(AP289="7",BH289,0)</f>
        <v>0</v>
      </c>
      <c r="AE289" s="20">
        <f>IF(AP289="2",BG289,0)</f>
        <v>0</v>
      </c>
      <c r="AF289" s="20">
        <f>IF(AP289="2",BH289,0)</f>
        <v>0</v>
      </c>
      <c r="AG289" s="20">
        <f>IF(AP289="0",BI289,0)</f>
        <v>0</v>
      </c>
      <c r="AH289" s="15" t="s">
        <v>135</v>
      </c>
      <c r="AI289" s="13">
        <f>IF(AM289=0,K289,0)</f>
        <v>0</v>
      </c>
      <c r="AJ289" s="13">
        <f>IF(AM289=15,K289,0)</f>
        <v>0</v>
      </c>
      <c r="AK289" s="13">
        <f>IF(AM289=21,K289,0)</f>
        <v>0</v>
      </c>
      <c r="AM289" s="20">
        <v>15</v>
      </c>
      <c r="AN289" s="20">
        <f>H289*1</f>
        <v>0</v>
      </c>
      <c r="AO289" s="20">
        <f>H289*(1-1)</f>
        <v>0</v>
      </c>
      <c r="AP289" s="17" t="s">
        <v>262</v>
      </c>
      <c r="AU289" s="20">
        <f>AV289+AW289</f>
        <v>0</v>
      </c>
      <c r="AV289" s="20">
        <f>G289*AN289</f>
        <v>0</v>
      </c>
      <c r="AW289" s="20">
        <f>G289*AO289</f>
        <v>0</v>
      </c>
      <c r="AX289" s="21" t="s">
        <v>158</v>
      </c>
      <c r="AY289" s="21" t="s">
        <v>180</v>
      </c>
      <c r="AZ289" s="15" t="s">
        <v>190</v>
      </c>
      <c r="BB289" s="20">
        <f>AV289+AW289</f>
        <v>0</v>
      </c>
      <c r="BC289" s="20">
        <f>H289/(100-BD289)*100</f>
        <v>0</v>
      </c>
      <c r="BD289" s="20">
        <v>0</v>
      </c>
      <c r="BE289" s="20">
        <f>289</f>
        <v>289</v>
      </c>
      <c r="BG289" s="13">
        <f>G289*AN289</f>
        <v>0</v>
      </c>
      <c r="BH289" s="13">
        <f>G289*AO289</f>
        <v>0</v>
      </c>
      <c r="BI289" s="13">
        <f>G289*H289</f>
        <v>0</v>
      </c>
    </row>
    <row r="290" spans="1:11" ht="12.75">
      <c r="A290" s="76"/>
      <c r="B290" s="76"/>
      <c r="C290" s="166" t="s">
        <v>940</v>
      </c>
      <c r="D290" s="150"/>
      <c r="E290" s="163"/>
      <c r="F290" s="76"/>
      <c r="G290" s="78">
        <v>1</v>
      </c>
      <c r="H290" s="76"/>
      <c r="I290" s="76"/>
      <c r="J290" s="76"/>
      <c r="K290" s="76"/>
    </row>
    <row r="291" spans="1:61" ht="12.75">
      <c r="A291" s="57" t="s">
        <v>362</v>
      </c>
      <c r="B291" s="57" t="s">
        <v>585</v>
      </c>
      <c r="C291" s="146" t="s">
        <v>941</v>
      </c>
      <c r="D291" s="145"/>
      <c r="E291" s="145"/>
      <c r="F291" s="57" t="s">
        <v>104</v>
      </c>
      <c r="G291" s="58">
        <v>1</v>
      </c>
      <c r="H291" s="58">
        <v>0</v>
      </c>
      <c r="I291" s="58">
        <f>G291*AN291</f>
        <v>0</v>
      </c>
      <c r="J291" s="58">
        <f>G291*AO291</f>
        <v>0</v>
      </c>
      <c r="K291" s="58">
        <f>G291*H291</f>
        <v>0</v>
      </c>
      <c r="Y291" s="20">
        <f>IF(AP291="5",BI291,0)</f>
        <v>0</v>
      </c>
      <c r="AA291" s="20">
        <f>IF(AP291="1",BG291,0)</f>
        <v>0</v>
      </c>
      <c r="AB291" s="20">
        <f>IF(AP291="1",BH291,0)</f>
        <v>0</v>
      </c>
      <c r="AC291" s="20">
        <f>IF(AP291="7",BG291,0)</f>
        <v>0</v>
      </c>
      <c r="AD291" s="20">
        <f>IF(AP291="7",BH291,0)</f>
        <v>0</v>
      </c>
      <c r="AE291" s="20">
        <f>IF(AP291="2",BG291,0)</f>
        <v>0</v>
      </c>
      <c r="AF291" s="20">
        <f>IF(AP291="2",BH291,0)</f>
        <v>0</v>
      </c>
      <c r="AG291" s="20">
        <f>IF(AP291="0",BI291,0)</f>
        <v>0</v>
      </c>
      <c r="AH291" s="15" t="s">
        <v>135</v>
      </c>
      <c r="AI291" s="12">
        <f>IF(AM291=0,K291,0)</f>
        <v>0</v>
      </c>
      <c r="AJ291" s="12">
        <f>IF(AM291=15,K291,0)</f>
        <v>0</v>
      </c>
      <c r="AK291" s="12">
        <f>IF(AM291=21,K291,0)</f>
        <v>0</v>
      </c>
      <c r="AM291" s="20">
        <v>15</v>
      </c>
      <c r="AN291" s="20">
        <f>H291*0.302858744394619</f>
        <v>0</v>
      </c>
      <c r="AO291" s="20">
        <f>H291*(1-0.302858744394619)</f>
        <v>0</v>
      </c>
      <c r="AP291" s="16" t="s">
        <v>262</v>
      </c>
      <c r="AU291" s="20">
        <f>AV291+AW291</f>
        <v>0</v>
      </c>
      <c r="AV291" s="20">
        <f>G291*AN291</f>
        <v>0</v>
      </c>
      <c r="AW291" s="20">
        <f>G291*AO291</f>
        <v>0</v>
      </c>
      <c r="AX291" s="21" t="s">
        <v>158</v>
      </c>
      <c r="AY291" s="21" t="s">
        <v>180</v>
      </c>
      <c r="AZ291" s="15" t="s">
        <v>190</v>
      </c>
      <c r="BB291" s="20">
        <f>AV291+AW291</f>
        <v>0</v>
      </c>
      <c r="BC291" s="20">
        <f>H291/(100-BD291)*100</f>
        <v>0</v>
      </c>
      <c r="BD291" s="20">
        <v>0</v>
      </c>
      <c r="BE291" s="20">
        <f>291</f>
        <v>291</v>
      </c>
      <c r="BG291" s="12">
        <f>G291*AN291</f>
        <v>0</v>
      </c>
      <c r="BH291" s="12">
        <f>G291*AO291</f>
        <v>0</v>
      </c>
      <c r="BI291" s="12">
        <f>G291*H291</f>
        <v>0</v>
      </c>
    </row>
    <row r="292" spans="1:11" ht="12.75">
      <c r="A292" s="59"/>
      <c r="B292" s="59"/>
      <c r="C292" s="149" t="s">
        <v>942</v>
      </c>
      <c r="D292" s="150"/>
      <c r="E292" s="150"/>
      <c r="F292" s="59"/>
      <c r="G292" s="60">
        <v>1</v>
      </c>
      <c r="H292" s="59"/>
      <c r="I292" s="59"/>
      <c r="J292" s="59"/>
      <c r="K292" s="59"/>
    </row>
    <row r="293" spans="1:61" ht="12.75">
      <c r="A293" s="67" t="s">
        <v>363</v>
      </c>
      <c r="B293" s="67" t="s">
        <v>586</v>
      </c>
      <c r="C293" s="155" t="s">
        <v>943</v>
      </c>
      <c r="D293" s="156"/>
      <c r="E293" s="156"/>
      <c r="F293" s="67" t="s">
        <v>104</v>
      </c>
      <c r="G293" s="68">
        <v>1</v>
      </c>
      <c r="H293" s="68">
        <v>0</v>
      </c>
      <c r="I293" s="68">
        <f>G293*AN293</f>
        <v>0</v>
      </c>
      <c r="J293" s="68">
        <f>G293*AO293</f>
        <v>0</v>
      </c>
      <c r="K293" s="68">
        <f>G293*H293</f>
        <v>0</v>
      </c>
      <c r="Y293" s="20">
        <f>IF(AP293="5",BI293,0)</f>
        <v>0</v>
      </c>
      <c r="AA293" s="20">
        <f>IF(AP293="1",BG293,0)</f>
        <v>0</v>
      </c>
      <c r="AB293" s="20">
        <f>IF(AP293="1",BH293,0)</f>
        <v>0</v>
      </c>
      <c r="AC293" s="20">
        <f>IF(AP293="7",BG293,0)</f>
        <v>0</v>
      </c>
      <c r="AD293" s="20">
        <f>IF(AP293="7",BH293,0)</f>
        <v>0</v>
      </c>
      <c r="AE293" s="20">
        <f>IF(AP293="2",BG293,0)</f>
        <v>0</v>
      </c>
      <c r="AF293" s="20">
        <f>IF(AP293="2",BH293,0)</f>
        <v>0</v>
      </c>
      <c r="AG293" s="20">
        <f>IF(AP293="0",BI293,0)</f>
        <v>0</v>
      </c>
      <c r="AH293" s="15" t="s">
        <v>135</v>
      </c>
      <c r="AI293" s="13">
        <f>IF(AM293=0,K293,0)</f>
        <v>0</v>
      </c>
      <c r="AJ293" s="13">
        <f>IF(AM293=15,K293,0)</f>
        <v>0</v>
      </c>
      <c r="AK293" s="13">
        <f>IF(AM293=21,K293,0)</f>
        <v>0</v>
      </c>
      <c r="AM293" s="20">
        <v>15</v>
      </c>
      <c r="AN293" s="20">
        <f>H293*1</f>
        <v>0</v>
      </c>
      <c r="AO293" s="20">
        <f>H293*(1-1)</f>
        <v>0</v>
      </c>
      <c r="AP293" s="17" t="s">
        <v>262</v>
      </c>
      <c r="AU293" s="20">
        <f>AV293+AW293</f>
        <v>0</v>
      </c>
      <c r="AV293" s="20">
        <f>G293*AN293</f>
        <v>0</v>
      </c>
      <c r="AW293" s="20">
        <f>G293*AO293</f>
        <v>0</v>
      </c>
      <c r="AX293" s="21" t="s">
        <v>158</v>
      </c>
      <c r="AY293" s="21" t="s">
        <v>180</v>
      </c>
      <c r="AZ293" s="15" t="s">
        <v>190</v>
      </c>
      <c r="BB293" s="20">
        <f>AV293+AW293</f>
        <v>0</v>
      </c>
      <c r="BC293" s="20">
        <f>H293/(100-BD293)*100</f>
        <v>0</v>
      </c>
      <c r="BD293" s="20">
        <v>0</v>
      </c>
      <c r="BE293" s="20">
        <f>293</f>
        <v>293</v>
      </c>
      <c r="BG293" s="13">
        <f>G293*AN293</f>
        <v>0</v>
      </c>
      <c r="BH293" s="13">
        <f>G293*AO293</f>
        <v>0</v>
      </c>
      <c r="BI293" s="13">
        <f>G293*H293</f>
        <v>0</v>
      </c>
    </row>
    <row r="294" spans="1:11" ht="12.75">
      <c r="A294" s="69"/>
      <c r="B294" s="69"/>
      <c r="C294" s="157" t="s">
        <v>940</v>
      </c>
      <c r="D294" s="150"/>
      <c r="E294" s="150"/>
      <c r="F294" s="69"/>
      <c r="G294" s="70">
        <v>1</v>
      </c>
      <c r="H294" s="69"/>
      <c r="I294" s="69"/>
      <c r="J294" s="69"/>
      <c r="K294" s="69"/>
    </row>
    <row r="295" spans="1:61" ht="12.75">
      <c r="A295" s="57" t="s">
        <v>364</v>
      </c>
      <c r="B295" s="57" t="s">
        <v>587</v>
      </c>
      <c r="C295" s="146" t="s">
        <v>944</v>
      </c>
      <c r="D295" s="145"/>
      <c r="E295" s="145"/>
      <c r="F295" s="57" t="s">
        <v>104</v>
      </c>
      <c r="G295" s="58">
        <v>1</v>
      </c>
      <c r="H295" s="58">
        <v>0</v>
      </c>
      <c r="I295" s="58">
        <f>G295*AN295</f>
        <v>0</v>
      </c>
      <c r="J295" s="58">
        <f>G295*AO295</f>
        <v>0</v>
      </c>
      <c r="K295" s="58">
        <f>G295*H295</f>
        <v>0</v>
      </c>
      <c r="Y295" s="20">
        <f>IF(AP295="5",BI295,0)</f>
        <v>0</v>
      </c>
      <c r="AA295" s="20">
        <f>IF(AP295="1",BG295,0)</f>
        <v>0</v>
      </c>
      <c r="AB295" s="20">
        <f>IF(AP295="1",BH295,0)</f>
        <v>0</v>
      </c>
      <c r="AC295" s="20">
        <f>IF(AP295="7",BG295,0)</f>
        <v>0</v>
      </c>
      <c r="AD295" s="20">
        <f>IF(AP295="7",BH295,0)</f>
        <v>0</v>
      </c>
      <c r="AE295" s="20">
        <f>IF(AP295="2",BG295,0)</f>
        <v>0</v>
      </c>
      <c r="AF295" s="20">
        <f>IF(AP295="2",BH295,0)</f>
        <v>0</v>
      </c>
      <c r="AG295" s="20">
        <f>IF(AP295="0",BI295,0)</f>
        <v>0</v>
      </c>
      <c r="AH295" s="15" t="s">
        <v>135</v>
      </c>
      <c r="AI295" s="12">
        <f>IF(AM295=0,K295,0)</f>
        <v>0</v>
      </c>
      <c r="AJ295" s="12">
        <f>IF(AM295=15,K295,0)</f>
        <v>0</v>
      </c>
      <c r="AK295" s="12">
        <f>IF(AM295=21,K295,0)</f>
        <v>0</v>
      </c>
      <c r="AM295" s="20">
        <v>15</v>
      </c>
      <c r="AN295" s="20">
        <f>H295*0.40978125</f>
        <v>0</v>
      </c>
      <c r="AO295" s="20">
        <f>H295*(1-0.40978125)</f>
        <v>0</v>
      </c>
      <c r="AP295" s="16" t="s">
        <v>262</v>
      </c>
      <c r="AU295" s="20">
        <f>AV295+AW295</f>
        <v>0</v>
      </c>
      <c r="AV295" s="20">
        <f>G295*AN295</f>
        <v>0</v>
      </c>
      <c r="AW295" s="20">
        <f>G295*AO295</f>
        <v>0</v>
      </c>
      <c r="AX295" s="21" t="s">
        <v>158</v>
      </c>
      <c r="AY295" s="21" t="s">
        <v>180</v>
      </c>
      <c r="AZ295" s="15" t="s">
        <v>190</v>
      </c>
      <c r="BB295" s="20">
        <f>AV295+AW295</f>
        <v>0</v>
      </c>
      <c r="BC295" s="20">
        <f>H295/(100-BD295)*100</f>
        <v>0</v>
      </c>
      <c r="BD295" s="20">
        <v>0</v>
      </c>
      <c r="BE295" s="20">
        <f>295</f>
        <v>295</v>
      </c>
      <c r="BG295" s="12">
        <f>G295*AN295</f>
        <v>0</v>
      </c>
      <c r="BH295" s="12">
        <f>G295*AO295</f>
        <v>0</v>
      </c>
      <c r="BI295" s="12">
        <f>G295*H295</f>
        <v>0</v>
      </c>
    </row>
    <row r="296" spans="3:5" ht="12.75">
      <c r="C296" s="147" t="s">
        <v>945</v>
      </c>
      <c r="D296" s="148"/>
      <c r="E296" s="148"/>
    </row>
    <row r="297" spans="1:11" ht="12.75">
      <c r="A297" s="59"/>
      <c r="B297" s="59"/>
      <c r="C297" s="149" t="s">
        <v>942</v>
      </c>
      <c r="D297" s="150"/>
      <c r="E297" s="150"/>
      <c r="F297" s="59"/>
      <c r="G297" s="60">
        <v>1</v>
      </c>
      <c r="H297" s="59"/>
      <c r="I297" s="59"/>
      <c r="J297" s="59"/>
      <c r="K297" s="59"/>
    </row>
    <row r="298" spans="1:61" ht="12.75">
      <c r="A298" s="67" t="s">
        <v>365</v>
      </c>
      <c r="B298" s="67" t="s">
        <v>584</v>
      </c>
      <c r="C298" s="155" t="s">
        <v>946</v>
      </c>
      <c r="D298" s="156"/>
      <c r="E298" s="156"/>
      <c r="F298" s="67" t="s">
        <v>104</v>
      </c>
      <c r="G298" s="68">
        <v>1</v>
      </c>
      <c r="H298" s="68">
        <v>0</v>
      </c>
      <c r="I298" s="68">
        <f>G298*AN298</f>
        <v>0</v>
      </c>
      <c r="J298" s="68">
        <f>G298*AO298</f>
        <v>0</v>
      </c>
      <c r="K298" s="68">
        <f>G298*H298</f>
        <v>0</v>
      </c>
      <c r="Y298" s="20">
        <f>IF(AP298="5",BI298,0)</f>
        <v>0</v>
      </c>
      <c r="AA298" s="20">
        <f>IF(AP298="1",BG298,0)</f>
        <v>0</v>
      </c>
      <c r="AB298" s="20">
        <f>IF(AP298="1",BH298,0)</f>
        <v>0</v>
      </c>
      <c r="AC298" s="20">
        <f>IF(AP298="7",BG298,0)</f>
        <v>0</v>
      </c>
      <c r="AD298" s="20">
        <f>IF(AP298="7",BH298,0)</f>
        <v>0</v>
      </c>
      <c r="AE298" s="20">
        <f>IF(AP298="2",BG298,0)</f>
        <v>0</v>
      </c>
      <c r="AF298" s="20">
        <f>IF(AP298="2",BH298,0)</f>
        <v>0</v>
      </c>
      <c r="AG298" s="20">
        <f>IF(AP298="0",BI298,0)</f>
        <v>0</v>
      </c>
      <c r="AH298" s="15" t="s">
        <v>135</v>
      </c>
      <c r="AI298" s="13">
        <f>IF(AM298=0,K298,0)</f>
        <v>0</v>
      </c>
      <c r="AJ298" s="13">
        <f>IF(AM298=15,K298,0)</f>
        <v>0</v>
      </c>
      <c r="AK298" s="13">
        <f>IF(AM298=21,K298,0)</f>
        <v>0</v>
      </c>
      <c r="AM298" s="20">
        <v>15</v>
      </c>
      <c r="AN298" s="20">
        <f>H298*1</f>
        <v>0</v>
      </c>
      <c r="AO298" s="20">
        <f>H298*(1-1)</f>
        <v>0</v>
      </c>
      <c r="AP298" s="17" t="s">
        <v>262</v>
      </c>
      <c r="AU298" s="20">
        <f>AV298+AW298</f>
        <v>0</v>
      </c>
      <c r="AV298" s="20">
        <f>G298*AN298</f>
        <v>0</v>
      </c>
      <c r="AW298" s="20">
        <f>G298*AO298</f>
        <v>0</v>
      </c>
      <c r="AX298" s="21" t="s">
        <v>158</v>
      </c>
      <c r="AY298" s="21" t="s">
        <v>180</v>
      </c>
      <c r="AZ298" s="15" t="s">
        <v>190</v>
      </c>
      <c r="BB298" s="20">
        <f>AV298+AW298</f>
        <v>0</v>
      </c>
      <c r="BC298" s="20">
        <f>H298/(100-BD298)*100</f>
        <v>0</v>
      </c>
      <c r="BD298" s="20">
        <v>0</v>
      </c>
      <c r="BE298" s="20">
        <f>298</f>
        <v>298</v>
      </c>
      <c r="BG298" s="13">
        <f>G298*AN298</f>
        <v>0</v>
      </c>
      <c r="BH298" s="13">
        <f>G298*AO298</f>
        <v>0</v>
      </c>
      <c r="BI298" s="13">
        <f>G298*H298</f>
        <v>0</v>
      </c>
    </row>
    <row r="299" spans="1:11" ht="12.75">
      <c r="A299" s="69"/>
      <c r="B299" s="69"/>
      <c r="C299" s="157" t="s">
        <v>940</v>
      </c>
      <c r="D299" s="150"/>
      <c r="E299" s="150"/>
      <c r="F299" s="69"/>
      <c r="G299" s="70">
        <v>1</v>
      </c>
      <c r="H299" s="69"/>
      <c r="I299" s="69"/>
      <c r="J299" s="69"/>
      <c r="K299" s="69"/>
    </row>
    <row r="300" spans="1:61" ht="12.75">
      <c r="A300" s="57" t="s">
        <v>366</v>
      </c>
      <c r="B300" s="57" t="s">
        <v>588</v>
      </c>
      <c r="C300" s="146" t="s">
        <v>947</v>
      </c>
      <c r="D300" s="145"/>
      <c r="E300" s="145"/>
      <c r="F300" s="57" t="s">
        <v>104</v>
      </c>
      <c r="G300" s="58">
        <v>2</v>
      </c>
      <c r="H300" s="58">
        <v>0</v>
      </c>
      <c r="I300" s="58">
        <f>G300*AN300</f>
        <v>0</v>
      </c>
      <c r="J300" s="58">
        <f>G300*AO300</f>
        <v>0</v>
      </c>
      <c r="K300" s="58">
        <f>G300*H300</f>
        <v>0</v>
      </c>
      <c r="Y300" s="20">
        <f>IF(AP300="5",BI300,0)</f>
        <v>0</v>
      </c>
      <c r="AA300" s="20">
        <f>IF(AP300="1",BG300,0)</f>
        <v>0</v>
      </c>
      <c r="AB300" s="20">
        <f>IF(AP300="1",BH300,0)</f>
        <v>0</v>
      </c>
      <c r="AC300" s="20">
        <f>IF(AP300="7",BG300,0)</f>
        <v>0</v>
      </c>
      <c r="AD300" s="20">
        <f>IF(AP300="7",BH300,0)</f>
        <v>0</v>
      </c>
      <c r="AE300" s="20">
        <f>IF(AP300="2",BG300,0)</f>
        <v>0</v>
      </c>
      <c r="AF300" s="20">
        <f>IF(AP300="2",BH300,0)</f>
        <v>0</v>
      </c>
      <c r="AG300" s="20">
        <f>IF(AP300="0",BI300,0)</f>
        <v>0</v>
      </c>
      <c r="AH300" s="15" t="s">
        <v>135</v>
      </c>
      <c r="AI300" s="12">
        <f>IF(AM300=0,K300,0)</f>
        <v>0</v>
      </c>
      <c r="AJ300" s="12">
        <f>IF(AM300=15,K300,0)</f>
        <v>0</v>
      </c>
      <c r="AK300" s="12">
        <f>IF(AM300=21,K300,0)</f>
        <v>0</v>
      </c>
      <c r="AM300" s="20">
        <v>15</v>
      </c>
      <c r="AN300" s="20">
        <f>H300*0.429990338164251</f>
        <v>0</v>
      </c>
      <c r="AO300" s="20">
        <f>H300*(1-0.429990338164251)</f>
        <v>0</v>
      </c>
      <c r="AP300" s="16" t="s">
        <v>262</v>
      </c>
      <c r="AU300" s="20">
        <f>AV300+AW300</f>
        <v>0</v>
      </c>
      <c r="AV300" s="20">
        <f>G300*AN300</f>
        <v>0</v>
      </c>
      <c r="AW300" s="20">
        <f>G300*AO300</f>
        <v>0</v>
      </c>
      <c r="AX300" s="21" t="s">
        <v>158</v>
      </c>
      <c r="AY300" s="21" t="s">
        <v>180</v>
      </c>
      <c r="AZ300" s="15" t="s">
        <v>190</v>
      </c>
      <c r="BB300" s="20">
        <f>AV300+AW300</f>
        <v>0</v>
      </c>
      <c r="BC300" s="20">
        <f>H300/(100-BD300)*100</f>
        <v>0</v>
      </c>
      <c r="BD300" s="20">
        <v>0</v>
      </c>
      <c r="BE300" s="20">
        <f>300</f>
        <v>300</v>
      </c>
      <c r="BG300" s="12">
        <f>G300*AN300</f>
        <v>0</v>
      </c>
      <c r="BH300" s="12">
        <f>G300*AO300</f>
        <v>0</v>
      </c>
      <c r="BI300" s="12">
        <f>G300*H300</f>
        <v>0</v>
      </c>
    </row>
    <row r="301" spans="3:5" ht="12.75">
      <c r="C301" s="147" t="s">
        <v>945</v>
      </c>
      <c r="D301" s="148"/>
      <c r="E301" s="148"/>
    </row>
    <row r="302" spans="1:11" ht="12.75">
      <c r="A302" s="59"/>
      <c r="B302" s="59"/>
      <c r="C302" s="149" t="s">
        <v>948</v>
      </c>
      <c r="D302" s="150"/>
      <c r="E302" s="150"/>
      <c r="F302" s="59"/>
      <c r="G302" s="60">
        <v>2</v>
      </c>
      <c r="H302" s="59"/>
      <c r="I302" s="59"/>
      <c r="J302" s="59"/>
      <c r="K302" s="59"/>
    </row>
    <row r="303" spans="1:61" ht="12.75">
      <c r="A303" s="67" t="s">
        <v>367</v>
      </c>
      <c r="B303" s="67" t="s">
        <v>589</v>
      </c>
      <c r="C303" s="155" t="s">
        <v>949</v>
      </c>
      <c r="D303" s="156"/>
      <c r="E303" s="156"/>
      <c r="F303" s="67" t="s">
        <v>104</v>
      </c>
      <c r="G303" s="68">
        <v>1</v>
      </c>
      <c r="H303" s="68">
        <v>0</v>
      </c>
      <c r="I303" s="68">
        <f>G303*AN303</f>
        <v>0</v>
      </c>
      <c r="J303" s="68">
        <f>G303*AO303</f>
        <v>0</v>
      </c>
      <c r="K303" s="68">
        <f>G303*H303</f>
        <v>0</v>
      </c>
      <c r="Y303" s="20">
        <f>IF(AP303="5",BI303,0)</f>
        <v>0</v>
      </c>
      <c r="AA303" s="20">
        <f>IF(AP303="1",BG303,0)</f>
        <v>0</v>
      </c>
      <c r="AB303" s="20">
        <f>IF(AP303="1",BH303,0)</f>
        <v>0</v>
      </c>
      <c r="AC303" s="20">
        <f>IF(AP303="7",BG303,0)</f>
        <v>0</v>
      </c>
      <c r="AD303" s="20">
        <f>IF(AP303="7",BH303,0)</f>
        <v>0</v>
      </c>
      <c r="AE303" s="20">
        <f>IF(AP303="2",BG303,0)</f>
        <v>0</v>
      </c>
      <c r="AF303" s="20">
        <f>IF(AP303="2",BH303,0)</f>
        <v>0</v>
      </c>
      <c r="AG303" s="20">
        <f>IF(AP303="0",BI303,0)</f>
        <v>0</v>
      </c>
      <c r="AH303" s="15" t="s">
        <v>135</v>
      </c>
      <c r="AI303" s="13">
        <f>IF(AM303=0,K303,0)</f>
        <v>0</v>
      </c>
      <c r="AJ303" s="13">
        <f>IF(AM303=15,K303,0)</f>
        <v>0</v>
      </c>
      <c r="AK303" s="13">
        <f>IF(AM303=21,K303,0)</f>
        <v>0</v>
      </c>
      <c r="AM303" s="20">
        <v>15</v>
      </c>
      <c r="AN303" s="20">
        <f>H303*1</f>
        <v>0</v>
      </c>
      <c r="AO303" s="20">
        <f>H303*(1-1)</f>
        <v>0</v>
      </c>
      <c r="AP303" s="17" t="s">
        <v>262</v>
      </c>
      <c r="AU303" s="20">
        <f>AV303+AW303</f>
        <v>0</v>
      </c>
      <c r="AV303" s="20">
        <f>G303*AN303</f>
        <v>0</v>
      </c>
      <c r="AW303" s="20">
        <f>G303*AO303</f>
        <v>0</v>
      </c>
      <c r="AX303" s="21" t="s">
        <v>158</v>
      </c>
      <c r="AY303" s="21" t="s">
        <v>180</v>
      </c>
      <c r="AZ303" s="15" t="s">
        <v>190</v>
      </c>
      <c r="BB303" s="20">
        <f>AV303+AW303</f>
        <v>0</v>
      </c>
      <c r="BC303" s="20">
        <f>H303/(100-BD303)*100</f>
        <v>0</v>
      </c>
      <c r="BD303" s="20">
        <v>0</v>
      </c>
      <c r="BE303" s="20">
        <f>303</f>
        <v>303</v>
      </c>
      <c r="BG303" s="13">
        <f>G303*AN303</f>
        <v>0</v>
      </c>
      <c r="BH303" s="13">
        <f>G303*AO303</f>
        <v>0</v>
      </c>
      <c r="BI303" s="13">
        <f>G303*H303</f>
        <v>0</v>
      </c>
    </row>
    <row r="304" spans="1:11" ht="12.75">
      <c r="A304" s="69"/>
      <c r="B304" s="69"/>
      <c r="C304" s="157" t="s">
        <v>816</v>
      </c>
      <c r="D304" s="150"/>
      <c r="E304" s="150"/>
      <c r="F304" s="69"/>
      <c r="G304" s="70">
        <v>1</v>
      </c>
      <c r="H304" s="69"/>
      <c r="I304" s="69"/>
      <c r="J304" s="69"/>
      <c r="K304" s="69"/>
    </row>
    <row r="305" spans="1:61" ht="12.75">
      <c r="A305" s="67" t="s">
        <v>368</v>
      </c>
      <c r="B305" s="67" t="s">
        <v>589</v>
      </c>
      <c r="C305" s="155" t="s">
        <v>950</v>
      </c>
      <c r="D305" s="156"/>
      <c r="E305" s="156"/>
      <c r="F305" s="67" t="s">
        <v>104</v>
      </c>
      <c r="G305" s="68">
        <v>1</v>
      </c>
      <c r="H305" s="68">
        <v>0</v>
      </c>
      <c r="I305" s="68">
        <f>G305*AN305</f>
        <v>0</v>
      </c>
      <c r="J305" s="68">
        <f>G305*AO305</f>
        <v>0</v>
      </c>
      <c r="K305" s="68">
        <f>G305*H305</f>
        <v>0</v>
      </c>
      <c r="Y305" s="20">
        <f>IF(AP305="5",BI305,0)</f>
        <v>0</v>
      </c>
      <c r="AA305" s="20">
        <f>IF(AP305="1",BG305,0)</f>
        <v>0</v>
      </c>
      <c r="AB305" s="20">
        <f>IF(AP305="1",BH305,0)</f>
        <v>0</v>
      </c>
      <c r="AC305" s="20">
        <f>IF(AP305="7",BG305,0)</f>
        <v>0</v>
      </c>
      <c r="AD305" s="20">
        <f>IF(AP305="7",BH305,0)</f>
        <v>0</v>
      </c>
      <c r="AE305" s="20">
        <f>IF(AP305="2",BG305,0)</f>
        <v>0</v>
      </c>
      <c r="AF305" s="20">
        <f>IF(AP305="2",BH305,0)</f>
        <v>0</v>
      </c>
      <c r="AG305" s="20">
        <f>IF(AP305="0",BI305,0)</f>
        <v>0</v>
      </c>
      <c r="AH305" s="15" t="s">
        <v>135</v>
      </c>
      <c r="AI305" s="13">
        <f>IF(AM305=0,K305,0)</f>
        <v>0</v>
      </c>
      <c r="AJ305" s="13">
        <f>IF(AM305=15,K305,0)</f>
        <v>0</v>
      </c>
      <c r="AK305" s="13">
        <f>IF(AM305=21,K305,0)</f>
        <v>0</v>
      </c>
      <c r="AM305" s="20">
        <v>15</v>
      </c>
      <c r="AN305" s="20">
        <f>H305*1</f>
        <v>0</v>
      </c>
      <c r="AO305" s="20">
        <f>H305*(1-1)</f>
        <v>0</v>
      </c>
      <c r="AP305" s="17" t="s">
        <v>262</v>
      </c>
      <c r="AU305" s="20">
        <f>AV305+AW305</f>
        <v>0</v>
      </c>
      <c r="AV305" s="20">
        <f>G305*AN305</f>
        <v>0</v>
      </c>
      <c r="AW305" s="20">
        <f>G305*AO305</f>
        <v>0</v>
      </c>
      <c r="AX305" s="21" t="s">
        <v>158</v>
      </c>
      <c r="AY305" s="21" t="s">
        <v>180</v>
      </c>
      <c r="AZ305" s="15" t="s">
        <v>190</v>
      </c>
      <c r="BB305" s="20">
        <f>AV305+AW305</f>
        <v>0</v>
      </c>
      <c r="BC305" s="20">
        <f>H305/(100-BD305)*100</f>
        <v>0</v>
      </c>
      <c r="BD305" s="20">
        <v>0</v>
      </c>
      <c r="BE305" s="20">
        <f>305</f>
        <v>305</v>
      </c>
      <c r="BG305" s="13">
        <f>G305*AN305</f>
        <v>0</v>
      </c>
      <c r="BH305" s="13">
        <f>G305*AO305</f>
        <v>0</v>
      </c>
      <c r="BI305" s="13">
        <f>G305*H305</f>
        <v>0</v>
      </c>
    </row>
    <row r="306" spans="1:11" ht="12.75">
      <c r="A306" s="69"/>
      <c r="B306" s="69"/>
      <c r="C306" s="157" t="s">
        <v>816</v>
      </c>
      <c r="D306" s="150"/>
      <c r="E306" s="150"/>
      <c r="F306" s="69"/>
      <c r="G306" s="70">
        <v>1</v>
      </c>
      <c r="H306" s="69"/>
      <c r="I306" s="69"/>
      <c r="J306" s="69"/>
      <c r="K306" s="69"/>
    </row>
    <row r="307" spans="1:61" ht="12.75">
      <c r="A307" s="57" t="s">
        <v>369</v>
      </c>
      <c r="B307" s="57" t="s">
        <v>590</v>
      </c>
      <c r="C307" s="146" t="s">
        <v>951</v>
      </c>
      <c r="D307" s="145"/>
      <c r="E307" s="145"/>
      <c r="F307" s="57" t="s">
        <v>104</v>
      </c>
      <c r="G307" s="58">
        <v>3</v>
      </c>
      <c r="H307" s="58">
        <v>0</v>
      </c>
      <c r="I307" s="58">
        <f>G307*AN307</f>
        <v>0</v>
      </c>
      <c r="J307" s="58">
        <f>G307*AO307</f>
        <v>0</v>
      </c>
      <c r="K307" s="58">
        <f>G307*H307</f>
        <v>0</v>
      </c>
      <c r="Y307" s="20">
        <f>IF(AP307="5",BI307,0)</f>
        <v>0</v>
      </c>
      <c r="AA307" s="20">
        <f>IF(AP307="1",BG307,0)</f>
        <v>0</v>
      </c>
      <c r="AB307" s="20">
        <f>IF(AP307="1",BH307,0)</f>
        <v>0</v>
      </c>
      <c r="AC307" s="20">
        <f>IF(AP307="7",BG307,0)</f>
        <v>0</v>
      </c>
      <c r="AD307" s="20">
        <f>IF(AP307="7",BH307,0)</f>
        <v>0</v>
      </c>
      <c r="AE307" s="20">
        <f>IF(AP307="2",BG307,0)</f>
        <v>0</v>
      </c>
      <c r="AF307" s="20">
        <f>IF(AP307="2",BH307,0)</f>
        <v>0</v>
      </c>
      <c r="AG307" s="20">
        <f>IF(AP307="0",BI307,0)</f>
        <v>0</v>
      </c>
      <c r="AH307" s="15" t="s">
        <v>135</v>
      </c>
      <c r="AI307" s="12">
        <f>IF(AM307=0,K307,0)</f>
        <v>0</v>
      </c>
      <c r="AJ307" s="12">
        <f>IF(AM307=15,K307,0)</f>
        <v>0</v>
      </c>
      <c r="AK307" s="12">
        <f>IF(AM307=21,K307,0)</f>
        <v>0</v>
      </c>
      <c r="AM307" s="20">
        <v>15</v>
      </c>
      <c r="AN307" s="20">
        <f>H307*0.551981566820276</f>
        <v>0</v>
      </c>
      <c r="AO307" s="20">
        <f>H307*(1-0.551981566820276)</f>
        <v>0</v>
      </c>
      <c r="AP307" s="16" t="s">
        <v>262</v>
      </c>
      <c r="AU307" s="20">
        <f>AV307+AW307</f>
        <v>0</v>
      </c>
      <c r="AV307" s="20">
        <f>G307*AN307</f>
        <v>0</v>
      </c>
      <c r="AW307" s="20">
        <f>G307*AO307</f>
        <v>0</v>
      </c>
      <c r="AX307" s="21" t="s">
        <v>158</v>
      </c>
      <c r="AY307" s="21" t="s">
        <v>180</v>
      </c>
      <c r="AZ307" s="15" t="s">
        <v>190</v>
      </c>
      <c r="BB307" s="20">
        <f>AV307+AW307</f>
        <v>0</v>
      </c>
      <c r="BC307" s="20">
        <f>H307/(100-BD307)*100</f>
        <v>0</v>
      </c>
      <c r="BD307" s="20">
        <v>0</v>
      </c>
      <c r="BE307" s="20">
        <f>307</f>
        <v>307</v>
      </c>
      <c r="BG307" s="12">
        <f>G307*AN307</f>
        <v>0</v>
      </c>
      <c r="BH307" s="12">
        <f>G307*AO307</f>
        <v>0</v>
      </c>
      <c r="BI307" s="12">
        <f>G307*H307</f>
        <v>0</v>
      </c>
    </row>
    <row r="308" spans="1:11" ht="12.75">
      <c r="A308" s="59"/>
      <c r="B308" s="59"/>
      <c r="C308" s="149" t="s">
        <v>952</v>
      </c>
      <c r="D308" s="150"/>
      <c r="E308" s="150"/>
      <c r="F308" s="59"/>
      <c r="G308" s="60">
        <v>3</v>
      </c>
      <c r="H308" s="59"/>
      <c r="I308" s="59"/>
      <c r="J308" s="59"/>
      <c r="K308" s="59"/>
    </row>
    <row r="309" spans="1:61" ht="12.75">
      <c r="A309" s="67" t="s">
        <v>370</v>
      </c>
      <c r="B309" s="67" t="s">
        <v>591</v>
      </c>
      <c r="C309" s="155" t="s">
        <v>953</v>
      </c>
      <c r="D309" s="156"/>
      <c r="E309" s="156"/>
      <c r="F309" s="67" t="s">
        <v>104</v>
      </c>
      <c r="G309" s="68">
        <v>2</v>
      </c>
      <c r="H309" s="68">
        <v>0</v>
      </c>
      <c r="I309" s="68">
        <f>G309*AN309</f>
        <v>0</v>
      </c>
      <c r="J309" s="68">
        <f>G309*AO309</f>
        <v>0</v>
      </c>
      <c r="K309" s="68">
        <f>G309*H309</f>
        <v>0</v>
      </c>
      <c r="Y309" s="20">
        <f>IF(AP309="5",BI309,0)</f>
        <v>0</v>
      </c>
      <c r="AA309" s="20">
        <f>IF(AP309="1",BG309,0)</f>
        <v>0</v>
      </c>
      <c r="AB309" s="20">
        <f>IF(AP309="1",BH309,0)</f>
        <v>0</v>
      </c>
      <c r="AC309" s="20">
        <f>IF(AP309="7",BG309,0)</f>
        <v>0</v>
      </c>
      <c r="AD309" s="20">
        <f>IF(AP309="7",BH309,0)</f>
        <v>0</v>
      </c>
      <c r="AE309" s="20">
        <f>IF(AP309="2",BG309,0)</f>
        <v>0</v>
      </c>
      <c r="AF309" s="20">
        <f>IF(AP309="2",BH309,0)</f>
        <v>0</v>
      </c>
      <c r="AG309" s="20">
        <f>IF(AP309="0",BI309,0)</f>
        <v>0</v>
      </c>
      <c r="AH309" s="15" t="s">
        <v>135</v>
      </c>
      <c r="AI309" s="13">
        <f>IF(AM309=0,K309,0)</f>
        <v>0</v>
      </c>
      <c r="AJ309" s="13">
        <f>IF(AM309=15,K309,0)</f>
        <v>0</v>
      </c>
      <c r="AK309" s="13">
        <f>IF(AM309=21,K309,0)</f>
        <v>0</v>
      </c>
      <c r="AM309" s="20">
        <v>15</v>
      </c>
      <c r="AN309" s="20">
        <f>H309*1</f>
        <v>0</v>
      </c>
      <c r="AO309" s="20">
        <f>H309*(1-1)</f>
        <v>0</v>
      </c>
      <c r="AP309" s="17" t="s">
        <v>262</v>
      </c>
      <c r="AU309" s="20">
        <f>AV309+AW309</f>
        <v>0</v>
      </c>
      <c r="AV309" s="20">
        <f>G309*AN309</f>
        <v>0</v>
      </c>
      <c r="AW309" s="20">
        <f>G309*AO309</f>
        <v>0</v>
      </c>
      <c r="AX309" s="21" t="s">
        <v>158</v>
      </c>
      <c r="AY309" s="21" t="s">
        <v>180</v>
      </c>
      <c r="AZ309" s="15" t="s">
        <v>190</v>
      </c>
      <c r="BB309" s="20">
        <f>AV309+AW309</f>
        <v>0</v>
      </c>
      <c r="BC309" s="20">
        <f>H309/(100-BD309)*100</f>
        <v>0</v>
      </c>
      <c r="BD309" s="20">
        <v>0</v>
      </c>
      <c r="BE309" s="20">
        <f>309</f>
        <v>309</v>
      </c>
      <c r="BG309" s="13">
        <f>G309*AN309</f>
        <v>0</v>
      </c>
      <c r="BH309" s="13">
        <f>G309*AO309</f>
        <v>0</v>
      </c>
      <c r="BI309" s="13">
        <f>G309*H309</f>
        <v>0</v>
      </c>
    </row>
    <row r="310" spans="1:11" ht="12.75">
      <c r="A310" s="69"/>
      <c r="B310" s="69"/>
      <c r="C310" s="157" t="s">
        <v>954</v>
      </c>
      <c r="D310" s="150"/>
      <c r="E310" s="150"/>
      <c r="F310" s="69"/>
      <c r="G310" s="70">
        <v>2</v>
      </c>
      <c r="H310" s="69"/>
      <c r="I310" s="69"/>
      <c r="J310" s="69"/>
      <c r="K310" s="69"/>
    </row>
    <row r="311" spans="1:61" ht="12.75">
      <c r="A311" s="67" t="s">
        <v>371</v>
      </c>
      <c r="B311" s="67" t="s">
        <v>589</v>
      </c>
      <c r="C311" s="155" t="s">
        <v>955</v>
      </c>
      <c r="D311" s="156"/>
      <c r="E311" s="156"/>
      <c r="F311" s="67" t="s">
        <v>104</v>
      </c>
      <c r="G311" s="68">
        <v>2</v>
      </c>
      <c r="H311" s="68">
        <v>0</v>
      </c>
      <c r="I311" s="68">
        <f>G311*AN311</f>
        <v>0</v>
      </c>
      <c r="J311" s="68">
        <f>G311*AO311</f>
        <v>0</v>
      </c>
      <c r="K311" s="68">
        <f>G311*H311</f>
        <v>0</v>
      </c>
      <c r="Y311" s="20">
        <f>IF(AP311="5",BI311,0)</f>
        <v>0</v>
      </c>
      <c r="AA311" s="20">
        <f>IF(AP311="1",BG311,0)</f>
        <v>0</v>
      </c>
      <c r="AB311" s="20">
        <f>IF(AP311="1",BH311,0)</f>
        <v>0</v>
      </c>
      <c r="AC311" s="20">
        <f>IF(AP311="7",BG311,0)</f>
        <v>0</v>
      </c>
      <c r="AD311" s="20">
        <f>IF(AP311="7",BH311,0)</f>
        <v>0</v>
      </c>
      <c r="AE311" s="20">
        <f>IF(AP311="2",BG311,0)</f>
        <v>0</v>
      </c>
      <c r="AF311" s="20">
        <f>IF(AP311="2",BH311,0)</f>
        <v>0</v>
      </c>
      <c r="AG311" s="20">
        <f>IF(AP311="0",BI311,0)</f>
        <v>0</v>
      </c>
      <c r="AH311" s="15" t="s">
        <v>135</v>
      </c>
      <c r="AI311" s="13">
        <f>IF(AM311=0,K311,0)</f>
        <v>0</v>
      </c>
      <c r="AJ311" s="13">
        <f>IF(AM311=15,K311,0)</f>
        <v>0</v>
      </c>
      <c r="AK311" s="13">
        <f>IF(AM311=21,K311,0)</f>
        <v>0</v>
      </c>
      <c r="AM311" s="20">
        <v>15</v>
      </c>
      <c r="AN311" s="20">
        <f>H311*1</f>
        <v>0</v>
      </c>
      <c r="AO311" s="20">
        <f>H311*(1-1)</f>
        <v>0</v>
      </c>
      <c r="AP311" s="17" t="s">
        <v>262</v>
      </c>
      <c r="AU311" s="20">
        <f>AV311+AW311</f>
        <v>0</v>
      </c>
      <c r="AV311" s="20">
        <f>G311*AN311</f>
        <v>0</v>
      </c>
      <c r="AW311" s="20">
        <f>G311*AO311</f>
        <v>0</v>
      </c>
      <c r="AX311" s="21" t="s">
        <v>158</v>
      </c>
      <c r="AY311" s="21" t="s">
        <v>180</v>
      </c>
      <c r="AZ311" s="15" t="s">
        <v>190</v>
      </c>
      <c r="BB311" s="20">
        <f>AV311+AW311</f>
        <v>0</v>
      </c>
      <c r="BC311" s="20">
        <f>H311/(100-BD311)*100</f>
        <v>0</v>
      </c>
      <c r="BD311" s="20">
        <v>0</v>
      </c>
      <c r="BE311" s="20">
        <f>311</f>
        <v>311</v>
      </c>
      <c r="BG311" s="13">
        <f>G311*AN311</f>
        <v>0</v>
      </c>
      <c r="BH311" s="13">
        <f>G311*AO311</f>
        <v>0</v>
      </c>
      <c r="BI311" s="13">
        <f>G311*H311</f>
        <v>0</v>
      </c>
    </row>
    <row r="312" spans="1:11" ht="12.75">
      <c r="A312" s="69"/>
      <c r="B312" s="69"/>
      <c r="C312" s="157" t="s">
        <v>954</v>
      </c>
      <c r="D312" s="150"/>
      <c r="E312" s="150"/>
      <c r="F312" s="69"/>
      <c r="G312" s="70">
        <v>2</v>
      </c>
      <c r="H312" s="69"/>
      <c r="I312" s="69"/>
      <c r="J312" s="69"/>
      <c r="K312" s="69"/>
    </row>
    <row r="313" spans="1:61" ht="12.75">
      <c r="A313" s="57" t="s">
        <v>372</v>
      </c>
      <c r="B313" s="57" t="s">
        <v>592</v>
      </c>
      <c r="C313" s="146" t="s">
        <v>956</v>
      </c>
      <c r="D313" s="145"/>
      <c r="E313" s="145"/>
      <c r="F313" s="57" t="s">
        <v>104</v>
      </c>
      <c r="G313" s="58">
        <v>1</v>
      </c>
      <c r="H313" s="58">
        <v>0</v>
      </c>
      <c r="I313" s="58">
        <f>G313*AN313</f>
        <v>0</v>
      </c>
      <c r="J313" s="58">
        <f>G313*AO313</f>
        <v>0</v>
      </c>
      <c r="K313" s="58">
        <f>G313*H313</f>
        <v>0</v>
      </c>
      <c r="Y313" s="20">
        <f>IF(AP313="5",BI313,0)</f>
        <v>0</v>
      </c>
      <c r="AA313" s="20">
        <f>IF(AP313="1",BG313,0)</f>
        <v>0</v>
      </c>
      <c r="AB313" s="20">
        <f>IF(AP313="1",BH313,0)</f>
        <v>0</v>
      </c>
      <c r="AC313" s="20">
        <f>IF(AP313="7",BG313,0)</f>
        <v>0</v>
      </c>
      <c r="AD313" s="20">
        <f>IF(AP313="7",BH313,0)</f>
        <v>0</v>
      </c>
      <c r="AE313" s="20">
        <f>IF(AP313="2",BG313,0)</f>
        <v>0</v>
      </c>
      <c r="AF313" s="20">
        <f>IF(AP313="2",BH313,0)</f>
        <v>0</v>
      </c>
      <c r="AG313" s="20">
        <f>IF(AP313="0",BI313,0)</f>
        <v>0</v>
      </c>
      <c r="AH313" s="15" t="s">
        <v>135</v>
      </c>
      <c r="AI313" s="12">
        <f>IF(AM313=0,K313,0)</f>
        <v>0</v>
      </c>
      <c r="AJ313" s="12">
        <f>IF(AM313=15,K313,0)</f>
        <v>0</v>
      </c>
      <c r="AK313" s="12">
        <f>IF(AM313=21,K313,0)</f>
        <v>0</v>
      </c>
      <c r="AM313" s="20">
        <v>15</v>
      </c>
      <c r="AN313" s="20">
        <f>H313*0.385324675324675</f>
        <v>0</v>
      </c>
      <c r="AO313" s="20">
        <f>H313*(1-0.385324675324675)</f>
        <v>0</v>
      </c>
      <c r="AP313" s="16" t="s">
        <v>262</v>
      </c>
      <c r="AU313" s="20">
        <f>AV313+AW313</f>
        <v>0</v>
      </c>
      <c r="AV313" s="20">
        <f>G313*AN313</f>
        <v>0</v>
      </c>
      <c r="AW313" s="20">
        <f>G313*AO313</f>
        <v>0</v>
      </c>
      <c r="AX313" s="21" t="s">
        <v>158</v>
      </c>
      <c r="AY313" s="21" t="s">
        <v>180</v>
      </c>
      <c r="AZ313" s="15" t="s">
        <v>190</v>
      </c>
      <c r="BB313" s="20">
        <f>AV313+AW313</f>
        <v>0</v>
      </c>
      <c r="BC313" s="20">
        <f>H313/(100-BD313)*100</f>
        <v>0</v>
      </c>
      <c r="BD313" s="20">
        <v>0</v>
      </c>
      <c r="BE313" s="20">
        <f>313</f>
        <v>313</v>
      </c>
      <c r="BG313" s="12">
        <f>G313*AN313</f>
        <v>0</v>
      </c>
      <c r="BH313" s="12">
        <f>G313*AO313</f>
        <v>0</v>
      </c>
      <c r="BI313" s="12">
        <f>G313*H313</f>
        <v>0</v>
      </c>
    </row>
    <row r="314" spans="1:11" ht="12.75">
      <c r="A314" s="59"/>
      <c r="B314" s="59"/>
      <c r="C314" s="149" t="s">
        <v>816</v>
      </c>
      <c r="D314" s="150"/>
      <c r="E314" s="150"/>
      <c r="F314" s="59"/>
      <c r="G314" s="60">
        <v>1</v>
      </c>
      <c r="H314" s="59"/>
      <c r="I314" s="59"/>
      <c r="J314" s="59"/>
      <c r="K314" s="59"/>
    </row>
    <row r="315" spans="1:61" ht="12.75">
      <c r="A315" s="67" t="s">
        <v>373</v>
      </c>
      <c r="B315" s="67" t="s">
        <v>593</v>
      </c>
      <c r="C315" s="155" t="s">
        <v>957</v>
      </c>
      <c r="D315" s="156"/>
      <c r="E315" s="156"/>
      <c r="F315" s="67" t="s">
        <v>104</v>
      </c>
      <c r="G315" s="68">
        <v>1</v>
      </c>
      <c r="H315" s="68">
        <v>0</v>
      </c>
      <c r="I315" s="68">
        <f>G315*AN315</f>
        <v>0</v>
      </c>
      <c r="J315" s="68">
        <f>G315*AO315</f>
        <v>0</v>
      </c>
      <c r="K315" s="68">
        <f>G315*H315</f>
        <v>0</v>
      </c>
      <c r="Y315" s="20">
        <f>IF(AP315="5",BI315,0)</f>
        <v>0</v>
      </c>
      <c r="AA315" s="20">
        <f>IF(AP315="1",BG315,0)</f>
        <v>0</v>
      </c>
      <c r="AB315" s="20">
        <f>IF(AP315="1",BH315,0)</f>
        <v>0</v>
      </c>
      <c r="AC315" s="20">
        <f>IF(AP315="7",BG315,0)</f>
        <v>0</v>
      </c>
      <c r="AD315" s="20">
        <f>IF(AP315="7",BH315,0)</f>
        <v>0</v>
      </c>
      <c r="AE315" s="20">
        <f>IF(AP315="2",BG315,0)</f>
        <v>0</v>
      </c>
      <c r="AF315" s="20">
        <f>IF(AP315="2",BH315,0)</f>
        <v>0</v>
      </c>
      <c r="AG315" s="20">
        <f>IF(AP315="0",BI315,0)</f>
        <v>0</v>
      </c>
      <c r="AH315" s="15" t="s">
        <v>135</v>
      </c>
      <c r="AI315" s="13">
        <f>IF(AM315=0,K315,0)</f>
        <v>0</v>
      </c>
      <c r="AJ315" s="13">
        <f>IF(AM315=15,K315,0)</f>
        <v>0</v>
      </c>
      <c r="AK315" s="13">
        <f>IF(AM315=21,K315,0)</f>
        <v>0</v>
      </c>
      <c r="AM315" s="20">
        <v>15</v>
      </c>
      <c r="AN315" s="20">
        <f>H315*1</f>
        <v>0</v>
      </c>
      <c r="AO315" s="20">
        <f>H315*(1-1)</f>
        <v>0</v>
      </c>
      <c r="AP315" s="17" t="s">
        <v>262</v>
      </c>
      <c r="AU315" s="20">
        <f>AV315+AW315</f>
        <v>0</v>
      </c>
      <c r="AV315" s="20">
        <f>G315*AN315</f>
        <v>0</v>
      </c>
      <c r="AW315" s="20">
        <f>G315*AO315</f>
        <v>0</v>
      </c>
      <c r="AX315" s="21" t="s">
        <v>158</v>
      </c>
      <c r="AY315" s="21" t="s">
        <v>180</v>
      </c>
      <c r="AZ315" s="15" t="s">
        <v>190</v>
      </c>
      <c r="BB315" s="20">
        <f>AV315+AW315</f>
        <v>0</v>
      </c>
      <c r="BC315" s="20">
        <f>H315/(100-BD315)*100</f>
        <v>0</v>
      </c>
      <c r="BD315" s="20">
        <v>0</v>
      </c>
      <c r="BE315" s="20">
        <f>315</f>
        <v>315</v>
      </c>
      <c r="BG315" s="13">
        <f>G315*AN315</f>
        <v>0</v>
      </c>
      <c r="BH315" s="13">
        <f>G315*AO315</f>
        <v>0</v>
      </c>
      <c r="BI315" s="13">
        <f>G315*H315</f>
        <v>0</v>
      </c>
    </row>
    <row r="316" spans="1:11" ht="12.75">
      <c r="A316" s="69"/>
      <c r="B316" s="69"/>
      <c r="C316" s="157" t="s">
        <v>816</v>
      </c>
      <c r="D316" s="150"/>
      <c r="E316" s="150"/>
      <c r="F316" s="69"/>
      <c r="G316" s="70">
        <v>1</v>
      </c>
      <c r="H316" s="69"/>
      <c r="I316" s="69"/>
      <c r="J316" s="69"/>
      <c r="K316" s="69"/>
    </row>
    <row r="317" spans="1:61" ht="12.75">
      <c r="A317" s="57" t="s">
        <v>374</v>
      </c>
      <c r="B317" s="57" t="s">
        <v>594</v>
      </c>
      <c r="C317" s="146" t="s">
        <v>958</v>
      </c>
      <c r="D317" s="145"/>
      <c r="E317" s="145"/>
      <c r="F317" s="57" t="s">
        <v>104</v>
      </c>
      <c r="G317" s="58">
        <v>1</v>
      </c>
      <c r="H317" s="58">
        <v>0</v>
      </c>
      <c r="I317" s="58">
        <f>G317*AN317</f>
        <v>0</v>
      </c>
      <c r="J317" s="58">
        <f>G317*AO317</f>
        <v>0</v>
      </c>
      <c r="K317" s="58">
        <f>G317*H317</f>
        <v>0</v>
      </c>
      <c r="Y317" s="20">
        <f>IF(AP317="5",BI317,0)</f>
        <v>0</v>
      </c>
      <c r="AA317" s="20">
        <f>IF(AP317="1",BG317,0)</f>
        <v>0</v>
      </c>
      <c r="AB317" s="20">
        <f>IF(AP317="1",BH317,0)</f>
        <v>0</v>
      </c>
      <c r="AC317" s="20">
        <f>IF(AP317="7",BG317,0)</f>
        <v>0</v>
      </c>
      <c r="AD317" s="20">
        <f>IF(AP317="7",BH317,0)</f>
        <v>0</v>
      </c>
      <c r="AE317" s="20">
        <f>IF(AP317="2",BG317,0)</f>
        <v>0</v>
      </c>
      <c r="AF317" s="20">
        <f>IF(AP317="2",BH317,0)</f>
        <v>0</v>
      </c>
      <c r="AG317" s="20">
        <f>IF(AP317="0",BI317,0)</f>
        <v>0</v>
      </c>
      <c r="AH317" s="15" t="s">
        <v>135</v>
      </c>
      <c r="AI317" s="12">
        <f>IF(AM317=0,K317,0)</f>
        <v>0</v>
      </c>
      <c r="AJ317" s="12">
        <f>IF(AM317=15,K317,0)</f>
        <v>0</v>
      </c>
      <c r="AK317" s="12">
        <f>IF(AM317=21,K317,0)</f>
        <v>0</v>
      </c>
      <c r="AM317" s="20">
        <v>15</v>
      </c>
      <c r="AN317" s="20">
        <f>H317*0.718085106382979</f>
        <v>0</v>
      </c>
      <c r="AO317" s="20">
        <f>H317*(1-0.718085106382979)</f>
        <v>0</v>
      </c>
      <c r="AP317" s="16" t="s">
        <v>262</v>
      </c>
      <c r="AU317" s="20">
        <f>AV317+AW317</f>
        <v>0</v>
      </c>
      <c r="AV317" s="20">
        <f>G317*AN317</f>
        <v>0</v>
      </c>
      <c r="AW317" s="20">
        <f>G317*AO317</f>
        <v>0</v>
      </c>
      <c r="AX317" s="21" t="s">
        <v>158</v>
      </c>
      <c r="AY317" s="21" t="s">
        <v>180</v>
      </c>
      <c r="AZ317" s="15" t="s">
        <v>190</v>
      </c>
      <c r="BB317" s="20">
        <f>AV317+AW317</f>
        <v>0</v>
      </c>
      <c r="BC317" s="20">
        <f>H317/(100-BD317)*100</f>
        <v>0</v>
      </c>
      <c r="BD317" s="20">
        <v>0</v>
      </c>
      <c r="BE317" s="20">
        <f>317</f>
        <v>317</v>
      </c>
      <c r="BG317" s="12">
        <f>G317*AN317</f>
        <v>0</v>
      </c>
      <c r="BH317" s="12">
        <f>G317*AO317</f>
        <v>0</v>
      </c>
      <c r="BI317" s="12">
        <f>G317*H317</f>
        <v>0</v>
      </c>
    </row>
    <row r="318" spans="3:5" ht="12.75">
      <c r="C318" s="147" t="s">
        <v>959</v>
      </c>
      <c r="D318" s="148"/>
      <c r="E318" s="148"/>
    </row>
    <row r="319" spans="1:11" ht="12.75">
      <c r="A319" s="59"/>
      <c r="B319" s="59"/>
      <c r="C319" s="149" t="s">
        <v>816</v>
      </c>
      <c r="D319" s="150"/>
      <c r="E319" s="150"/>
      <c r="F319" s="59"/>
      <c r="G319" s="60">
        <v>1</v>
      </c>
      <c r="H319" s="59"/>
      <c r="I319" s="59"/>
      <c r="J319" s="59"/>
      <c r="K319" s="59"/>
    </row>
    <row r="320" spans="1:61" ht="12.75">
      <c r="A320" s="67" t="s">
        <v>375</v>
      </c>
      <c r="B320" s="67" t="s">
        <v>595</v>
      </c>
      <c r="C320" s="155" t="s">
        <v>960</v>
      </c>
      <c r="D320" s="156"/>
      <c r="E320" s="156"/>
      <c r="F320" s="67" t="s">
        <v>104</v>
      </c>
      <c r="G320" s="68">
        <v>1</v>
      </c>
      <c r="H320" s="68">
        <v>0</v>
      </c>
      <c r="I320" s="68">
        <f>G320*AN320</f>
        <v>0</v>
      </c>
      <c r="J320" s="68">
        <f>G320*AO320</f>
        <v>0</v>
      </c>
      <c r="K320" s="68">
        <f>G320*H320</f>
        <v>0</v>
      </c>
      <c r="Y320" s="20">
        <f>IF(AP320="5",BI320,0)</f>
        <v>0</v>
      </c>
      <c r="AA320" s="20">
        <f>IF(AP320="1",BG320,0)</f>
        <v>0</v>
      </c>
      <c r="AB320" s="20">
        <f>IF(AP320="1",BH320,0)</f>
        <v>0</v>
      </c>
      <c r="AC320" s="20">
        <f>IF(AP320="7",BG320,0)</f>
        <v>0</v>
      </c>
      <c r="AD320" s="20">
        <f>IF(AP320="7",BH320,0)</f>
        <v>0</v>
      </c>
      <c r="AE320" s="20">
        <f>IF(AP320="2",BG320,0)</f>
        <v>0</v>
      </c>
      <c r="AF320" s="20">
        <f>IF(AP320="2",BH320,0)</f>
        <v>0</v>
      </c>
      <c r="AG320" s="20">
        <f>IF(AP320="0",BI320,0)</f>
        <v>0</v>
      </c>
      <c r="AH320" s="15" t="s">
        <v>135</v>
      </c>
      <c r="AI320" s="13">
        <f>IF(AM320=0,K320,0)</f>
        <v>0</v>
      </c>
      <c r="AJ320" s="13">
        <f>IF(AM320=15,K320,0)</f>
        <v>0</v>
      </c>
      <c r="AK320" s="13">
        <f>IF(AM320=21,K320,0)</f>
        <v>0</v>
      </c>
      <c r="AM320" s="20">
        <v>15</v>
      </c>
      <c r="AN320" s="20">
        <f>H320*1</f>
        <v>0</v>
      </c>
      <c r="AO320" s="20">
        <f>H320*(1-1)</f>
        <v>0</v>
      </c>
      <c r="AP320" s="17" t="s">
        <v>262</v>
      </c>
      <c r="AU320" s="20">
        <f>AV320+AW320</f>
        <v>0</v>
      </c>
      <c r="AV320" s="20">
        <f>G320*AN320</f>
        <v>0</v>
      </c>
      <c r="AW320" s="20">
        <f>G320*AO320</f>
        <v>0</v>
      </c>
      <c r="AX320" s="21" t="s">
        <v>158</v>
      </c>
      <c r="AY320" s="21" t="s">
        <v>180</v>
      </c>
      <c r="AZ320" s="15" t="s">
        <v>190</v>
      </c>
      <c r="BB320" s="20">
        <f>AV320+AW320</f>
        <v>0</v>
      </c>
      <c r="BC320" s="20">
        <f>H320/(100-BD320)*100</f>
        <v>0</v>
      </c>
      <c r="BD320" s="20">
        <v>0</v>
      </c>
      <c r="BE320" s="20">
        <f>320</f>
        <v>320</v>
      </c>
      <c r="BG320" s="13">
        <f>G320*AN320</f>
        <v>0</v>
      </c>
      <c r="BH320" s="13">
        <f>G320*AO320</f>
        <v>0</v>
      </c>
      <c r="BI320" s="13">
        <f>G320*H320</f>
        <v>0</v>
      </c>
    </row>
    <row r="321" spans="1:11" ht="12.75">
      <c r="A321" s="69"/>
      <c r="B321" s="69"/>
      <c r="C321" s="157" t="s">
        <v>816</v>
      </c>
      <c r="D321" s="150"/>
      <c r="E321" s="150"/>
      <c r="F321" s="69"/>
      <c r="G321" s="70">
        <v>1</v>
      </c>
      <c r="H321" s="69"/>
      <c r="I321" s="69"/>
      <c r="J321" s="69"/>
      <c r="K321" s="69"/>
    </row>
    <row r="322" spans="1:61" ht="12.75">
      <c r="A322" s="57" t="s">
        <v>376</v>
      </c>
      <c r="B322" s="57" t="s">
        <v>596</v>
      </c>
      <c r="C322" s="146" t="s">
        <v>961</v>
      </c>
      <c r="D322" s="145"/>
      <c r="E322" s="145"/>
      <c r="F322" s="57" t="s">
        <v>104</v>
      </c>
      <c r="G322" s="58">
        <v>1</v>
      </c>
      <c r="H322" s="58">
        <v>0</v>
      </c>
      <c r="I322" s="58">
        <f>G322*AN322</f>
        <v>0</v>
      </c>
      <c r="J322" s="58">
        <f>G322*AO322</f>
        <v>0</v>
      </c>
      <c r="K322" s="58">
        <f>G322*H322</f>
        <v>0</v>
      </c>
      <c r="Y322" s="20">
        <f>IF(AP322="5",BI322,0)</f>
        <v>0</v>
      </c>
      <c r="AA322" s="20">
        <f>IF(AP322="1",BG322,0)</f>
        <v>0</v>
      </c>
      <c r="AB322" s="20">
        <f>IF(AP322="1",BH322,0)</f>
        <v>0</v>
      </c>
      <c r="AC322" s="20">
        <f>IF(AP322="7",BG322,0)</f>
        <v>0</v>
      </c>
      <c r="AD322" s="20">
        <f>IF(AP322="7",BH322,0)</f>
        <v>0</v>
      </c>
      <c r="AE322" s="20">
        <f>IF(AP322="2",BG322,0)</f>
        <v>0</v>
      </c>
      <c r="AF322" s="20">
        <f>IF(AP322="2",BH322,0)</f>
        <v>0</v>
      </c>
      <c r="AG322" s="20">
        <f>IF(AP322="0",BI322,0)</f>
        <v>0</v>
      </c>
      <c r="AH322" s="15" t="s">
        <v>135</v>
      </c>
      <c r="AI322" s="12">
        <f>IF(AM322=0,K322,0)</f>
        <v>0</v>
      </c>
      <c r="AJ322" s="12">
        <f>IF(AM322=15,K322,0)</f>
        <v>0</v>
      </c>
      <c r="AK322" s="12">
        <f>IF(AM322=21,K322,0)</f>
        <v>0</v>
      </c>
      <c r="AM322" s="20">
        <v>15</v>
      </c>
      <c r="AN322" s="20">
        <f>H322*0</f>
        <v>0</v>
      </c>
      <c r="AO322" s="20">
        <f>H322*(1-0)</f>
        <v>0</v>
      </c>
      <c r="AP322" s="16" t="s">
        <v>262</v>
      </c>
      <c r="AU322" s="20">
        <f>AV322+AW322</f>
        <v>0</v>
      </c>
      <c r="AV322" s="20">
        <f>G322*AN322</f>
        <v>0</v>
      </c>
      <c r="AW322" s="20">
        <f>G322*AO322</f>
        <v>0</v>
      </c>
      <c r="AX322" s="21" t="s">
        <v>158</v>
      </c>
      <c r="AY322" s="21" t="s">
        <v>180</v>
      </c>
      <c r="AZ322" s="15" t="s">
        <v>190</v>
      </c>
      <c r="BB322" s="20">
        <f>AV322+AW322</f>
        <v>0</v>
      </c>
      <c r="BC322" s="20">
        <f>H322/(100-BD322)*100</f>
        <v>0</v>
      </c>
      <c r="BD322" s="20">
        <v>0</v>
      </c>
      <c r="BE322" s="20">
        <f>322</f>
        <v>322</v>
      </c>
      <c r="BG322" s="12">
        <f>G322*AN322</f>
        <v>0</v>
      </c>
      <c r="BH322" s="12">
        <f>G322*AO322</f>
        <v>0</v>
      </c>
      <c r="BI322" s="12">
        <f>G322*H322</f>
        <v>0</v>
      </c>
    </row>
    <row r="323" spans="3:5" ht="12.75">
      <c r="C323" s="147" t="s">
        <v>962</v>
      </c>
      <c r="D323" s="148"/>
      <c r="E323" s="148"/>
    </row>
    <row r="324" spans="1:11" ht="12.75">
      <c r="A324" s="59"/>
      <c r="B324" s="59"/>
      <c r="C324" s="149" t="s">
        <v>816</v>
      </c>
      <c r="D324" s="150"/>
      <c r="E324" s="150"/>
      <c r="F324" s="59"/>
      <c r="G324" s="60">
        <v>1</v>
      </c>
      <c r="H324" s="59"/>
      <c r="I324" s="59"/>
      <c r="J324" s="59"/>
      <c r="K324" s="59"/>
    </row>
    <row r="325" spans="1:61" ht="12.75">
      <c r="A325" s="67" t="s">
        <v>377</v>
      </c>
      <c r="B325" s="67" t="s">
        <v>597</v>
      </c>
      <c r="C325" s="155" t="s">
        <v>963</v>
      </c>
      <c r="D325" s="156"/>
      <c r="E325" s="156"/>
      <c r="F325" s="67" t="s">
        <v>104</v>
      </c>
      <c r="G325" s="68">
        <v>1</v>
      </c>
      <c r="H325" s="68">
        <v>0</v>
      </c>
      <c r="I325" s="68">
        <f>G325*AN325</f>
        <v>0</v>
      </c>
      <c r="J325" s="68">
        <f>G325*AO325</f>
        <v>0</v>
      </c>
      <c r="K325" s="68">
        <f>G325*H325</f>
        <v>0</v>
      </c>
      <c r="Y325" s="20">
        <f>IF(AP325="5",BI325,0)</f>
        <v>0</v>
      </c>
      <c r="AA325" s="20">
        <f>IF(AP325="1",BG325,0)</f>
        <v>0</v>
      </c>
      <c r="AB325" s="20">
        <f>IF(AP325="1",BH325,0)</f>
        <v>0</v>
      </c>
      <c r="AC325" s="20">
        <f>IF(AP325="7",BG325,0)</f>
        <v>0</v>
      </c>
      <c r="AD325" s="20">
        <f>IF(AP325="7",BH325,0)</f>
        <v>0</v>
      </c>
      <c r="AE325" s="20">
        <f>IF(AP325="2",BG325,0)</f>
        <v>0</v>
      </c>
      <c r="AF325" s="20">
        <f>IF(AP325="2",BH325,0)</f>
        <v>0</v>
      </c>
      <c r="AG325" s="20">
        <f>IF(AP325="0",BI325,0)</f>
        <v>0</v>
      </c>
      <c r="AH325" s="15" t="s">
        <v>135</v>
      </c>
      <c r="AI325" s="13">
        <f>IF(AM325=0,K325,0)</f>
        <v>0</v>
      </c>
      <c r="AJ325" s="13">
        <f>IF(AM325=15,K325,0)</f>
        <v>0</v>
      </c>
      <c r="AK325" s="13">
        <f>IF(AM325=21,K325,0)</f>
        <v>0</v>
      </c>
      <c r="AM325" s="20">
        <v>15</v>
      </c>
      <c r="AN325" s="20">
        <f>H325*1</f>
        <v>0</v>
      </c>
      <c r="AO325" s="20">
        <f>H325*(1-1)</f>
        <v>0</v>
      </c>
      <c r="AP325" s="17" t="s">
        <v>262</v>
      </c>
      <c r="AU325" s="20">
        <f>AV325+AW325</f>
        <v>0</v>
      </c>
      <c r="AV325" s="20">
        <f>G325*AN325</f>
        <v>0</v>
      </c>
      <c r="AW325" s="20">
        <f>G325*AO325</f>
        <v>0</v>
      </c>
      <c r="AX325" s="21" t="s">
        <v>158</v>
      </c>
      <c r="AY325" s="21" t="s">
        <v>180</v>
      </c>
      <c r="AZ325" s="15" t="s">
        <v>190</v>
      </c>
      <c r="BB325" s="20">
        <f>AV325+AW325</f>
        <v>0</v>
      </c>
      <c r="BC325" s="20">
        <f>H325/(100-BD325)*100</f>
        <v>0</v>
      </c>
      <c r="BD325" s="20">
        <v>0</v>
      </c>
      <c r="BE325" s="20">
        <f>325</f>
        <v>325</v>
      </c>
      <c r="BG325" s="13">
        <f>G325*AN325</f>
        <v>0</v>
      </c>
      <c r="BH325" s="13">
        <f>G325*AO325</f>
        <v>0</v>
      </c>
      <c r="BI325" s="13">
        <f>G325*H325</f>
        <v>0</v>
      </c>
    </row>
    <row r="326" spans="1:11" ht="12.75">
      <c r="A326" s="69"/>
      <c r="B326" s="69"/>
      <c r="C326" s="157" t="s">
        <v>816</v>
      </c>
      <c r="D326" s="150"/>
      <c r="E326" s="150"/>
      <c r="F326" s="69"/>
      <c r="G326" s="70">
        <v>1</v>
      </c>
      <c r="H326" s="69"/>
      <c r="I326" s="69"/>
      <c r="J326" s="69"/>
      <c r="K326" s="69"/>
    </row>
    <row r="327" spans="1:61" ht="12.75">
      <c r="A327" s="57" t="s">
        <v>378</v>
      </c>
      <c r="B327" s="57" t="s">
        <v>598</v>
      </c>
      <c r="C327" s="146" t="s">
        <v>964</v>
      </c>
      <c r="D327" s="145"/>
      <c r="E327" s="145"/>
      <c r="F327" s="57" t="s">
        <v>104</v>
      </c>
      <c r="G327" s="58">
        <v>1</v>
      </c>
      <c r="H327" s="58">
        <v>0</v>
      </c>
      <c r="I327" s="58">
        <f>G327*AN327</f>
        <v>0</v>
      </c>
      <c r="J327" s="58">
        <f>G327*AO327</f>
        <v>0</v>
      </c>
      <c r="K327" s="58">
        <f>G327*H327</f>
        <v>0</v>
      </c>
      <c r="Y327" s="20">
        <f>IF(AP327="5",BI327,0)</f>
        <v>0</v>
      </c>
      <c r="AA327" s="20">
        <f>IF(AP327="1",BG327,0)</f>
        <v>0</v>
      </c>
      <c r="AB327" s="20">
        <f>IF(AP327="1",BH327,0)</f>
        <v>0</v>
      </c>
      <c r="AC327" s="20">
        <f>IF(AP327="7",BG327,0)</f>
        <v>0</v>
      </c>
      <c r="AD327" s="20">
        <f>IF(AP327="7",BH327,0)</f>
        <v>0</v>
      </c>
      <c r="AE327" s="20">
        <f>IF(AP327="2",BG327,0)</f>
        <v>0</v>
      </c>
      <c r="AF327" s="20">
        <f>IF(AP327="2",BH327,0)</f>
        <v>0</v>
      </c>
      <c r="AG327" s="20">
        <f>IF(AP327="0",BI327,0)</f>
        <v>0</v>
      </c>
      <c r="AH327" s="15" t="s">
        <v>135</v>
      </c>
      <c r="AI327" s="12">
        <f>IF(AM327=0,K327,0)</f>
        <v>0</v>
      </c>
      <c r="AJ327" s="12">
        <f>IF(AM327=15,K327,0)</f>
        <v>0</v>
      </c>
      <c r="AK327" s="12">
        <f>IF(AM327=21,K327,0)</f>
        <v>0</v>
      </c>
      <c r="AM327" s="20">
        <v>15</v>
      </c>
      <c r="AN327" s="20">
        <f>H327*0</f>
        <v>0</v>
      </c>
      <c r="AO327" s="20">
        <f>H327*(1-0)</f>
        <v>0</v>
      </c>
      <c r="AP327" s="16" t="s">
        <v>262</v>
      </c>
      <c r="AU327" s="20">
        <f>AV327+AW327</f>
        <v>0</v>
      </c>
      <c r="AV327" s="20">
        <f>G327*AN327</f>
        <v>0</v>
      </c>
      <c r="AW327" s="20">
        <f>G327*AO327</f>
        <v>0</v>
      </c>
      <c r="AX327" s="21" t="s">
        <v>158</v>
      </c>
      <c r="AY327" s="21" t="s">
        <v>180</v>
      </c>
      <c r="AZ327" s="15" t="s">
        <v>190</v>
      </c>
      <c r="BB327" s="20">
        <f>AV327+AW327</f>
        <v>0</v>
      </c>
      <c r="BC327" s="20">
        <f>H327/(100-BD327)*100</f>
        <v>0</v>
      </c>
      <c r="BD327" s="20">
        <v>0</v>
      </c>
      <c r="BE327" s="20">
        <f>327</f>
        <v>327</v>
      </c>
      <c r="BG327" s="12">
        <f>G327*AN327</f>
        <v>0</v>
      </c>
      <c r="BH327" s="12">
        <f>G327*AO327</f>
        <v>0</v>
      </c>
      <c r="BI327" s="12">
        <f>G327*H327</f>
        <v>0</v>
      </c>
    </row>
    <row r="328" spans="1:11" ht="12.75">
      <c r="A328" s="59"/>
      <c r="B328" s="59"/>
      <c r="C328" s="149" t="s">
        <v>816</v>
      </c>
      <c r="D328" s="150"/>
      <c r="E328" s="150"/>
      <c r="F328" s="59"/>
      <c r="G328" s="60">
        <v>1</v>
      </c>
      <c r="H328" s="59"/>
      <c r="I328" s="59"/>
      <c r="J328" s="59"/>
      <c r="K328" s="59"/>
    </row>
    <row r="329" spans="1:61" ht="12.75">
      <c r="A329" s="67" t="s">
        <v>379</v>
      </c>
      <c r="B329" s="67" t="s">
        <v>599</v>
      </c>
      <c r="C329" s="155" t="s">
        <v>965</v>
      </c>
      <c r="D329" s="156"/>
      <c r="E329" s="156"/>
      <c r="F329" s="67" t="s">
        <v>104</v>
      </c>
      <c r="G329" s="68">
        <v>1</v>
      </c>
      <c r="H329" s="68">
        <v>0</v>
      </c>
      <c r="I329" s="68">
        <f>G329*AN329</f>
        <v>0</v>
      </c>
      <c r="J329" s="68">
        <f>G329*AO329</f>
        <v>0</v>
      </c>
      <c r="K329" s="68">
        <f>G329*H329</f>
        <v>0</v>
      </c>
      <c r="Y329" s="20">
        <f>IF(AP329="5",BI329,0)</f>
        <v>0</v>
      </c>
      <c r="AA329" s="20">
        <f>IF(AP329="1",BG329,0)</f>
        <v>0</v>
      </c>
      <c r="AB329" s="20">
        <f>IF(AP329="1",BH329,0)</f>
        <v>0</v>
      </c>
      <c r="AC329" s="20">
        <f>IF(AP329="7",BG329,0)</f>
        <v>0</v>
      </c>
      <c r="AD329" s="20">
        <f>IF(AP329="7",BH329,0)</f>
        <v>0</v>
      </c>
      <c r="AE329" s="20">
        <f>IF(AP329="2",BG329,0)</f>
        <v>0</v>
      </c>
      <c r="AF329" s="20">
        <f>IF(AP329="2",BH329,0)</f>
        <v>0</v>
      </c>
      <c r="AG329" s="20">
        <f>IF(AP329="0",BI329,0)</f>
        <v>0</v>
      </c>
      <c r="AH329" s="15" t="s">
        <v>135</v>
      </c>
      <c r="AI329" s="13">
        <f>IF(AM329=0,K329,0)</f>
        <v>0</v>
      </c>
      <c r="AJ329" s="13">
        <f>IF(AM329=15,K329,0)</f>
        <v>0</v>
      </c>
      <c r="AK329" s="13">
        <f>IF(AM329=21,K329,0)</f>
        <v>0</v>
      </c>
      <c r="AM329" s="20">
        <v>15</v>
      </c>
      <c r="AN329" s="20">
        <f>H329*1</f>
        <v>0</v>
      </c>
      <c r="AO329" s="20">
        <f>H329*(1-1)</f>
        <v>0</v>
      </c>
      <c r="AP329" s="17" t="s">
        <v>262</v>
      </c>
      <c r="AU329" s="20">
        <f>AV329+AW329</f>
        <v>0</v>
      </c>
      <c r="AV329" s="20">
        <f>G329*AN329</f>
        <v>0</v>
      </c>
      <c r="AW329" s="20">
        <f>G329*AO329</f>
        <v>0</v>
      </c>
      <c r="AX329" s="21" t="s">
        <v>158</v>
      </c>
      <c r="AY329" s="21" t="s">
        <v>180</v>
      </c>
      <c r="AZ329" s="15" t="s">
        <v>190</v>
      </c>
      <c r="BB329" s="20">
        <f>AV329+AW329</f>
        <v>0</v>
      </c>
      <c r="BC329" s="20">
        <f>H329/(100-BD329)*100</f>
        <v>0</v>
      </c>
      <c r="BD329" s="20">
        <v>0</v>
      </c>
      <c r="BE329" s="20">
        <f>329</f>
        <v>329</v>
      </c>
      <c r="BG329" s="13">
        <f>G329*AN329</f>
        <v>0</v>
      </c>
      <c r="BH329" s="13">
        <f>G329*AO329</f>
        <v>0</v>
      </c>
      <c r="BI329" s="13">
        <f>G329*H329</f>
        <v>0</v>
      </c>
    </row>
    <row r="330" spans="1:11" ht="12.75">
      <c r="A330" s="69"/>
      <c r="B330" s="69"/>
      <c r="C330" s="157" t="s">
        <v>816</v>
      </c>
      <c r="D330" s="150"/>
      <c r="E330" s="150"/>
      <c r="F330" s="69"/>
      <c r="G330" s="70">
        <v>1</v>
      </c>
      <c r="H330" s="69"/>
      <c r="I330" s="69"/>
      <c r="J330" s="69"/>
      <c r="K330" s="69"/>
    </row>
    <row r="331" spans="1:61" ht="12.75">
      <c r="A331" s="57" t="s">
        <v>380</v>
      </c>
      <c r="B331" s="57" t="s">
        <v>600</v>
      </c>
      <c r="C331" s="146" t="s">
        <v>966</v>
      </c>
      <c r="D331" s="145"/>
      <c r="E331" s="145"/>
      <c r="F331" s="57" t="s">
        <v>103</v>
      </c>
      <c r="G331" s="58">
        <v>0.819</v>
      </c>
      <c r="H331" s="58">
        <v>0</v>
      </c>
      <c r="I331" s="58">
        <f>G331*AN331</f>
        <v>0</v>
      </c>
      <c r="J331" s="58">
        <f>G331*AO331</f>
        <v>0</v>
      </c>
      <c r="K331" s="58">
        <f>G331*H331</f>
        <v>0</v>
      </c>
      <c r="Y331" s="20">
        <f>IF(AP331="5",BI331,0)</f>
        <v>0</v>
      </c>
      <c r="AA331" s="20">
        <f>IF(AP331="1",BG331,0)</f>
        <v>0</v>
      </c>
      <c r="AB331" s="20">
        <f>IF(AP331="1",BH331,0)</f>
        <v>0</v>
      </c>
      <c r="AC331" s="20">
        <f>IF(AP331="7",BG331,0)</f>
        <v>0</v>
      </c>
      <c r="AD331" s="20">
        <f>IF(AP331="7",BH331,0)</f>
        <v>0</v>
      </c>
      <c r="AE331" s="20">
        <f>IF(AP331="2",BG331,0)</f>
        <v>0</v>
      </c>
      <c r="AF331" s="20">
        <f>IF(AP331="2",BH331,0)</f>
        <v>0</v>
      </c>
      <c r="AG331" s="20">
        <f>IF(AP331="0",BI331,0)</f>
        <v>0</v>
      </c>
      <c r="AH331" s="15" t="s">
        <v>135</v>
      </c>
      <c r="AI331" s="12">
        <f>IF(AM331=0,K331,0)</f>
        <v>0</v>
      </c>
      <c r="AJ331" s="12">
        <f>IF(AM331=15,K331,0)</f>
        <v>0</v>
      </c>
      <c r="AK331" s="12">
        <f>IF(AM331=21,K331,0)</f>
        <v>0</v>
      </c>
      <c r="AM331" s="20">
        <v>15</v>
      </c>
      <c r="AN331" s="20">
        <f>H331*0</f>
        <v>0</v>
      </c>
      <c r="AO331" s="20">
        <f>H331*(1-0)</f>
        <v>0</v>
      </c>
      <c r="AP331" s="16" t="s">
        <v>260</v>
      </c>
      <c r="AU331" s="20">
        <f>AV331+AW331</f>
        <v>0</v>
      </c>
      <c r="AV331" s="20">
        <f>G331*AN331</f>
        <v>0</v>
      </c>
      <c r="AW331" s="20">
        <f>G331*AO331</f>
        <v>0</v>
      </c>
      <c r="AX331" s="21" t="s">
        <v>158</v>
      </c>
      <c r="AY331" s="21" t="s">
        <v>180</v>
      </c>
      <c r="AZ331" s="15" t="s">
        <v>190</v>
      </c>
      <c r="BB331" s="20">
        <f>AV331+AW331</f>
        <v>0</v>
      </c>
      <c r="BC331" s="20">
        <f>H331/(100-BD331)*100</f>
        <v>0</v>
      </c>
      <c r="BD331" s="20">
        <v>0</v>
      </c>
      <c r="BE331" s="20">
        <f>331</f>
        <v>331</v>
      </c>
      <c r="BG331" s="12">
        <f>G331*AN331</f>
        <v>0</v>
      </c>
      <c r="BH331" s="12">
        <f>G331*AO331</f>
        <v>0</v>
      </c>
      <c r="BI331" s="12">
        <f>G331*H331</f>
        <v>0</v>
      </c>
    </row>
    <row r="332" spans="1:11" ht="12.75">
      <c r="A332" s="59"/>
      <c r="B332" s="59"/>
      <c r="C332" s="149" t="s">
        <v>967</v>
      </c>
      <c r="D332" s="150"/>
      <c r="E332" s="150"/>
      <c r="F332" s="59"/>
      <c r="G332" s="60">
        <v>0.819</v>
      </c>
      <c r="H332" s="59"/>
      <c r="I332" s="59"/>
      <c r="J332" s="59"/>
      <c r="K332" s="59"/>
    </row>
    <row r="333" spans="1:46" ht="12.75">
      <c r="A333" s="2"/>
      <c r="B333" s="8" t="s">
        <v>601</v>
      </c>
      <c r="C333" s="142" t="s">
        <v>968</v>
      </c>
      <c r="D333" s="143"/>
      <c r="E333" s="143"/>
      <c r="F333" s="2" t="s">
        <v>255</v>
      </c>
      <c r="G333" s="2" t="s">
        <v>255</v>
      </c>
      <c r="H333" s="2" t="s">
        <v>255</v>
      </c>
      <c r="I333" s="22">
        <f>SUM(I334:I394)</f>
        <v>0</v>
      </c>
      <c r="J333" s="22">
        <f>SUM(J334:J394)</f>
        <v>0</v>
      </c>
      <c r="K333" s="22">
        <f>SUM(K334:K394)</f>
        <v>0</v>
      </c>
      <c r="AH333" s="15" t="s">
        <v>135</v>
      </c>
      <c r="AR333" s="22">
        <f>SUM(AI334:AI394)</f>
        <v>0</v>
      </c>
      <c r="AS333" s="22">
        <f>SUM(AJ334:AJ394)</f>
        <v>0</v>
      </c>
      <c r="AT333" s="22">
        <f>SUM(AK334:AK394)</f>
        <v>0</v>
      </c>
    </row>
    <row r="334" spans="1:61" ht="12.75">
      <c r="A334" s="57" t="s">
        <v>381</v>
      </c>
      <c r="B334" s="57" t="s">
        <v>602</v>
      </c>
      <c r="C334" s="146" t="s">
        <v>969</v>
      </c>
      <c r="D334" s="145"/>
      <c r="E334" s="145"/>
      <c r="F334" s="57" t="s">
        <v>100</v>
      </c>
      <c r="G334" s="58">
        <v>63.9332</v>
      </c>
      <c r="H334" s="58">
        <v>0</v>
      </c>
      <c r="I334" s="58">
        <f>G334*AN334</f>
        <v>0</v>
      </c>
      <c r="J334" s="58">
        <f>G334*AO334</f>
        <v>0</v>
      </c>
      <c r="K334" s="58">
        <f>G334*H334</f>
        <v>0</v>
      </c>
      <c r="Y334" s="20">
        <f>IF(AP334="5",BI334,0)</f>
        <v>0</v>
      </c>
      <c r="AA334" s="20">
        <f>IF(AP334="1",BG334,0)</f>
        <v>0</v>
      </c>
      <c r="AB334" s="20">
        <f>IF(AP334="1",BH334,0)</f>
        <v>0</v>
      </c>
      <c r="AC334" s="20">
        <f>IF(AP334="7",BG334,0)</f>
        <v>0</v>
      </c>
      <c r="AD334" s="20">
        <f>IF(AP334="7",BH334,0)</f>
        <v>0</v>
      </c>
      <c r="AE334" s="20">
        <f>IF(AP334="2",BG334,0)</f>
        <v>0</v>
      </c>
      <c r="AF334" s="20">
        <f>IF(AP334="2",BH334,0)</f>
        <v>0</v>
      </c>
      <c r="AG334" s="20">
        <f>IF(AP334="0",BI334,0)</f>
        <v>0</v>
      </c>
      <c r="AH334" s="15" t="s">
        <v>135</v>
      </c>
      <c r="AI334" s="12">
        <f>IF(AM334=0,K334,0)</f>
        <v>0</v>
      </c>
      <c r="AJ334" s="12">
        <f>IF(AM334=15,K334,0)</f>
        <v>0</v>
      </c>
      <c r="AK334" s="12">
        <f>IF(AM334=21,K334,0)</f>
        <v>0</v>
      </c>
      <c r="AM334" s="20">
        <v>15</v>
      </c>
      <c r="AN334" s="20">
        <f>H334*0.636698170790558</f>
        <v>0</v>
      </c>
      <c r="AO334" s="20">
        <f>H334*(1-0.636698170790558)</f>
        <v>0</v>
      </c>
      <c r="AP334" s="16" t="s">
        <v>262</v>
      </c>
      <c r="AU334" s="20">
        <f>AV334+AW334</f>
        <v>0</v>
      </c>
      <c r="AV334" s="20">
        <f>G334*AN334</f>
        <v>0</v>
      </c>
      <c r="AW334" s="20">
        <f>G334*AO334</f>
        <v>0</v>
      </c>
      <c r="AX334" s="21" t="s">
        <v>159</v>
      </c>
      <c r="AY334" s="21" t="s">
        <v>180</v>
      </c>
      <c r="AZ334" s="15" t="s">
        <v>190</v>
      </c>
      <c r="BB334" s="20">
        <f>AV334+AW334</f>
        <v>0</v>
      </c>
      <c r="BC334" s="20">
        <f>H334/(100-BD334)*100</f>
        <v>0</v>
      </c>
      <c r="BD334" s="20">
        <v>0</v>
      </c>
      <c r="BE334" s="20">
        <f>334</f>
        <v>334</v>
      </c>
      <c r="BG334" s="12">
        <f>G334*AN334</f>
        <v>0</v>
      </c>
      <c r="BH334" s="12">
        <f>G334*AO334</f>
        <v>0</v>
      </c>
      <c r="BI334" s="12">
        <f>G334*H334</f>
        <v>0</v>
      </c>
    </row>
    <row r="335" spans="1:11" ht="12.75">
      <c r="A335" s="59"/>
      <c r="B335" s="59"/>
      <c r="C335" s="149" t="s">
        <v>970</v>
      </c>
      <c r="D335" s="150"/>
      <c r="E335" s="150"/>
      <c r="F335" s="59"/>
      <c r="G335" s="60">
        <v>63.9332</v>
      </c>
      <c r="H335" s="59"/>
      <c r="I335" s="59"/>
      <c r="J335" s="59"/>
      <c r="K335" s="59"/>
    </row>
    <row r="336" spans="1:61" ht="12.75">
      <c r="A336" s="67" t="s">
        <v>382</v>
      </c>
      <c r="B336" s="67" t="s">
        <v>603</v>
      </c>
      <c r="C336" s="155" t="s">
        <v>971</v>
      </c>
      <c r="D336" s="156"/>
      <c r="E336" s="156"/>
      <c r="F336" s="67" t="s">
        <v>103</v>
      </c>
      <c r="G336" s="68">
        <v>0.53289</v>
      </c>
      <c r="H336" s="68">
        <v>0</v>
      </c>
      <c r="I336" s="68">
        <f>G336*AN336</f>
        <v>0</v>
      </c>
      <c r="J336" s="68">
        <f>G336*AO336</f>
        <v>0</v>
      </c>
      <c r="K336" s="68">
        <f>G336*H336</f>
        <v>0</v>
      </c>
      <c r="Y336" s="20">
        <f>IF(AP336="5",BI336,0)</f>
        <v>0</v>
      </c>
      <c r="AA336" s="20">
        <f>IF(AP336="1",BG336,0)</f>
        <v>0</v>
      </c>
      <c r="AB336" s="20">
        <f>IF(AP336="1",BH336,0)</f>
        <v>0</v>
      </c>
      <c r="AC336" s="20">
        <f>IF(AP336="7",BG336,0)</f>
        <v>0</v>
      </c>
      <c r="AD336" s="20">
        <f>IF(AP336="7",BH336,0)</f>
        <v>0</v>
      </c>
      <c r="AE336" s="20">
        <f>IF(AP336="2",BG336,0)</f>
        <v>0</v>
      </c>
      <c r="AF336" s="20">
        <f>IF(AP336="2",BH336,0)</f>
        <v>0</v>
      </c>
      <c r="AG336" s="20">
        <f>IF(AP336="0",BI336,0)</f>
        <v>0</v>
      </c>
      <c r="AH336" s="15" t="s">
        <v>135</v>
      </c>
      <c r="AI336" s="13">
        <f>IF(AM336=0,K336,0)</f>
        <v>0</v>
      </c>
      <c r="AJ336" s="13">
        <f>IF(AM336=15,K336,0)</f>
        <v>0</v>
      </c>
      <c r="AK336" s="13">
        <f>IF(AM336=21,K336,0)</f>
        <v>0</v>
      </c>
      <c r="AM336" s="20">
        <v>15</v>
      </c>
      <c r="AN336" s="20">
        <f>H336*1</f>
        <v>0</v>
      </c>
      <c r="AO336" s="20">
        <f>H336*(1-1)</f>
        <v>0</v>
      </c>
      <c r="AP336" s="17" t="s">
        <v>262</v>
      </c>
      <c r="AU336" s="20">
        <f>AV336+AW336</f>
        <v>0</v>
      </c>
      <c r="AV336" s="20">
        <f>G336*AN336</f>
        <v>0</v>
      </c>
      <c r="AW336" s="20">
        <f>G336*AO336</f>
        <v>0</v>
      </c>
      <c r="AX336" s="21" t="s">
        <v>159</v>
      </c>
      <c r="AY336" s="21" t="s">
        <v>180</v>
      </c>
      <c r="AZ336" s="15" t="s">
        <v>190</v>
      </c>
      <c r="BB336" s="20">
        <f>AV336+AW336</f>
        <v>0</v>
      </c>
      <c r="BC336" s="20">
        <f>H336/(100-BD336)*100</f>
        <v>0</v>
      </c>
      <c r="BD336" s="20">
        <v>0</v>
      </c>
      <c r="BE336" s="20">
        <f>336</f>
        <v>336</v>
      </c>
      <c r="BG336" s="13">
        <f>G336*AN336</f>
        <v>0</v>
      </c>
      <c r="BH336" s="13">
        <f>G336*AO336</f>
        <v>0</v>
      </c>
      <c r="BI336" s="13">
        <f>G336*H336</f>
        <v>0</v>
      </c>
    </row>
    <row r="337" spans="1:11" ht="12.75">
      <c r="A337" s="69"/>
      <c r="B337" s="69"/>
      <c r="C337" s="157" t="s">
        <v>972</v>
      </c>
      <c r="D337" s="150"/>
      <c r="E337" s="150"/>
      <c r="F337" s="69"/>
      <c r="G337" s="70">
        <v>0.53289</v>
      </c>
      <c r="H337" s="69"/>
      <c r="I337" s="69"/>
      <c r="J337" s="69"/>
      <c r="K337" s="69"/>
    </row>
    <row r="338" spans="1:61" ht="12.75">
      <c r="A338" s="67" t="s">
        <v>383</v>
      </c>
      <c r="B338" s="67" t="s">
        <v>604</v>
      </c>
      <c r="C338" s="155" t="s">
        <v>973</v>
      </c>
      <c r="D338" s="156"/>
      <c r="E338" s="156"/>
      <c r="F338" s="67" t="s">
        <v>103</v>
      </c>
      <c r="G338" s="68">
        <v>0.50964</v>
      </c>
      <c r="H338" s="68">
        <v>0</v>
      </c>
      <c r="I338" s="68">
        <f>G338*AN338</f>
        <v>0</v>
      </c>
      <c r="J338" s="68">
        <f>G338*AO338</f>
        <v>0</v>
      </c>
      <c r="K338" s="68">
        <f>G338*H338</f>
        <v>0</v>
      </c>
      <c r="Y338" s="20">
        <f>IF(AP338="5",BI338,0)</f>
        <v>0</v>
      </c>
      <c r="AA338" s="20">
        <f>IF(AP338="1",BG338,0)</f>
        <v>0</v>
      </c>
      <c r="AB338" s="20">
        <f>IF(AP338="1",BH338,0)</f>
        <v>0</v>
      </c>
      <c r="AC338" s="20">
        <f>IF(AP338="7",BG338,0)</f>
        <v>0</v>
      </c>
      <c r="AD338" s="20">
        <f>IF(AP338="7",BH338,0)</f>
        <v>0</v>
      </c>
      <c r="AE338" s="20">
        <f>IF(AP338="2",BG338,0)</f>
        <v>0</v>
      </c>
      <c r="AF338" s="20">
        <f>IF(AP338="2",BH338,0)</f>
        <v>0</v>
      </c>
      <c r="AG338" s="20">
        <f>IF(AP338="0",BI338,0)</f>
        <v>0</v>
      </c>
      <c r="AH338" s="15" t="s">
        <v>135</v>
      </c>
      <c r="AI338" s="13">
        <f>IF(AM338=0,K338,0)</f>
        <v>0</v>
      </c>
      <c r="AJ338" s="13">
        <f>IF(AM338=15,K338,0)</f>
        <v>0</v>
      </c>
      <c r="AK338" s="13">
        <f>IF(AM338=21,K338,0)</f>
        <v>0</v>
      </c>
      <c r="AM338" s="20">
        <v>15</v>
      </c>
      <c r="AN338" s="20">
        <f>H338*1</f>
        <v>0</v>
      </c>
      <c r="AO338" s="20">
        <f>H338*(1-1)</f>
        <v>0</v>
      </c>
      <c r="AP338" s="17" t="s">
        <v>262</v>
      </c>
      <c r="AU338" s="20">
        <f>AV338+AW338</f>
        <v>0</v>
      </c>
      <c r="AV338" s="20">
        <f>G338*AN338</f>
        <v>0</v>
      </c>
      <c r="AW338" s="20">
        <f>G338*AO338</f>
        <v>0</v>
      </c>
      <c r="AX338" s="21" t="s">
        <v>159</v>
      </c>
      <c r="AY338" s="21" t="s">
        <v>180</v>
      </c>
      <c r="AZ338" s="15" t="s">
        <v>190</v>
      </c>
      <c r="BB338" s="20">
        <f>AV338+AW338</f>
        <v>0</v>
      </c>
      <c r="BC338" s="20">
        <f>H338/(100-BD338)*100</f>
        <v>0</v>
      </c>
      <c r="BD338" s="20">
        <v>0</v>
      </c>
      <c r="BE338" s="20">
        <f>338</f>
        <v>338</v>
      </c>
      <c r="BG338" s="13">
        <f>G338*AN338</f>
        <v>0</v>
      </c>
      <c r="BH338" s="13">
        <f>G338*AO338</f>
        <v>0</v>
      </c>
      <c r="BI338" s="13">
        <f>G338*H338</f>
        <v>0</v>
      </c>
    </row>
    <row r="339" spans="1:11" ht="12.75">
      <c r="A339" s="69"/>
      <c r="B339" s="69"/>
      <c r="C339" s="157" t="s">
        <v>974</v>
      </c>
      <c r="D339" s="150"/>
      <c r="E339" s="150"/>
      <c r="F339" s="69"/>
      <c r="G339" s="70">
        <v>0.50964</v>
      </c>
      <c r="H339" s="69"/>
      <c r="I339" s="69"/>
      <c r="J339" s="69"/>
      <c r="K339" s="69"/>
    </row>
    <row r="340" spans="1:61" ht="12.75">
      <c r="A340" s="67" t="s">
        <v>384</v>
      </c>
      <c r="B340" s="67" t="s">
        <v>511</v>
      </c>
      <c r="C340" s="155" t="s">
        <v>975</v>
      </c>
      <c r="D340" s="156"/>
      <c r="E340" s="156"/>
      <c r="F340" s="67" t="s">
        <v>103</v>
      </c>
      <c r="G340" s="68">
        <v>0.02732</v>
      </c>
      <c r="H340" s="68">
        <v>0</v>
      </c>
      <c r="I340" s="68">
        <f>G340*AN340</f>
        <v>0</v>
      </c>
      <c r="J340" s="68">
        <f>G340*AO340</f>
        <v>0</v>
      </c>
      <c r="K340" s="68">
        <f>G340*H340</f>
        <v>0</v>
      </c>
      <c r="Y340" s="20">
        <f>IF(AP340="5",BI340,0)</f>
        <v>0</v>
      </c>
      <c r="AA340" s="20">
        <f>IF(AP340="1",BG340,0)</f>
        <v>0</v>
      </c>
      <c r="AB340" s="20">
        <f>IF(AP340="1",BH340,0)</f>
        <v>0</v>
      </c>
      <c r="AC340" s="20">
        <f>IF(AP340="7",BG340,0)</f>
        <v>0</v>
      </c>
      <c r="AD340" s="20">
        <f>IF(AP340="7",BH340,0)</f>
        <v>0</v>
      </c>
      <c r="AE340" s="20">
        <f>IF(AP340="2",BG340,0)</f>
        <v>0</v>
      </c>
      <c r="AF340" s="20">
        <f>IF(AP340="2",BH340,0)</f>
        <v>0</v>
      </c>
      <c r="AG340" s="20">
        <f>IF(AP340="0",BI340,0)</f>
        <v>0</v>
      </c>
      <c r="AH340" s="15" t="s">
        <v>135</v>
      </c>
      <c r="AI340" s="13">
        <f>IF(AM340=0,K340,0)</f>
        <v>0</v>
      </c>
      <c r="AJ340" s="13">
        <f>IF(AM340=15,K340,0)</f>
        <v>0</v>
      </c>
      <c r="AK340" s="13">
        <f>IF(AM340=21,K340,0)</f>
        <v>0</v>
      </c>
      <c r="AM340" s="20">
        <v>15</v>
      </c>
      <c r="AN340" s="20">
        <f>H340*1</f>
        <v>0</v>
      </c>
      <c r="AO340" s="20">
        <f>H340*(1-1)</f>
        <v>0</v>
      </c>
      <c r="AP340" s="17" t="s">
        <v>262</v>
      </c>
      <c r="AU340" s="20">
        <f>AV340+AW340</f>
        <v>0</v>
      </c>
      <c r="AV340" s="20">
        <f>G340*AN340</f>
        <v>0</v>
      </c>
      <c r="AW340" s="20">
        <f>G340*AO340</f>
        <v>0</v>
      </c>
      <c r="AX340" s="21" t="s">
        <v>159</v>
      </c>
      <c r="AY340" s="21" t="s">
        <v>180</v>
      </c>
      <c r="AZ340" s="15" t="s">
        <v>190</v>
      </c>
      <c r="BB340" s="20">
        <f>AV340+AW340</f>
        <v>0</v>
      </c>
      <c r="BC340" s="20">
        <f>H340/(100-BD340)*100</f>
        <v>0</v>
      </c>
      <c r="BD340" s="20">
        <v>0</v>
      </c>
      <c r="BE340" s="20">
        <f>340</f>
        <v>340</v>
      </c>
      <c r="BG340" s="13">
        <f>G340*AN340</f>
        <v>0</v>
      </c>
      <c r="BH340" s="13">
        <f>G340*AO340</f>
        <v>0</v>
      </c>
      <c r="BI340" s="13">
        <f>G340*H340</f>
        <v>0</v>
      </c>
    </row>
    <row r="341" spans="1:11" ht="12.75">
      <c r="A341" s="69"/>
      <c r="B341" s="69"/>
      <c r="C341" s="157" t="s">
        <v>976</v>
      </c>
      <c r="D341" s="150"/>
      <c r="E341" s="150"/>
      <c r="F341" s="69"/>
      <c r="G341" s="70">
        <v>0.02732</v>
      </c>
      <c r="H341" s="69"/>
      <c r="I341" s="69"/>
      <c r="J341" s="69"/>
      <c r="K341" s="69"/>
    </row>
    <row r="342" spans="1:61" ht="12.75">
      <c r="A342" s="57" t="s">
        <v>385</v>
      </c>
      <c r="B342" s="57" t="s">
        <v>605</v>
      </c>
      <c r="C342" s="146" t="s">
        <v>977</v>
      </c>
      <c r="D342" s="145"/>
      <c r="E342" s="145"/>
      <c r="F342" s="57" t="s">
        <v>102</v>
      </c>
      <c r="G342" s="58">
        <v>67.35</v>
      </c>
      <c r="H342" s="58">
        <v>0</v>
      </c>
      <c r="I342" s="58">
        <f>G342*AN342</f>
        <v>0</v>
      </c>
      <c r="J342" s="58">
        <f>G342*AO342</f>
        <v>0</v>
      </c>
      <c r="K342" s="58">
        <f>G342*H342</f>
        <v>0</v>
      </c>
      <c r="Y342" s="20">
        <f>IF(AP342="5",BI342,0)</f>
        <v>0</v>
      </c>
      <c r="AA342" s="20">
        <f>IF(AP342="1",BG342,0)</f>
        <v>0</v>
      </c>
      <c r="AB342" s="20">
        <f>IF(AP342="1",BH342,0)</f>
        <v>0</v>
      </c>
      <c r="AC342" s="20">
        <f>IF(AP342="7",BG342,0)</f>
        <v>0</v>
      </c>
      <c r="AD342" s="20">
        <f>IF(AP342="7",BH342,0)</f>
        <v>0</v>
      </c>
      <c r="AE342" s="20">
        <f>IF(AP342="2",BG342,0)</f>
        <v>0</v>
      </c>
      <c r="AF342" s="20">
        <f>IF(AP342="2",BH342,0)</f>
        <v>0</v>
      </c>
      <c r="AG342" s="20">
        <f>IF(AP342="0",BI342,0)</f>
        <v>0</v>
      </c>
      <c r="AH342" s="15" t="s">
        <v>135</v>
      </c>
      <c r="AI342" s="12">
        <f>IF(AM342=0,K342,0)</f>
        <v>0</v>
      </c>
      <c r="AJ342" s="12">
        <f>IF(AM342=15,K342,0)</f>
        <v>0</v>
      </c>
      <c r="AK342" s="12">
        <f>IF(AM342=21,K342,0)</f>
        <v>0</v>
      </c>
      <c r="AM342" s="20">
        <v>15</v>
      </c>
      <c r="AN342" s="20">
        <f>H342*0.104413488065375</f>
        <v>0</v>
      </c>
      <c r="AO342" s="20">
        <f>H342*(1-0.104413488065375)</f>
        <v>0</v>
      </c>
      <c r="AP342" s="16" t="s">
        <v>262</v>
      </c>
      <c r="AU342" s="20">
        <f>AV342+AW342</f>
        <v>0</v>
      </c>
      <c r="AV342" s="20">
        <f>G342*AN342</f>
        <v>0</v>
      </c>
      <c r="AW342" s="20">
        <f>G342*AO342</f>
        <v>0</v>
      </c>
      <c r="AX342" s="21" t="s">
        <v>159</v>
      </c>
      <c r="AY342" s="21" t="s">
        <v>180</v>
      </c>
      <c r="AZ342" s="15" t="s">
        <v>190</v>
      </c>
      <c r="BB342" s="20">
        <f>AV342+AW342</f>
        <v>0</v>
      </c>
      <c r="BC342" s="20">
        <f>H342/(100-BD342)*100</f>
        <v>0</v>
      </c>
      <c r="BD342" s="20">
        <v>0</v>
      </c>
      <c r="BE342" s="20">
        <f>342</f>
        <v>342</v>
      </c>
      <c r="BG342" s="12">
        <f>G342*AN342</f>
        <v>0</v>
      </c>
      <c r="BH342" s="12">
        <f>G342*AO342</f>
        <v>0</v>
      </c>
      <c r="BI342" s="12">
        <f>G342*H342</f>
        <v>0</v>
      </c>
    </row>
    <row r="343" spans="1:11" ht="12.75">
      <c r="A343" s="59"/>
      <c r="B343" s="59"/>
      <c r="C343" s="149" t="s">
        <v>978</v>
      </c>
      <c r="D343" s="150"/>
      <c r="E343" s="150"/>
      <c r="F343" s="59"/>
      <c r="G343" s="60">
        <v>30.644</v>
      </c>
      <c r="H343" s="59"/>
      <c r="I343" s="59"/>
      <c r="J343" s="59"/>
      <c r="K343" s="59"/>
    </row>
    <row r="344" spans="1:11" ht="12.75">
      <c r="A344" s="59"/>
      <c r="B344" s="59"/>
      <c r="C344" s="149" t="s">
        <v>979</v>
      </c>
      <c r="D344" s="150"/>
      <c r="E344" s="150"/>
      <c r="F344" s="59"/>
      <c r="G344" s="60">
        <v>7.53</v>
      </c>
      <c r="H344" s="59"/>
      <c r="I344" s="59"/>
      <c r="J344" s="59"/>
      <c r="K344" s="59"/>
    </row>
    <row r="345" spans="1:11" ht="12.75">
      <c r="A345" s="59"/>
      <c r="B345" s="59"/>
      <c r="C345" s="149" t="s">
        <v>980</v>
      </c>
      <c r="D345" s="150"/>
      <c r="E345" s="150"/>
      <c r="F345" s="59"/>
      <c r="G345" s="60">
        <v>5.02</v>
      </c>
      <c r="H345" s="59"/>
      <c r="I345" s="59"/>
      <c r="J345" s="59"/>
      <c r="K345" s="59"/>
    </row>
    <row r="346" spans="1:11" ht="12.75">
      <c r="A346" s="59"/>
      <c r="B346" s="59"/>
      <c r="C346" s="149" t="s">
        <v>981</v>
      </c>
      <c r="D346" s="150"/>
      <c r="E346" s="150"/>
      <c r="F346" s="59"/>
      <c r="G346" s="60">
        <v>1.93</v>
      </c>
      <c r="H346" s="59"/>
      <c r="I346" s="59"/>
      <c r="J346" s="59"/>
      <c r="K346" s="59"/>
    </row>
    <row r="347" spans="1:11" ht="12.75">
      <c r="A347" s="59"/>
      <c r="B347" s="59"/>
      <c r="C347" s="149" t="s">
        <v>982</v>
      </c>
      <c r="D347" s="150"/>
      <c r="E347" s="150"/>
      <c r="F347" s="59"/>
      <c r="G347" s="60">
        <v>7.51</v>
      </c>
      <c r="H347" s="59"/>
      <c r="I347" s="59"/>
      <c r="J347" s="59"/>
      <c r="K347" s="59"/>
    </row>
    <row r="348" spans="1:11" ht="12.75">
      <c r="A348" s="59"/>
      <c r="B348" s="59"/>
      <c r="C348" s="149" t="s">
        <v>983</v>
      </c>
      <c r="D348" s="150"/>
      <c r="E348" s="150"/>
      <c r="F348" s="59"/>
      <c r="G348" s="60">
        <v>5.256</v>
      </c>
      <c r="H348" s="59"/>
      <c r="I348" s="59"/>
      <c r="J348" s="59"/>
      <c r="K348" s="59"/>
    </row>
    <row r="349" spans="1:11" ht="12.75">
      <c r="A349" s="59"/>
      <c r="B349" s="59"/>
      <c r="C349" s="149" t="s">
        <v>984</v>
      </c>
      <c r="D349" s="150"/>
      <c r="E349" s="150"/>
      <c r="F349" s="59"/>
      <c r="G349" s="60">
        <v>9.46</v>
      </c>
      <c r="H349" s="59"/>
      <c r="I349" s="59"/>
      <c r="J349" s="59"/>
      <c r="K349" s="59"/>
    </row>
    <row r="350" spans="1:61" ht="12.75">
      <c r="A350" s="67" t="s">
        <v>386</v>
      </c>
      <c r="B350" s="67" t="s">
        <v>603</v>
      </c>
      <c r="C350" s="155" t="s">
        <v>985</v>
      </c>
      <c r="D350" s="156"/>
      <c r="E350" s="156"/>
      <c r="F350" s="67" t="s">
        <v>103</v>
      </c>
      <c r="G350" s="68">
        <v>0.25356</v>
      </c>
      <c r="H350" s="68">
        <v>0</v>
      </c>
      <c r="I350" s="68">
        <f>G350*AN350</f>
        <v>0</v>
      </c>
      <c r="J350" s="68">
        <f>G350*AO350</f>
        <v>0</v>
      </c>
      <c r="K350" s="68">
        <f>G350*H350</f>
        <v>0</v>
      </c>
      <c r="Y350" s="20">
        <f>IF(AP350="5",BI350,0)</f>
        <v>0</v>
      </c>
      <c r="AA350" s="20">
        <f>IF(AP350="1",BG350,0)</f>
        <v>0</v>
      </c>
      <c r="AB350" s="20">
        <f>IF(AP350="1",BH350,0)</f>
        <v>0</v>
      </c>
      <c r="AC350" s="20">
        <f>IF(AP350="7",BG350,0)</f>
        <v>0</v>
      </c>
      <c r="AD350" s="20">
        <f>IF(AP350="7",BH350,0)</f>
        <v>0</v>
      </c>
      <c r="AE350" s="20">
        <f>IF(AP350="2",BG350,0)</f>
        <v>0</v>
      </c>
      <c r="AF350" s="20">
        <f>IF(AP350="2",BH350,0)</f>
        <v>0</v>
      </c>
      <c r="AG350" s="20">
        <f>IF(AP350="0",BI350,0)</f>
        <v>0</v>
      </c>
      <c r="AH350" s="15" t="s">
        <v>135</v>
      </c>
      <c r="AI350" s="13">
        <f>IF(AM350=0,K350,0)</f>
        <v>0</v>
      </c>
      <c r="AJ350" s="13">
        <f>IF(AM350=15,K350,0)</f>
        <v>0</v>
      </c>
      <c r="AK350" s="13">
        <f>IF(AM350=21,K350,0)</f>
        <v>0</v>
      </c>
      <c r="AM350" s="20">
        <v>15</v>
      </c>
      <c r="AN350" s="20">
        <f>H350*1</f>
        <v>0</v>
      </c>
      <c r="AO350" s="20">
        <f>H350*(1-1)</f>
        <v>0</v>
      </c>
      <c r="AP350" s="17" t="s">
        <v>262</v>
      </c>
      <c r="AU350" s="20">
        <f>AV350+AW350</f>
        <v>0</v>
      </c>
      <c r="AV350" s="20">
        <f>G350*AN350</f>
        <v>0</v>
      </c>
      <c r="AW350" s="20">
        <f>G350*AO350</f>
        <v>0</v>
      </c>
      <c r="AX350" s="21" t="s">
        <v>159</v>
      </c>
      <c r="AY350" s="21" t="s">
        <v>180</v>
      </c>
      <c r="AZ350" s="15" t="s">
        <v>190</v>
      </c>
      <c r="BB350" s="20">
        <f>AV350+AW350</f>
        <v>0</v>
      </c>
      <c r="BC350" s="20">
        <f>H350/(100-BD350)*100</f>
        <v>0</v>
      </c>
      <c r="BD350" s="20">
        <v>0</v>
      </c>
      <c r="BE350" s="20">
        <f>350</f>
        <v>350</v>
      </c>
      <c r="BG350" s="13">
        <f>G350*AN350</f>
        <v>0</v>
      </c>
      <c r="BH350" s="13">
        <f>G350*AO350</f>
        <v>0</v>
      </c>
      <c r="BI350" s="13">
        <f>G350*H350</f>
        <v>0</v>
      </c>
    </row>
    <row r="351" spans="1:11" ht="12.75">
      <c r="A351" s="69"/>
      <c r="B351" s="69"/>
      <c r="C351" s="157" t="s">
        <v>986</v>
      </c>
      <c r="D351" s="150"/>
      <c r="E351" s="150"/>
      <c r="F351" s="69"/>
      <c r="G351" s="70">
        <v>0.25356</v>
      </c>
      <c r="H351" s="69"/>
      <c r="I351" s="69"/>
      <c r="J351" s="69"/>
      <c r="K351" s="69"/>
    </row>
    <row r="352" spans="1:61" ht="12.75">
      <c r="A352" s="67" t="s">
        <v>387</v>
      </c>
      <c r="B352" s="67" t="s">
        <v>603</v>
      </c>
      <c r="C352" s="155" t="s">
        <v>987</v>
      </c>
      <c r="D352" s="156"/>
      <c r="E352" s="156"/>
      <c r="F352" s="67" t="s">
        <v>103</v>
      </c>
      <c r="G352" s="68">
        <v>0.10013</v>
      </c>
      <c r="H352" s="68">
        <v>0</v>
      </c>
      <c r="I352" s="68">
        <f>G352*AN352</f>
        <v>0</v>
      </c>
      <c r="J352" s="68">
        <f>G352*AO352</f>
        <v>0</v>
      </c>
      <c r="K352" s="68">
        <f>G352*H352</f>
        <v>0</v>
      </c>
      <c r="Y352" s="20">
        <f>IF(AP352="5",BI352,0)</f>
        <v>0</v>
      </c>
      <c r="AA352" s="20">
        <f>IF(AP352="1",BG352,0)</f>
        <v>0</v>
      </c>
      <c r="AB352" s="20">
        <f>IF(AP352="1",BH352,0)</f>
        <v>0</v>
      </c>
      <c r="AC352" s="20">
        <f>IF(AP352="7",BG352,0)</f>
        <v>0</v>
      </c>
      <c r="AD352" s="20">
        <f>IF(AP352="7",BH352,0)</f>
        <v>0</v>
      </c>
      <c r="AE352" s="20">
        <f>IF(AP352="2",BG352,0)</f>
        <v>0</v>
      </c>
      <c r="AF352" s="20">
        <f>IF(AP352="2",BH352,0)</f>
        <v>0</v>
      </c>
      <c r="AG352" s="20">
        <f>IF(AP352="0",BI352,0)</f>
        <v>0</v>
      </c>
      <c r="AH352" s="15" t="s">
        <v>135</v>
      </c>
      <c r="AI352" s="13">
        <f>IF(AM352=0,K352,0)</f>
        <v>0</v>
      </c>
      <c r="AJ352" s="13">
        <f>IF(AM352=15,K352,0)</f>
        <v>0</v>
      </c>
      <c r="AK352" s="13">
        <f>IF(AM352=21,K352,0)</f>
        <v>0</v>
      </c>
      <c r="AM352" s="20">
        <v>15</v>
      </c>
      <c r="AN352" s="20">
        <f>H352*1</f>
        <v>0</v>
      </c>
      <c r="AO352" s="20">
        <f>H352*(1-1)</f>
        <v>0</v>
      </c>
      <c r="AP352" s="17" t="s">
        <v>262</v>
      </c>
      <c r="AU352" s="20">
        <f>AV352+AW352</f>
        <v>0</v>
      </c>
      <c r="AV352" s="20">
        <f>G352*AN352</f>
        <v>0</v>
      </c>
      <c r="AW352" s="20">
        <f>G352*AO352</f>
        <v>0</v>
      </c>
      <c r="AX352" s="21" t="s">
        <v>159</v>
      </c>
      <c r="AY352" s="21" t="s">
        <v>180</v>
      </c>
      <c r="AZ352" s="15" t="s">
        <v>190</v>
      </c>
      <c r="BB352" s="20">
        <f>AV352+AW352</f>
        <v>0</v>
      </c>
      <c r="BC352" s="20">
        <f>H352/(100-BD352)*100</f>
        <v>0</v>
      </c>
      <c r="BD352" s="20">
        <v>0</v>
      </c>
      <c r="BE352" s="20">
        <f>352</f>
        <v>352</v>
      </c>
      <c r="BG352" s="13">
        <f>G352*AN352</f>
        <v>0</v>
      </c>
      <c r="BH352" s="13">
        <f>G352*AO352</f>
        <v>0</v>
      </c>
      <c r="BI352" s="13">
        <f>G352*H352</f>
        <v>0</v>
      </c>
    </row>
    <row r="353" spans="1:11" ht="12.75">
      <c r="A353" s="69"/>
      <c r="B353" s="69"/>
      <c r="C353" s="157" t="s">
        <v>988</v>
      </c>
      <c r="D353" s="150"/>
      <c r="E353" s="150"/>
      <c r="F353" s="69"/>
      <c r="G353" s="70">
        <v>0.10013</v>
      </c>
      <c r="H353" s="69"/>
      <c r="I353" s="69"/>
      <c r="J353" s="69"/>
      <c r="K353" s="69"/>
    </row>
    <row r="354" spans="1:61" ht="12.75">
      <c r="A354" s="67" t="s">
        <v>388</v>
      </c>
      <c r="B354" s="67" t="s">
        <v>603</v>
      </c>
      <c r="C354" s="155" t="s">
        <v>989</v>
      </c>
      <c r="D354" s="156"/>
      <c r="E354" s="156"/>
      <c r="F354" s="67" t="s">
        <v>103</v>
      </c>
      <c r="G354" s="68">
        <v>0.10648</v>
      </c>
      <c r="H354" s="68">
        <v>0</v>
      </c>
      <c r="I354" s="68">
        <f>G354*AN354</f>
        <v>0</v>
      </c>
      <c r="J354" s="68">
        <f>G354*AO354</f>
        <v>0</v>
      </c>
      <c r="K354" s="68">
        <f>G354*H354</f>
        <v>0</v>
      </c>
      <c r="Y354" s="20">
        <f>IF(AP354="5",BI354,0)</f>
        <v>0</v>
      </c>
      <c r="AA354" s="20">
        <f>IF(AP354="1",BG354,0)</f>
        <v>0</v>
      </c>
      <c r="AB354" s="20">
        <f>IF(AP354="1",BH354,0)</f>
        <v>0</v>
      </c>
      <c r="AC354" s="20">
        <f>IF(AP354="7",BG354,0)</f>
        <v>0</v>
      </c>
      <c r="AD354" s="20">
        <f>IF(AP354="7",BH354,0)</f>
        <v>0</v>
      </c>
      <c r="AE354" s="20">
        <f>IF(AP354="2",BG354,0)</f>
        <v>0</v>
      </c>
      <c r="AF354" s="20">
        <f>IF(AP354="2",BH354,0)</f>
        <v>0</v>
      </c>
      <c r="AG354" s="20">
        <f>IF(AP354="0",BI354,0)</f>
        <v>0</v>
      </c>
      <c r="AH354" s="15" t="s">
        <v>135</v>
      </c>
      <c r="AI354" s="13">
        <f>IF(AM354=0,K354,0)</f>
        <v>0</v>
      </c>
      <c r="AJ354" s="13">
        <f>IF(AM354=15,K354,0)</f>
        <v>0</v>
      </c>
      <c r="AK354" s="13">
        <f>IF(AM354=21,K354,0)</f>
        <v>0</v>
      </c>
      <c r="AM354" s="20">
        <v>15</v>
      </c>
      <c r="AN354" s="20">
        <f>H354*1</f>
        <v>0</v>
      </c>
      <c r="AO354" s="20">
        <f>H354*(1-1)</f>
        <v>0</v>
      </c>
      <c r="AP354" s="17" t="s">
        <v>262</v>
      </c>
      <c r="AU354" s="20">
        <f>AV354+AW354</f>
        <v>0</v>
      </c>
      <c r="AV354" s="20">
        <f>G354*AN354</f>
        <v>0</v>
      </c>
      <c r="AW354" s="20">
        <f>G354*AO354</f>
        <v>0</v>
      </c>
      <c r="AX354" s="21" t="s">
        <v>159</v>
      </c>
      <c r="AY354" s="21" t="s">
        <v>180</v>
      </c>
      <c r="AZ354" s="15" t="s">
        <v>190</v>
      </c>
      <c r="BB354" s="20">
        <f>AV354+AW354</f>
        <v>0</v>
      </c>
      <c r="BC354" s="20">
        <f>H354/(100-BD354)*100</f>
        <v>0</v>
      </c>
      <c r="BD354" s="20">
        <v>0</v>
      </c>
      <c r="BE354" s="20">
        <f>354</f>
        <v>354</v>
      </c>
      <c r="BG354" s="13">
        <f>G354*AN354</f>
        <v>0</v>
      </c>
      <c r="BH354" s="13">
        <f>G354*AO354</f>
        <v>0</v>
      </c>
      <c r="BI354" s="13">
        <f>G354*H354</f>
        <v>0</v>
      </c>
    </row>
    <row r="355" spans="1:11" ht="12.75">
      <c r="A355" s="69"/>
      <c r="B355" s="69"/>
      <c r="C355" s="157" t="s">
        <v>990</v>
      </c>
      <c r="D355" s="150"/>
      <c r="E355" s="150"/>
      <c r="F355" s="69"/>
      <c r="G355" s="70">
        <v>0.10648</v>
      </c>
      <c r="H355" s="69"/>
      <c r="I355" s="69"/>
      <c r="J355" s="69"/>
      <c r="K355" s="69"/>
    </row>
    <row r="356" spans="1:61" ht="12.75">
      <c r="A356" s="67" t="s">
        <v>389</v>
      </c>
      <c r="B356" s="67" t="s">
        <v>603</v>
      </c>
      <c r="C356" s="155" t="s">
        <v>991</v>
      </c>
      <c r="D356" s="156"/>
      <c r="E356" s="156"/>
      <c r="F356" s="67" t="s">
        <v>103</v>
      </c>
      <c r="G356" s="68">
        <v>0.08369</v>
      </c>
      <c r="H356" s="68">
        <v>0</v>
      </c>
      <c r="I356" s="68">
        <f>G356*AN356</f>
        <v>0</v>
      </c>
      <c r="J356" s="68">
        <f>G356*AO356</f>
        <v>0</v>
      </c>
      <c r="K356" s="68">
        <f>G356*H356</f>
        <v>0</v>
      </c>
      <c r="Y356" s="20">
        <f>IF(AP356="5",BI356,0)</f>
        <v>0</v>
      </c>
      <c r="AA356" s="20">
        <f>IF(AP356="1",BG356,0)</f>
        <v>0</v>
      </c>
      <c r="AB356" s="20">
        <f>IF(AP356="1",BH356,0)</f>
        <v>0</v>
      </c>
      <c r="AC356" s="20">
        <f>IF(AP356="7",BG356,0)</f>
        <v>0</v>
      </c>
      <c r="AD356" s="20">
        <f>IF(AP356="7",BH356,0)</f>
        <v>0</v>
      </c>
      <c r="AE356" s="20">
        <f>IF(AP356="2",BG356,0)</f>
        <v>0</v>
      </c>
      <c r="AF356" s="20">
        <f>IF(AP356="2",BH356,0)</f>
        <v>0</v>
      </c>
      <c r="AG356" s="20">
        <f>IF(AP356="0",BI356,0)</f>
        <v>0</v>
      </c>
      <c r="AH356" s="15" t="s">
        <v>135</v>
      </c>
      <c r="AI356" s="13">
        <f>IF(AM356=0,K356,0)</f>
        <v>0</v>
      </c>
      <c r="AJ356" s="13">
        <f>IF(AM356=15,K356,0)</f>
        <v>0</v>
      </c>
      <c r="AK356" s="13">
        <f>IF(AM356=21,K356,0)</f>
        <v>0</v>
      </c>
      <c r="AM356" s="20">
        <v>15</v>
      </c>
      <c r="AN356" s="20">
        <f>H356*1</f>
        <v>0</v>
      </c>
      <c r="AO356" s="20">
        <f>H356*(1-1)</f>
        <v>0</v>
      </c>
      <c r="AP356" s="17" t="s">
        <v>262</v>
      </c>
      <c r="AU356" s="20">
        <f>AV356+AW356</f>
        <v>0</v>
      </c>
      <c r="AV356" s="20">
        <f>G356*AN356</f>
        <v>0</v>
      </c>
      <c r="AW356" s="20">
        <f>G356*AO356</f>
        <v>0</v>
      </c>
      <c r="AX356" s="21" t="s">
        <v>159</v>
      </c>
      <c r="AY356" s="21" t="s">
        <v>180</v>
      </c>
      <c r="AZ356" s="15" t="s">
        <v>190</v>
      </c>
      <c r="BB356" s="20">
        <f>AV356+AW356</f>
        <v>0</v>
      </c>
      <c r="BC356" s="20">
        <f>H356/(100-BD356)*100</f>
        <v>0</v>
      </c>
      <c r="BD356" s="20">
        <v>0</v>
      </c>
      <c r="BE356" s="20">
        <f>356</f>
        <v>356</v>
      </c>
      <c r="BG356" s="13">
        <f>G356*AN356</f>
        <v>0</v>
      </c>
      <c r="BH356" s="13">
        <f>G356*AO356</f>
        <v>0</v>
      </c>
      <c r="BI356" s="13">
        <f>G356*H356</f>
        <v>0</v>
      </c>
    </row>
    <row r="357" spans="1:11" ht="12.75">
      <c r="A357" s="69"/>
      <c r="B357" s="69"/>
      <c r="C357" s="157" t="s">
        <v>992</v>
      </c>
      <c r="D357" s="150"/>
      <c r="E357" s="150"/>
      <c r="F357" s="69"/>
      <c r="G357" s="70">
        <v>0.08369</v>
      </c>
      <c r="H357" s="69"/>
      <c r="I357" s="69"/>
      <c r="J357" s="69"/>
      <c r="K357" s="69"/>
    </row>
    <row r="358" spans="1:61" ht="12.75">
      <c r="A358" s="67" t="s">
        <v>390</v>
      </c>
      <c r="B358" s="67" t="s">
        <v>603</v>
      </c>
      <c r="C358" s="155" t="s">
        <v>993</v>
      </c>
      <c r="D358" s="156"/>
      <c r="E358" s="156"/>
      <c r="F358" s="67" t="s">
        <v>103</v>
      </c>
      <c r="G358" s="68">
        <v>0.04967</v>
      </c>
      <c r="H358" s="68">
        <v>0</v>
      </c>
      <c r="I358" s="68">
        <f>G358*AN358</f>
        <v>0</v>
      </c>
      <c r="J358" s="68">
        <f>G358*AO358</f>
        <v>0</v>
      </c>
      <c r="K358" s="68">
        <f>G358*H358</f>
        <v>0</v>
      </c>
      <c r="Y358" s="20">
        <f>IF(AP358="5",BI358,0)</f>
        <v>0</v>
      </c>
      <c r="AA358" s="20">
        <f>IF(AP358="1",BG358,0)</f>
        <v>0</v>
      </c>
      <c r="AB358" s="20">
        <f>IF(AP358="1",BH358,0)</f>
        <v>0</v>
      </c>
      <c r="AC358" s="20">
        <f>IF(AP358="7",BG358,0)</f>
        <v>0</v>
      </c>
      <c r="AD358" s="20">
        <f>IF(AP358="7",BH358,0)</f>
        <v>0</v>
      </c>
      <c r="AE358" s="20">
        <f>IF(AP358="2",BG358,0)</f>
        <v>0</v>
      </c>
      <c r="AF358" s="20">
        <f>IF(AP358="2",BH358,0)</f>
        <v>0</v>
      </c>
      <c r="AG358" s="20">
        <f>IF(AP358="0",BI358,0)</f>
        <v>0</v>
      </c>
      <c r="AH358" s="15" t="s">
        <v>135</v>
      </c>
      <c r="AI358" s="13">
        <f>IF(AM358=0,K358,0)</f>
        <v>0</v>
      </c>
      <c r="AJ358" s="13">
        <f>IF(AM358=15,K358,0)</f>
        <v>0</v>
      </c>
      <c r="AK358" s="13">
        <f>IF(AM358=21,K358,0)</f>
        <v>0</v>
      </c>
      <c r="AM358" s="20">
        <v>15</v>
      </c>
      <c r="AN358" s="20">
        <f>H358*1</f>
        <v>0</v>
      </c>
      <c r="AO358" s="20">
        <f>H358*(1-1)</f>
        <v>0</v>
      </c>
      <c r="AP358" s="17" t="s">
        <v>262</v>
      </c>
      <c r="AU358" s="20">
        <f>AV358+AW358</f>
        <v>0</v>
      </c>
      <c r="AV358" s="20">
        <f>G358*AN358</f>
        <v>0</v>
      </c>
      <c r="AW358" s="20">
        <f>G358*AO358</f>
        <v>0</v>
      </c>
      <c r="AX358" s="21" t="s">
        <v>159</v>
      </c>
      <c r="AY358" s="21" t="s">
        <v>180</v>
      </c>
      <c r="AZ358" s="15" t="s">
        <v>190</v>
      </c>
      <c r="BB358" s="20">
        <f>AV358+AW358</f>
        <v>0</v>
      </c>
      <c r="BC358" s="20">
        <f>H358/(100-BD358)*100</f>
        <v>0</v>
      </c>
      <c r="BD358" s="20">
        <v>0</v>
      </c>
      <c r="BE358" s="20">
        <f>358</f>
        <v>358</v>
      </c>
      <c r="BG358" s="13">
        <f>G358*AN358</f>
        <v>0</v>
      </c>
      <c r="BH358" s="13">
        <f>G358*AO358</f>
        <v>0</v>
      </c>
      <c r="BI358" s="13">
        <f>G358*H358</f>
        <v>0</v>
      </c>
    </row>
    <row r="359" spans="1:11" ht="12.75">
      <c r="A359" s="69"/>
      <c r="B359" s="69"/>
      <c r="C359" s="157" t="s">
        <v>994</v>
      </c>
      <c r="D359" s="150"/>
      <c r="E359" s="150"/>
      <c r="F359" s="69"/>
      <c r="G359" s="70">
        <v>0.04967</v>
      </c>
      <c r="H359" s="69"/>
      <c r="I359" s="69"/>
      <c r="J359" s="69"/>
      <c r="K359" s="69"/>
    </row>
    <row r="360" spans="1:61" ht="12.75">
      <c r="A360" s="67" t="s">
        <v>391</v>
      </c>
      <c r="B360" s="67" t="s">
        <v>603</v>
      </c>
      <c r="C360" s="155" t="s">
        <v>995</v>
      </c>
      <c r="D360" s="156"/>
      <c r="E360" s="156"/>
      <c r="F360" s="67" t="s">
        <v>103</v>
      </c>
      <c r="G360" s="68">
        <v>0.04967</v>
      </c>
      <c r="H360" s="68">
        <v>0</v>
      </c>
      <c r="I360" s="68">
        <f>G360*AN360</f>
        <v>0</v>
      </c>
      <c r="J360" s="68">
        <f>G360*AO360</f>
        <v>0</v>
      </c>
      <c r="K360" s="68">
        <f>G360*H360</f>
        <v>0</v>
      </c>
      <c r="Y360" s="20">
        <f>IF(AP360="5",BI360,0)</f>
        <v>0</v>
      </c>
      <c r="AA360" s="20">
        <f>IF(AP360="1",BG360,0)</f>
        <v>0</v>
      </c>
      <c r="AB360" s="20">
        <f>IF(AP360="1",BH360,0)</f>
        <v>0</v>
      </c>
      <c r="AC360" s="20">
        <f>IF(AP360="7",BG360,0)</f>
        <v>0</v>
      </c>
      <c r="AD360" s="20">
        <f>IF(AP360="7",BH360,0)</f>
        <v>0</v>
      </c>
      <c r="AE360" s="20">
        <f>IF(AP360="2",BG360,0)</f>
        <v>0</v>
      </c>
      <c r="AF360" s="20">
        <f>IF(AP360="2",BH360,0)</f>
        <v>0</v>
      </c>
      <c r="AG360" s="20">
        <f>IF(AP360="0",BI360,0)</f>
        <v>0</v>
      </c>
      <c r="AH360" s="15" t="s">
        <v>135</v>
      </c>
      <c r="AI360" s="13">
        <f>IF(AM360=0,K360,0)</f>
        <v>0</v>
      </c>
      <c r="AJ360" s="13">
        <f>IF(AM360=15,K360,0)</f>
        <v>0</v>
      </c>
      <c r="AK360" s="13">
        <f>IF(AM360=21,K360,0)</f>
        <v>0</v>
      </c>
      <c r="AM360" s="20">
        <v>15</v>
      </c>
      <c r="AN360" s="20">
        <f>H360*1</f>
        <v>0</v>
      </c>
      <c r="AO360" s="20">
        <f>H360*(1-1)</f>
        <v>0</v>
      </c>
      <c r="AP360" s="17" t="s">
        <v>262</v>
      </c>
      <c r="AU360" s="20">
        <f>AV360+AW360</f>
        <v>0</v>
      </c>
      <c r="AV360" s="20">
        <f>G360*AN360</f>
        <v>0</v>
      </c>
      <c r="AW360" s="20">
        <f>G360*AO360</f>
        <v>0</v>
      </c>
      <c r="AX360" s="21" t="s">
        <v>159</v>
      </c>
      <c r="AY360" s="21" t="s">
        <v>180</v>
      </c>
      <c r="AZ360" s="15" t="s">
        <v>190</v>
      </c>
      <c r="BB360" s="20">
        <f>AV360+AW360</f>
        <v>0</v>
      </c>
      <c r="BC360" s="20">
        <f>H360/(100-BD360)*100</f>
        <v>0</v>
      </c>
      <c r="BD360" s="20">
        <v>0</v>
      </c>
      <c r="BE360" s="20">
        <f>360</f>
        <v>360</v>
      </c>
      <c r="BG360" s="13">
        <f>G360*AN360</f>
        <v>0</v>
      </c>
      <c r="BH360" s="13">
        <f>G360*AO360</f>
        <v>0</v>
      </c>
      <c r="BI360" s="13">
        <f>G360*H360</f>
        <v>0</v>
      </c>
    </row>
    <row r="361" spans="1:11" ht="12.75">
      <c r="A361" s="69"/>
      <c r="B361" s="69"/>
      <c r="C361" s="157" t="s">
        <v>994</v>
      </c>
      <c r="D361" s="150"/>
      <c r="E361" s="150"/>
      <c r="F361" s="69"/>
      <c r="G361" s="70">
        <v>0.04967</v>
      </c>
      <c r="H361" s="69"/>
      <c r="I361" s="69"/>
      <c r="J361" s="69"/>
      <c r="K361" s="69"/>
    </row>
    <row r="362" spans="1:61" ht="12.75">
      <c r="A362" s="67" t="s">
        <v>392</v>
      </c>
      <c r="B362" s="67" t="s">
        <v>603</v>
      </c>
      <c r="C362" s="155" t="s">
        <v>996</v>
      </c>
      <c r="D362" s="156"/>
      <c r="E362" s="156"/>
      <c r="F362" s="67" t="s">
        <v>103</v>
      </c>
      <c r="G362" s="68">
        <v>0.03946</v>
      </c>
      <c r="H362" s="68">
        <v>0</v>
      </c>
      <c r="I362" s="68">
        <f>G362*AN362</f>
        <v>0</v>
      </c>
      <c r="J362" s="68">
        <f>G362*AO362</f>
        <v>0</v>
      </c>
      <c r="K362" s="68">
        <f>G362*H362</f>
        <v>0</v>
      </c>
      <c r="Y362" s="20">
        <f>IF(AP362="5",BI362,0)</f>
        <v>0</v>
      </c>
      <c r="AA362" s="20">
        <f>IF(AP362="1",BG362,0)</f>
        <v>0</v>
      </c>
      <c r="AB362" s="20">
        <f>IF(AP362="1",BH362,0)</f>
        <v>0</v>
      </c>
      <c r="AC362" s="20">
        <f>IF(AP362="7",BG362,0)</f>
        <v>0</v>
      </c>
      <c r="AD362" s="20">
        <f>IF(AP362="7",BH362,0)</f>
        <v>0</v>
      </c>
      <c r="AE362" s="20">
        <f>IF(AP362="2",BG362,0)</f>
        <v>0</v>
      </c>
      <c r="AF362" s="20">
        <f>IF(AP362="2",BH362,0)</f>
        <v>0</v>
      </c>
      <c r="AG362" s="20">
        <f>IF(AP362="0",BI362,0)</f>
        <v>0</v>
      </c>
      <c r="AH362" s="15" t="s">
        <v>135</v>
      </c>
      <c r="AI362" s="13">
        <f>IF(AM362=0,K362,0)</f>
        <v>0</v>
      </c>
      <c r="AJ362" s="13">
        <f>IF(AM362=15,K362,0)</f>
        <v>0</v>
      </c>
      <c r="AK362" s="13">
        <f>IF(AM362=21,K362,0)</f>
        <v>0</v>
      </c>
      <c r="AM362" s="20">
        <v>15</v>
      </c>
      <c r="AN362" s="20">
        <f>H362*1</f>
        <v>0</v>
      </c>
      <c r="AO362" s="20">
        <f>H362*(1-1)</f>
        <v>0</v>
      </c>
      <c r="AP362" s="17" t="s">
        <v>262</v>
      </c>
      <c r="AU362" s="20">
        <f>AV362+AW362</f>
        <v>0</v>
      </c>
      <c r="AV362" s="20">
        <f>G362*AN362</f>
        <v>0</v>
      </c>
      <c r="AW362" s="20">
        <f>G362*AO362</f>
        <v>0</v>
      </c>
      <c r="AX362" s="21" t="s">
        <v>159</v>
      </c>
      <c r="AY362" s="21" t="s">
        <v>180</v>
      </c>
      <c r="AZ362" s="15" t="s">
        <v>190</v>
      </c>
      <c r="BB362" s="20">
        <f>AV362+AW362</f>
        <v>0</v>
      </c>
      <c r="BC362" s="20">
        <f>H362/(100-BD362)*100</f>
        <v>0</v>
      </c>
      <c r="BD362" s="20">
        <v>0</v>
      </c>
      <c r="BE362" s="20">
        <f>362</f>
        <v>362</v>
      </c>
      <c r="BG362" s="13">
        <f>G362*AN362</f>
        <v>0</v>
      </c>
      <c r="BH362" s="13">
        <f>G362*AO362</f>
        <v>0</v>
      </c>
      <c r="BI362" s="13">
        <f>G362*H362</f>
        <v>0</v>
      </c>
    </row>
    <row r="363" spans="1:11" ht="12.75">
      <c r="A363" s="69"/>
      <c r="B363" s="69"/>
      <c r="C363" s="157" t="s">
        <v>997</v>
      </c>
      <c r="D363" s="150"/>
      <c r="E363" s="150"/>
      <c r="F363" s="69"/>
      <c r="G363" s="70">
        <v>0.03946</v>
      </c>
      <c r="H363" s="69"/>
      <c r="I363" s="69"/>
      <c r="J363" s="69"/>
      <c r="K363" s="69"/>
    </row>
    <row r="364" spans="1:61" ht="12.75">
      <c r="A364" s="67" t="s">
        <v>393</v>
      </c>
      <c r="B364" s="67" t="s">
        <v>603</v>
      </c>
      <c r="C364" s="155" t="s">
        <v>998</v>
      </c>
      <c r="D364" s="156"/>
      <c r="E364" s="156"/>
      <c r="F364" s="67" t="s">
        <v>103</v>
      </c>
      <c r="G364" s="68">
        <v>0.01962</v>
      </c>
      <c r="H364" s="68">
        <v>0</v>
      </c>
      <c r="I364" s="68">
        <f>G364*AN364</f>
        <v>0</v>
      </c>
      <c r="J364" s="68">
        <f>G364*AO364</f>
        <v>0</v>
      </c>
      <c r="K364" s="68">
        <f>G364*H364</f>
        <v>0</v>
      </c>
      <c r="Y364" s="20">
        <f>IF(AP364="5",BI364,0)</f>
        <v>0</v>
      </c>
      <c r="AA364" s="20">
        <f>IF(AP364="1",BG364,0)</f>
        <v>0</v>
      </c>
      <c r="AB364" s="20">
        <f>IF(AP364="1",BH364,0)</f>
        <v>0</v>
      </c>
      <c r="AC364" s="20">
        <f>IF(AP364="7",BG364,0)</f>
        <v>0</v>
      </c>
      <c r="AD364" s="20">
        <f>IF(AP364="7",BH364,0)</f>
        <v>0</v>
      </c>
      <c r="AE364" s="20">
        <f>IF(AP364="2",BG364,0)</f>
        <v>0</v>
      </c>
      <c r="AF364" s="20">
        <f>IF(AP364="2",BH364,0)</f>
        <v>0</v>
      </c>
      <c r="AG364" s="20">
        <f>IF(AP364="0",BI364,0)</f>
        <v>0</v>
      </c>
      <c r="AH364" s="15" t="s">
        <v>135</v>
      </c>
      <c r="AI364" s="13">
        <f>IF(AM364=0,K364,0)</f>
        <v>0</v>
      </c>
      <c r="AJ364" s="13">
        <f>IF(AM364=15,K364,0)</f>
        <v>0</v>
      </c>
      <c r="AK364" s="13">
        <f>IF(AM364=21,K364,0)</f>
        <v>0</v>
      </c>
      <c r="AM364" s="20">
        <v>15</v>
      </c>
      <c r="AN364" s="20">
        <f>H364*1</f>
        <v>0</v>
      </c>
      <c r="AO364" s="20">
        <f>H364*(1-1)</f>
        <v>0</v>
      </c>
      <c r="AP364" s="17" t="s">
        <v>262</v>
      </c>
      <c r="AU364" s="20">
        <f>AV364+AW364</f>
        <v>0</v>
      </c>
      <c r="AV364" s="20">
        <f>G364*AN364</f>
        <v>0</v>
      </c>
      <c r="AW364" s="20">
        <f>G364*AO364</f>
        <v>0</v>
      </c>
      <c r="AX364" s="21" t="s">
        <v>159</v>
      </c>
      <c r="AY364" s="21" t="s">
        <v>180</v>
      </c>
      <c r="AZ364" s="15" t="s">
        <v>190</v>
      </c>
      <c r="BB364" s="20">
        <f>AV364+AW364</f>
        <v>0</v>
      </c>
      <c r="BC364" s="20">
        <f>H364/(100-BD364)*100</f>
        <v>0</v>
      </c>
      <c r="BD364" s="20">
        <v>0</v>
      </c>
      <c r="BE364" s="20">
        <f>364</f>
        <v>364</v>
      </c>
      <c r="BG364" s="13">
        <f>G364*AN364</f>
        <v>0</v>
      </c>
      <c r="BH364" s="13">
        <f>G364*AO364</f>
        <v>0</v>
      </c>
      <c r="BI364" s="13">
        <f>G364*H364</f>
        <v>0</v>
      </c>
    </row>
    <row r="365" spans="1:11" ht="12.75">
      <c r="A365" s="69"/>
      <c r="B365" s="69"/>
      <c r="C365" s="157" t="s">
        <v>999</v>
      </c>
      <c r="D365" s="150"/>
      <c r="E365" s="150"/>
      <c r="F365" s="69"/>
      <c r="G365" s="70">
        <v>0.01962</v>
      </c>
      <c r="H365" s="69"/>
      <c r="I365" s="69"/>
      <c r="J365" s="69"/>
      <c r="K365" s="69"/>
    </row>
    <row r="366" spans="1:61" ht="12.75">
      <c r="A366" s="67" t="s">
        <v>394</v>
      </c>
      <c r="B366" s="67" t="s">
        <v>603</v>
      </c>
      <c r="C366" s="155" t="s">
        <v>1000</v>
      </c>
      <c r="D366" s="156"/>
      <c r="E366" s="156"/>
      <c r="F366" s="67" t="s">
        <v>103</v>
      </c>
      <c r="G366" s="68">
        <v>0.17078</v>
      </c>
      <c r="H366" s="68">
        <v>0</v>
      </c>
      <c r="I366" s="68">
        <f>G366*AN366</f>
        <v>0</v>
      </c>
      <c r="J366" s="68">
        <f>G366*AO366</f>
        <v>0</v>
      </c>
      <c r="K366" s="68">
        <f>G366*H366</f>
        <v>0</v>
      </c>
      <c r="Y366" s="20">
        <f>IF(AP366="5",BI366,0)</f>
        <v>0</v>
      </c>
      <c r="AA366" s="20">
        <f>IF(AP366="1",BG366,0)</f>
        <v>0</v>
      </c>
      <c r="AB366" s="20">
        <f>IF(AP366="1",BH366,0)</f>
        <v>0</v>
      </c>
      <c r="AC366" s="20">
        <f>IF(AP366="7",BG366,0)</f>
        <v>0</v>
      </c>
      <c r="AD366" s="20">
        <f>IF(AP366="7",BH366,0)</f>
        <v>0</v>
      </c>
      <c r="AE366" s="20">
        <f>IF(AP366="2",BG366,0)</f>
        <v>0</v>
      </c>
      <c r="AF366" s="20">
        <f>IF(AP366="2",BH366,0)</f>
        <v>0</v>
      </c>
      <c r="AG366" s="20">
        <f>IF(AP366="0",BI366,0)</f>
        <v>0</v>
      </c>
      <c r="AH366" s="15" t="s">
        <v>135</v>
      </c>
      <c r="AI366" s="13">
        <f>IF(AM366=0,K366,0)</f>
        <v>0</v>
      </c>
      <c r="AJ366" s="13">
        <f>IF(AM366=15,K366,0)</f>
        <v>0</v>
      </c>
      <c r="AK366" s="13">
        <f>IF(AM366=21,K366,0)</f>
        <v>0</v>
      </c>
      <c r="AM366" s="20">
        <v>15</v>
      </c>
      <c r="AN366" s="20">
        <f>H366*1</f>
        <v>0</v>
      </c>
      <c r="AO366" s="20">
        <f>H366*(1-1)</f>
        <v>0</v>
      </c>
      <c r="AP366" s="17" t="s">
        <v>262</v>
      </c>
      <c r="AU366" s="20">
        <f>AV366+AW366</f>
        <v>0</v>
      </c>
      <c r="AV366" s="20">
        <f>G366*AN366</f>
        <v>0</v>
      </c>
      <c r="AW366" s="20">
        <f>G366*AO366</f>
        <v>0</v>
      </c>
      <c r="AX366" s="21" t="s">
        <v>159</v>
      </c>
      <c r="AY366" s="21" t="s">
        <v>180</v>
      </c>
      <c r="AZ366" s="15" t="s">
        <v>190</v>
      </c>
      <c r="BB366" s="20">
        <f>AV366+AW366</f>
        <v>0</v>
      </c>
      <c r="BC366" s="20">
        <f>H366/(100-BD366)*100</f>
        <v>0</v>
      </c>
      <c r="BD366" s="20">
        <v>0</v>
      </c>
      <c r="BE366" s="20">
        <f>366</f>
        <v>366</v>
      </c>
      <c r="BG366" s="13">
        <f>G366*AN366</f>
        <v>0</v>
      </c>
      <c r="BH366" s="13">
        <f>G366*AO366</f>
        <v>0</v>
      </c>
      <c r="BI366" s="13">
        <f>G366*H366</f>
        <v>0</v>
      </c>
    </row>
    <row r="367" spans="1:11" ht="12.75">
      <c r="A367" s="69"/>
      <c r="B367" s="69"/>
      <c r="C367" s="157" t="s">
        <v>1001</v>
      </c>
      <c r="D367" s="150"/>
      <c r="E367" s="150"/>
      <c r="F367" s="69"/>
      <c r="G367" s="70">
        <v>0.17078</v>
      </c>
      <c r="H367" s="69"/>
      <c r="I367" s="69"/>
      <c r="J367" s="69"/>
      <c r="K367" s="69"/>
    </row>
    <row r="368" spans="1:61" ht="12.75">
      <c r="A368" s="67" t="s">
        <v>395</v>
      </c>
      <c r="B368" s="67" t="s">
        <v>604</v>
      </c>
      <c r="C368" s="155" t="s">
        <v>1002</v>
      </c>
      <c r="D368" s="156"/>
      <c r="E368" s="156"/>
      <c r="F368" s="67" t="s">
        <v>103</v>
      </c>
      <c r="G368" s="68">
        <v>0.0797</v>
      </c>
      <c r="H368" s="68">
        <v>0</v>
      </c>
      <c r="I368" s="68">
        <f>G368*AN368</f>
        <v>0</v>
      </c>
      <c r="J368" s="68">
        <f>G368*AO368</f>
        <v>0</v>
      </c>
      <c r="K368" s="68">
        <f>G368*H368</f>
        <v>0</v>
      </c>
      <c r="Y368" s="20">
        <f>IF(AP368="5",BI368,0)</f>
        <v>0</v>
      </c>
      <c r="AA368" s="20">
        <f>IF(AP368="1",BG368,0)</f>
        <v>0</v>
      </c>
      <c r="AB368" s="20">
        <f>IF(AP368="1",BH368,0)</f>
        <v>0</v>
      </c>
      <c r="AC368" s="20">
        <f>IF(AP368="7",BG368,0)</f>
        <v>0</v>
      </c>
      <c r="AD368" s="20">
        <f>IF(AP368="7",BH368,0)</f>
        <v>0</v>
      </c>
      <c r="AE368" s="20">
        <f>IF(AP368="2",BG368,0)</f>
        <v>0</v>
      </c>
      <c r="AF368" s="20">
        <f>IF(AP368="2",BH368,0)</f>
        <v>0</v>
      </c>
      <c r="AG368" s="20">
        <f>IF(AP368="0",BI368,0)</f>
        <v>0</v>
      </c>
      <c r="AH368" s="15" t="s">
        <v>135</v>
      </c>
      <c r="AI368" s="13">
        <f>IF(AM368=0,K368,0)</f>
        <v>0</v>
      </c>
      <c r="AJ368" s="13">
        <f>IF(AM368=15,K368,0)</f>
        <v>0</v>
      </c>
      <c r="AK368" s="13">
        <f>IF(AM368=21,K368,0)</f>
        <v>0</v>
      </c>
      <c r="AM368" s="20">
        <v>15</v>
      </c>
      <c r="AN368" s="20">
        <f>H368*1</f>
        <v>0</v>
      </c>
      <c r="AO368" s="20">
        <f>H368*(1-1)</f>
        <v>0</v>
      </c>
      <c r="AP368" s="17" t="s">
        <v>262</v>
      </c>
      <c r="AU368" s="20">
        <f>AV368+AW368</f>
        <v>0</v>
      </c>
      <c r="AV368" s="20">
        <f>G368*AN368</f>
        <v>0</v>
      </c>
      <c r="AW368" s="20">
        <f>G368*AO368</f>
        <v>0</v>
      </c>
      <c r="AX368" s="21" t="s">
        <v>159</v>
      </c>
      <c r="AY368" s="21" t="s">
        <v>180</v>
      </c>
      <c r="AZ368" s="15" t="s">
        <v>190</v>
      </c>
      <c r="BB368" s="20">
        <f>AV368+AW368</f>
        <v>0</v>
      </c>
      <c r="BC368" s="20">
        <f>H368/(100-BD368)*100</f>
        <v>0</v>
      </c>
      <c r="BD368" s="20">
        <v>0</v>
      </c>
      <c r="BE368" s="20">
        <f>368</f>
        <v>368</v>
      </c>
      <c r="BG368" s="13">
        <f>G368*AN368</f>
        <v>0</v>
      </c>
      <c r="BH368" s="13">
        <f>G368*AO368</f>
        <v>0</v>
      </c>
      <c r="BI368" s="13">
        <f>G368*H368</f>
        <v>0</v>
      </c>
    </row>
    <row r="369" spans="1:11" ht="12.75">
      <c r="A369" s="69"/>
      <c r="B369" s="69"/>
      <c r="C369" s="157" t="s">
        <v>1003</v>
      </c>
      <c r="D369" s="150"/>
      <c r="E369" s="150"/>
      <c r="F369" s="69"/>
      <c r="G369" s="70">
        <v>0.0797</v>
      </c>
      <c r="H369" s="69"/>
      <c r="I369" s="69"/>
      <c r="J369" s="69"/>
      <c r="K369" s="69"/>
    </row>
    <row r="370" spans="1:61" ht="12.75">
      <c r="A370" s="67" t="s">
        <v>396</v>
      </c>
      <c r="B370" s="67" t="s">
        <v>604</v>
      </c>
      <c r="C370" s="155" t="s">
        <v>1004</v>
      </c>
      <c r="D370" s="156"/>
      <c r="E370" s="156"/>
      <c r="F370" s="67" t="s">
        <v>103</v>
      </c>
      <c r="G370" s="68">
        <v>0.03064</v>
      </c>
      <c r="H370" s="68">
        <v>0</v>
      </c>
      <c r="I370" s="68">
        <f>G370*AN370</f>
        <v>0</v>
      </c>
      <c r="J370" s="68">
        <f>G370*AO370</f>
        <v>0</v>
      </c>
      <c r="K370" s="68">
        <f>G370*H370</f>
        <v>0</v>
      </c>
      <c r="Y370" s="20">
        <f>IF(AP370="5",BI370,0)</f>
        <v>0</v>
      </c>
      <c r="AA370" s="20">
        <f>IF(AP370="1",BG370,0)</f>
        <v>0</v>
      </c>
      <c r="AB370" s="20">
        <f>IF(AP370="1",BH370,0)</f>
        <v>0</v>
      </c>
      <c r="AC370" s="20">
        <f>IF(AP370="7",BG370,0)</f>
        <v>0</v>
      </c>
      <c r="AD370" s="20">
        <f>IF(AP370="7",BH370,0)</f>
        <v>0</v>
      </c>
      <c r="AE370" s="20">
        <f>IF(AP370="2",BG370,0)</f>
        <v>0</v>
      </c>
      <c r="AF370" s="20">
        <f>IF(AP370="2",BH370,0)</f>
        <v>0</v>
      </c>
      <c r="AG370" s="20">
        <f>IF(AP370="0",BI370,0)</f>
        <v>0</v>
      </c>
      <c r="AH370" s="15" t="s">
        <v>135</v>
      </c>
      <c r="AI370" s="13">
        <f>IF(AM370=0,K370,0)</f>
        <v>0</v>
      </c>
      <c r="AJ370" s="13">
        <f>IF(AM370=15,K370,0)</f>
        <v>0</v>
      </c>
      <c r="AK370" s="13">
        <f>IF(AM370=21,K370,0)</f>
        <v>0</v>
      </c>
      <c r="AM370" s="20">
        <v>15</v>
      </c>
      <c r="AN370" s="20">
        <f>H370*1</f>
        <v>0</v>
      </c>
      <c r="AO370" s="20">
        <f>H370*(1-1)</f>
        <v>0</v>
      </c>
      <c r="AP370" s="17" t="s">
        <v>262</v>
      </c>
      <c r="AU370" s="20">
        <f>AV370+AW370</f>
        <v>0</v>
      </c>
      <c r="AV370" s="20">
        <f>G370*AN370</f>
        <v>0</v>
      </c>
      <c r="AW370" s="20">
        <f>G370*AO370</f>
        <v>0</v>
      </c>
      <c r="AX370" s="21" t="s">
        <v>159</v>
      </c>
      <c r="AY370" s="21" t="s">
        <v>180</v>
      </c>
      <c r="AZ370" s="15" t="s">
        <v>190</v>
      </c>
      <c r="BB370" s="20">
        <f>AV370+AW370</f>
        <v>0</v>
      </c>
      <c r="BC370" s="20">
        <f>H370/(100-BD370)*100</f>
        <v>0</v>
      </c>
      <c r="BD370" s="20">
        <v>0</v>
      </c>
      <c r="BE370" s="20">
        <f>370</f>
        <v>370</v>
      </c>
      <c r="BG370" s="13">
        <f>G370*AN370</f>
        <v>0</v>
      </c>
      <c r="BH370" s="13">
        <f>G370*AO370</f>
        <v>0</v>
      </c>
      <c r="BI370" s="13">
        <f>G370*H370</f>
        <v>0</v>
      </c>
    </row>
    <row r="371" spans="1:11" ht="12.75">
      <c r="A371" s="69"/>
      <c r="B371" s="69"/>
      <c r="C371" s="157" t="s">
        <v>1005</v>
      </c>
      <c r="D371" s="150"/>
      <c r="E371" s="150"/>
      <c r="F371" s="69"/>
      <c r="G371" s="70">
        <v>0.03064</v>
      </c>
      <c r="H371" s="69"/>
      <c r="I371" s="69"/>
      <c r="J371" s="69"/>
      <c r="K371" s="69"/>
    </row>
    <row r="372" spans="1:61" ht="12.75">
      <c r="A372" s="67" t="s">
        <v>397</v>
      </c>
      <c r="B372" s="67" t="s">
        <v>603</v>
      </c>
      <c r="C372" s="155" t="s">
        <v>1006</v>
      </c>
      <c r="D372" s="156"/>
      <c r="E372" s="156"/>
      <c r="F372" s="67" t="s">
        <v>103</v>
      </c>
      <c r="G372" s="68">
        <v>0.17033</v>
      </c>
      <c r="H372" s="68">
        <v>0</v>
      </c>
      <c r="I372" s="68">
        <f>G372*AN372</f>
        <v>0</v>
      </c>
      <c r="J372" s="68">
        <f>G372*AO372</f>
        <v>0</v>
      </c>
      <c r="K372" s="68">
        <f>G372*H372</f>
        <v>0</v>
      </c>
      <c r="Y372" s="20">
        <f>IF(AP372="5",BI372,0)</f>
        <v>0</v>
      </c>
      <c r="AA372" s="20">
        <f>IF(AP372="1",BG372,0)</f>
        <v>0</v>
      </c>
      <c r="AB372" s="20">
        <f>IF(AP372="1",BH372,0)</f>
        <v>0</v>
      </c>
      <c r="AC372" s="20">
        <f>IF(AP372="7",BG372,0)</f>
        <v>0</v>
      </c>
      <c r="AD372" s="20">
        <f>IF(AP372="7",BH372,0)</f>
        <v>0</v>
      </c>
      <c r="AE372" s="20">
        <f>IF(AP372="2",BG372,0)</f>
        <v>0</v>
      </c>
      <c r="AF372" s="20">
        <f>IF(AP372="2",BH372,0)</f>
        <v>0</v>
      </c>
      <c r="AG372" s="20">
        <f>IF(AP372="0",BI372,0)</f>
        <v>0</v>
      </c>
      <c r="AH372" s="15" t="s">
        <v>135</v>
      </c>
      <c r="AI372" s="13">
        <f>IF(AM372=0,K372,0)</f>
        <v>0</v>
      </c>
      <c r="AJ372" s="13">
        <f>IF(AM372=15,K372,0)</f>
        <v>0</v>
      </c>
      <c r="AK372" s="13">
        <f>IF(AM372=21,K372,0)</f>
        <v>0</v>
      </c>
      <c r="AM372" s="20">
        <v>15</v>
      </c>
      <c r="AN372" s="20">
        <f>H372*1</f>
        <v>0</v>
      </c>
      <c r="AO372" s="20">
        <f>H372*(1-1)</f>
        <v>0</v>
      </c>
      <c r="AP372" s="17" t="s">
        <v>262</v>
      </c>
      <c r="AU372" s="20">
        <f>AV372+AW372</f>
        <v>0</v>
      </c>
      <c r="AV372" s="20">
        <f>G372*AN372</f>
        <v>0</v>
      </c>
      <c r="AW372" s="20">
        <f>G372*AO372</f>
        <v>0</v>
      </c>
      <c r="AX372" s="21" t="s">
        <v>159</v>
      </c>
      <c r="AY372" s="21" t="s">
        <v>180</v>
      </c>
      <c r="AZ372" s="15" t="s">
        <v>190</v>
      </c>
      <c r="BB372" s="20">
        <f>AV372+AW372</f>
        <v>0</v>
      </c>
      <c r="BC372" s="20">
        <f>H372/(100-BD372)*100</f>
        <v>0</v>
      </c>
      <c r="BD372" s="20">
        <v>0</v>
      </c>
      <c r="BE372" s="20">
        <f>372</f>
        <v>372</v>
      </c>
      <c r="BG372" s="13">
        <f>G372*AN372</f>
        <v>0</v>
      </c>
      <c r="BH372" s="13">
        <f>G372*AO372</f>
        <v>0</v>
      </c>
      <c r="BI372" s="13">
        <f>G372*H372</f>
        <v>0</v>
      </c>
    </row>
    <row r="373" spans="1:11" ht="12.75">
      <c r="A373" s="69"/>
      <c r="B373" s="69"/>
      <c r="C373" s="157" t="s">
        <v>1007</v>
      </c>
      <c r="D373" s="150"/>
      <c r="E373" s="150"/>
      <c r="F373" s="69"/>
      <c r="G373" s="70">
        <v>0.17033</v>
      </c>
      <c r="H373" s="69"/>
      <c r="I373" s="69"/>
      <c r="J373" s="69"/>
      <c r="K373" s="69"/>
    </row>
    <row r="374" spans="1:11" ht="12.75">
      <c r="A374" s="69"/>
      <c r="B374" s="69"/>
      <c r="C374" s="157" t="s">
        <v>1008</v>
      </c>
      <c r="D374" s="150"/>
      <c r="E374" s="150"/>
      <c r="F374" s="69"/>
      <c r="G374" s="70">
        <v>0</v>
      </c>
      <c r="H374" s="69"/>
      <c r="I374" s="69"/>
      <c r="J374" s="69"/>
      <c r="K374" s="69"/>
    </row>
    <row r="375" spans="1:61" ht="12.75">
      <c r="A375" s="67" t="s">
        <v>398</v>
      </c>
      <c r="B375" s="67" t="s">
        <v>606</v>
      </c>
      <c r="C375" s="155" t="s">
        <v>1009</v>
      </c>
      <c r="D375" s="156"/>
      <c r="E375" s="156"/>
      <c r="F375" s="67" t="s">
        <v>103</v>
      </c>
      <c r="G375" s="68">
        <v>0.01158</v>
      </c>
      <c r="H375" s="68">
        <v>0</v>
      </c>
      <c r="I375" s="68">
        <f>G375*AN375</f>
        <v>0</v>
      </c>
      <c r="J375" s="68">
        <f>G375*AO375</f>
        <v>0</v>
      </c>
      <c r="K375" s="68">
        <f>G375*H375</f>
        <v>0</v>
      </c>
      <c r="Y375" s="20">
        <f>IF(AP375="5",BI375,0)</f>
        <v>0</v>
      </c>
      <c r="AA375" s="20">
        <f>IF(AP375="1",BG375,0)</f>
        <v>0</v>
      </c>
      <c r="AB375" s="20">
        <f>IF(AP375="1",BH375,0)</f>
        <v>0</v>
      </c>
      <c r="AC375" s="20">
        <f>IF(AP375="7",BG375,0)</f>
        <v>0</v>
      </c>
      <c r="AD375" s="20">
        <f>IF(AP375="7",BH375,0)</f>
        <v>0</v>
      </c>
      <c r="AE375" s="20">
        <f>IF(AP375="2",BG375,0)</f>
        <v>0</v>
      </c>
      <c r="AF375" s="20">
        <f>IF(AP375="2",BH375,0)</f>
        <v>0</v>
      </c>
      <c r="AG375" s="20">
        <f>IF(AP375="0",BI375,0)</f>
        <v>0</v>
      </c>
      <c r="AH375" s="15" t="s">
        <v>135</v>
      </c>
      <c r="AI375" s="13">
        <f>IF(AM375=0,K375,0)</f>
        <v>0</v>
      </c>
      <c r="AJ375" s="13">
        <f>IF(AM375=15,K375,0)</f>
        <v>0</v>
      </c>
      <c r="AK375" s="13">
        <f>IF(AM375=21,K375,0)</f>
        <v>0</v>
      </c>
      <c r="AM375" s="20">
        <v>15</v>
      </c>
      <c r="AN375" s="20">
        <f>H375*1</f>
        <v>0</v>
      </c>
      <c r="AO375" s="20">
        <f>H375*(1-1)</f>
        <v>0</v>
      </c>
      <c r="AP375" s="17" t="s">
        <v>262</v>
      </c>
      <c r="AU375" s="20">
        <f>AV375+AW375</f>
        <v>0</v>
      </c>
      <c r="AV375" s="20">
        <f>G375*AN375</f>
        <v>0</v>
      </c>
      <c r="AW375" s="20">
        <f>G375*AO375</f>
        <v>0</v>
      </c>
      <c r="AX375" s="21" t="s">
        <v>159</v>
      </c>
      <c r="AY375" s="21" t="s">
        <v>180</v>
      </c>
      <c r="AZ375" s="15" t="s">
        <v>190</v>
      </c>
      <c r="BB375" s="20">
        <f>AV375+AW375</f>
        <v>0</v>
      </c>
      <c r="BC375" s="20">
        <f>H375/(100-BD375)*100</f>
        <v>0</v>
      </c>
      <c r="BD375" s="20">
        <v>0</v>
      </c>
      <c r="BE375" s="20">
        <f>375</f>
        <v>375</v>
      </c>
      <c r="BG375" s="13">
        <f>G375*AN375</f>
        <v>0</v>
      </c>
      <c r="BH375" s="13">
        <f>G375*AO375</f>
        <v>0</v>
      </c>
      <c r="BI375" s="13">
        <f>G375*H375</f>
        <v>0</v>
      </c>
    </row>
    <row r="376" spans="1:11" ht="12.75">
      <c r="A376" s="69"/>
      <c r="B376" s="69"/>
      <c r="C376" s="157" t="s">
        <v>1010</v>
      </c>
      <c r="D376" s="150"/>
      <c r="E376" s="150"/>
      <c r="F376" s="69"/>
      <c r="G376" s="70">
        <v>0.01158</v>
      </c>
      <c r="H376" s="69"/>
      <c r="I376" s="69"/>
      <c r="J376" s="69"/>
      <c r="K376" s="69"/>
    </row>
    <row r="377" spans="1:61" ht="12.75">
      <c r="A377" s="67" t="s">
        <v>399</v>
      </c>
      <c r="B377" s="67" t="s">
        <v>606</v>
      </c>
      <c r="C377" s="155" t="s">
        <v>1011</v>
      </c>
      <c r="D377" s="156"/>
      <c r="E377" s="156"/>
      <c r="F377" s="67" t="s">
        <v>103</v>
      </c>
      <c r="G377" s="68">
        <v>0.02043</v>
      </c>
      <c r="H377" s="68">
        <v>0</v>
      </c>
      <c r="I377" s="68">
        <f>G377*AN377</f>
        <v>0</v>
      </c>
      <c r="J377" s="68">
        <f>G377*AO377</f>
        <v>0</v>
      </c>
      <c r="K377" s="68">
        <f>G377*H377</f>
        <v>0</v>
      </c>
      <c r="Y377" s="20">
        <f>IF(AP377="5",BI377,0)</f>
        <v>0</v>
      </c>
      <c r="AA377" s="20">
        <f>IF(AP377="1",BG377,0)</f>
        <v>0</v>
      </c>
      <c r="AB377" s="20">
        <f>IF(AP377="1",BH377,0)</f>
        <v>0</v>
      </c>
      <c r="AC377" s="20">
        <f>IF(AP377="7",BG377,0)</f>
        <v>0</v>
      </c>
      <c r="AD377" s="20">
        <f>IF(AP377="7",BH377,0)</f>
        <v>0</v>
      </c>
      <c r="AE377" s="20">
        <f>IF(AP377="2",BG377,0)</f>
        <v>0</v>
      </c>
      <c r="AF377" s="20">
        <f>IF(AP377="2",BH377,0)</f>
        <v>0</v>
      </c>
      <c r="AG377" s="20">
        <f>IF(AP377="0",BI377,0)</f>
        <v>0</v>
      </c>
      <c r="AH377" s="15" t="s">
        <v>135</v>
      </c>
      <c r="AI377" s="13">
        <f>IF(AM377=0,K377,0)</f>
        <v>0</v>
      </c>
      <c r="AJ377" s="13">
        <f>IF(AM377=15,K377,0)</f>
        <v>0</v>
      </c>
      <c r="AK377" s="13">
        <f>IF(AM377=21,K377,0)</f>
        <v>0</v>
      </c>
      <c r="AM377" s="20">
        <v>15</v>
      </c>
      <c r="AN377" s="20">
        <f>H377*1</f>
        <v>0</v>
      </c>
      <c r="AO377" s="20">
        <f>H377*(1-1)</f>
        <v>0</v>
      </c>
      <c r="AP377" s="17" t="s">
        <v>262</v>
      </c>
      <c r="AU377" s="20">
        <f>AV377+AW377</f>
        <v>0</v>
      </c>
      <c r="AV377" s="20">
        <f>G377*AN377</f>
        <v>0</v>
      </c>
      <c r="AW377" s="20">
        <f>G377*AO377</f>
        <v>0</v>
      </c>
      <c r="AX377" s="21" t="s">
        <v>159</v>
      </c>
      <c r="AY377" s="21" t="s">
        <v>180</v>
      </c>
      <c r="AZ377" s="15" t="s">
        <v>190</v>
      </c>
      <c r="BB377" s="20">
        <f>AV377+AW377</f>
        <v>0</v>
      </c>
      <c r="BC377" s="20">
        <f>H377/(100-BD377)*100</f>
        <v>0</v>
      </c>
      <c r="BD377" s="20">
        <v>0</v>
      </c>
      <c r="BE377" s="20">
        <f>377</f>
        <v>377</v>
      </c>
      <c r="BG377" s="13">
        <f>G377*AN377</f>
        <v>0</v>
      </c>
      <c r="BH377" s="13">
        <f>G377*AO377</f>
        <v>0</v>
      </c>
      <c r="BI377" s="13">
        <f>G377*H377</f>
        <v>0</v>
      </c>
    </row>
    <row r="378" spans="1:11" ht="12.75">
      <c r="A378" s="69"/>
      <c r="B378" s="69"/>
      <c r="C378" s="157" t="s">
        <v>1012</v>
      </c>
      <c r="D378" s="150"/>
      <c r="E378" s="150"/>
      <c r="F378" s="69"/>
      <c r="G378" s="70">
        <v>0.02043</v>
      </c>
      <c r="H378" s="69"/>
      <c r="I378" s="69"/>
      <c r="J378" s="69"/>
      <c r="K378" s="69"/>
    </row>
    <row r="379" spans="1:61" ht="12.75">
      <c r="A379" s="57" t="s">
        <v>400</v>
      </c>
      <c r="B379" s="57" t="s">
        <v>607</v>
      </c>
      <c r="C379" s="146" t="s">
        <v>1013</v>
      </c>
      <c r="D379" s="145"/>
      <c r="E379" s="145"/>
      <c r="F379" s="57" t="s">
        <v>100</v>
      </c>
      <c r="G379" s="58">
        <v>18.16</v>
      </c>
      <c r="H379" s="58">
        <v>0</v>
      </c>
      <c r="I379" s="58">
        <f>G379*AN379</f>
        <v>0</v>
      </c>
      <c r="J379" s="58">
        <f>G379*AO379</f>
        <v>0</v>
      </c>
      <c r="K379" s="58">
        <f>G379*H379</f>
        <v>0</v>
      </c>
      <c r="Y379" s="20">
        <f>IF(AP379="5",BI379,0)</f>
        <v>0</v>
      </c>
      <c r="AA379" s="20">
        <f>IF(AP379="1",BG379,0)</f>
        <v>0</v>
      </c>
      <c r="AB379" s="20">
        <f>IF(AP379="1",BH379,0)</f>
        <v>0</v>
      </c>
      <c r="AC379" s="20">
        <f>IF(AP379="7",BG379,0)</f>
        <v>0</v>
      </c>
      <c r="AD379" s="20">
        <f>IF(AP379="7",BH379,0)</f>
        <v>0</v>
      </c>
      <c r="AE379" s="20">
        <f>IF(AP379="2",BG379,0)</f>
        <v>0</v>
      </c>
      <c r="AF379" s="20">
        <f>IF(AP379="2",BH379,0)</f>
        <v>0</v>
      </c>
      <c r="AG379" s="20">
        <f>IF(AP379="0",BI379,0)</f>
        <v>0</v>
      </c>
      <c r="AH379" s="15" t="s">
        <v>135</v>
      </c>
      <c r="AI379" s="12">
        <f>IF(AM379=0,K379,0)</f>
        <v>0</v>
      </c>
      <c r="AJ379" s="12">
        <f>IF(AM379=15,K379,0)</f>
        <v>0</v>
      </c>
      <c r="AK379" s="12">
        <f>IF(AM379=21,K379,0)</f>
        <v>0</v>
      </c>
      <c r="AM379" s="20">
        <v>15</v>
      </c>
      <c r="AN379" s="20">
        <f>H379*0.112251403584062</f>
        <v>0</v>
      </c>
      <c r="AO379" s="20">
        <f>H379*(1-0.112251403584062)</f>
        <v>0</v>
      </c>
      <c r="AP379" s="16" t="s">
        <v>262</v>
      </c>
      <c r="AU379" s="20">
        <f>AV379+AW379</f>
        <v>0</v>
      </c>
      <c r="AV379" s="20">
        <f>G379*AN379</f>
        <v>0</v>
      </c>
      <c r="AW379" s="20">
        <f>G379*AO379</f>
        <v>0</v>
      </c>
      <c r="AX379" s="21" t="s">
        <v>159</v>
      </c>
      <c r="AY379" s="21" t="s">
        <v>180</v>
      </c>
      <c r="AZ379" s="15" t="s">
        <v>190</v>
      </c>
      <c r="BB379" s="20">
        <f>AV379+AW379</f>
        <v>0</v>
      </c>
      <c r="BC379" s="20">
        <f>H379/(100-BD379)*100</f>
        <v>0</v>
      </c>
      <c r="BD379" s="20">
        <v>0</v>
      </c>
      <c r="BE379" s="20">
        <f>379</f>
        <v>379</v>
      </c>
      <c r="BG379" s="12">
        <f>G379*AN379</f>
        <v>0</v>
      </c>
      <c r="BH379" s="12">
        <f>G379*AO379</f>
        <v>0</v>
      </c>
      <c r="BI379" s="12">
        <f>G379*H379</f>
        <v>0</v>
      </c>
    </row>
    <row r="380" spans="3:5" ht="12.75">
      <c r="C380" s="147" t="s">
        <v>1014</v>
      </c>
      <c r="D380" s="148"/>
      <c r="E380" s="148"/>
    </row>
    <row r="381" spans="1:11" ht="12.75">
      <c r="A381" s="59"/>
      <c r="B381" s="59"/>
      <c r="C381" s="149" t="s">
        <v>1015</v>
      </c>
      <c r="D381" s="150"/>
      <c r="E381" s="150"/>
      <c r="F381" s="59"/>
      <c r="G381" s="60">
        <v>18.16</v>
      </c>
      <c r="H381" s="59"/>
      <c r="I381" s="59"/>
      <c r="J381" s="59"/>
      <c r="K381" s="59"/>
    </row>
    <row r="382" spans="1:61" ht="12.75">
      <c r="A382" s="67" t="s">
        <v>401</v>
      </c>
      <c r="B382" s="67" t="s">
        <v>608</v>
      </c>
      <c r="C382" s="155" t="s">
        <v>1016</v>
      </c>
      <c r="D382" s="156"/>
      <c r="E382" s="156"/>
      <c r="F382" s="67" t="s">
        <v>100</v>
      </c>
      <c r="G382" s="68">
        <v>19.068</v>
      </c>
      <c r="H382" s="68">
        <v>0</v>
      </c>
      <c r="I382" s="68">
        <f>G382*AN382</f>
        <v>0</v>
      </c>
      <c r="J382" s="68">
        <f>G382*AO382</f>
        <v>0</v>
      </c>
      <c r="K382" s="68">
        <f>G382*H382</f>
        <v>0</v>
      </c>
      <c r="Y382" s="20">
        <f>IF(AP382="5",BI382,0)</f>
        <v>0</v>
      </c>
      <c r="AA382" s="20">
        <f>IF(AP382="1",BG382,0)</f>
        <v>0</v>
      </c>
      <c r="AB382" s="20">
        <f>IF(AP382="1",BH382,0)</f>
        <v>0</v>
      </c>
      <c r="AC382" s="20">
        <f>IF(AP382="7",BG382,0)</f>
        <v>0</v>
      </c>
      <c r="AD382" s="20">
        <f>IF(AP382="7",BH382,0)</f>
        <v>0</v>
      </c>
      <c r="AE382" s="20">
        <f>IF(AP382="2",BG382,0)</f>
        <v>0</v>
      </c>
      <c r="AF382" s="20">
        <f>IF(AP382="2",BH382,0)</f>
        <v>0</v>
      </c>
      <c r="AG382" s="20">
        <f>IF(AP382="0",BI382,0)</f>
        <v>0</v>
      </c>
      <c r="AH382" s="15" t="s">
        <v>135</v>
      </c>
      <c r="AI382" s="13">
        <f>IF(AM382=0,K382,0)</f>
        <v>0</v>
      </c>
      <c r="AJ382" s="13">
        <f>IF(AM382=15,K382,0)</f>
        <v>0</v>
      </c>
      <c r="AK382" s="13">
        <f>IF(AM382=21,K382,0)</f>
        <v>0</v>
      </c>
      <c r="AM382" s="20">
        <v>15</v>
      </c>
      <c r="AN382" s="20">
        <f>H382*1</f>
        <v>0</v>
      </c>
      <c r="AO382" s="20">
        <f>H382*(1-1)</f>
        <v>0</v>
      </c>
      <c r="AP382" s="17" t="s">
        <v>262</v>
      </c>
      <c r="AU382" s="20">
        <f>AV382+AW382</f>
        <v>0</v>
      </c>
      <c r="AV382" s="20">
        <f>G382*AN382</f>
        <v>0</v>
      </c>
      <c r="AW382" s="20">
        <f>G382*AO382</f>
        <v>0</v>
      </c>
      <c r="AX382" s="21" t="s">
        <v>159</v>
      </c>
      <c r="AY382" s="21" t="s">
        <v>180</v>
      </c>
      <c r="AZ382" s="15" t="s">
        <v>190</v>
      </c>
      <c r="BB382" s="20">
        <f>AV382+AW382</f>
        <v>0</v>
      </c>
      <c r="BC382" s="20">
        <f>H382/(100-BD382)*100</f>
        <v>0</v>
      </c>
      <c r="BD382" s="20">
        <v>0</v>
      </c>
      <c r="BE382" s="20">
        <f>382</f>
        <v>382</v>
      </c>
      <c r="BG382" s="13">
        <f>G382*AN382</f>
        <v>0</v>
      </c>
      <c r="BH382" s="13">
        <f>G382*AO382</f>
        <v>0</v>
      </c>
      <c r="BI382" s="13">
        <f>G382*H382</f>
        <v>0</v>
      </c>
    </row>
    <row r="383" spans="1:11" ht="12.75">
      <c r="A383" s="69"/>
      <c r="B383" s="69"/>
      <c r="C383" s="157" t="s">
        <v>1017</v>
      </c>
      <c r="D383" s="150"/>
      <c r="E383" s="150"/>
      <c r="F383" s="69"/>
      <c r="G383" s="70">
        <v>19.068</v>
      </c>
      <c r="H383" s="69"/>
      <c r="I383" s="69"/>
      <c r="J383" s="69"/>
      <c r="K383" s="69"/>
    </row>
    <row r="384" spans="1:61" ht="12.75">
      <c r="A384" s="57" t="s">
        <v>402</v>
      </c>
      <c r="B384" s="57" t="s">
        <v>609</v>
      </c>
      <c r="C384" s="146" t="s">
        <v>1018</v>
      </c>
      <c r="D384" s="145"/>
      <c r="E384" s="145"/>
      <c r="F384" s="57" t="s">
        <v>102</v>
      </c>
      <c r="G384" s="58">
        <v>5.95</v>
      </c>
      <c r="H384" s="58">
        <v>0</v>
      </c>
      <c r="I384" s="58">
        <f>G384*AN384</f>
        <v>0</v>
      </c>
      <c r="J384" s="58">
        <f>G384*AO384</f>
        <v>0</v>
      </c>
      <c r="K384" s="58">
        <f>G384*H384</f>
        <v>0</v>
      </c>
      <c r="Y384" s="20">
        <f>IF(AP384="5",BI384,0)</f>
        <v>0</v>
      </c>
      <c r="AA384" s="20">
        <f>IF(AP384="1",BG384,0)</f>
        <v>0</v>
      </c>
      <c r="AB384" s="20">
        <f>IF(AP384="1",BH384,0)</f>
        <v>0</v>
      </c>
      <c r="AC384" s="20">
        <f>IF(AP384="7",BG384,0)</f>
        <v>0</v>
      </c>
      <c r="AD384" s="20">
        <f>IF(AP384="7",BH384,0)</f>
        <v>0</v>
      </c>
      <c r="AE384" s="20">
        <f>IF(AP384="2",BG384,0)</f>
        <v>0</v>
      </c>
      <c r="AF384" s="20">
        <f>IF(AP384="2",BH384,0)</f>
        <v>0</v>
      </c>
      <c r="AG384" s="20">
        <f>IF(AP384="0",BI384,0)</f>
        <v>0</v>
      </c>
      <c r="AH384" s="15" t="s">
        <v>135</v>
      </c>
      <c r="AI384" s="12">
        <f>IF(AM384=0,K384,0)</f>
        <v>0</v>
      </c>
      <c r="AJ384" s="12">
        <f>IF(AM384=15,K384,0)</f>
        <v>0</v>
      </c>
      <c r="AK384" s="12">
        <f>IF(AM384=21,K384,0)</f>
        <v>0</v>
      </c>
      <c r="AM384" s="20">
        <v>15</v>
      </c>
      <c r="AN384" s="20">
        <f>H384*0.0897544511959275</f>
        <v>0</v>
      </c>
      <c r="AO384" s="20">
        <f>H384*(1-0.0897544511959275)</f>
        <v>0</v>
      </c>
      <c r="AP384" s="16" t="s">
        <v>262</v>
      </c>
      <c r="AU384" s="20">
        <f>AV384+AW384</f>
        <v>0</v>
      </c>
      <c r="AV384" s="20">
        <f>G384*AN384</f>
        <v>0</v>
      </c>
      <c r="AW384" s="20">
        <f>G384*AO384</f>
        <v>0</v>
      </c>
      <c r="AX384" s="21" t="s">
        <v>159</v>
      </c>
      <c r="AY384" s="21" t="s">
        <v>180</v>
      </c>
      <c r="AZ384" s="15" t="s">
        <v>190</v>
      </c>
      <c r="BB384" s="20">
        <f>AV384+AW384</f>
        <v>0</v>
      </c>
      <c r="BC384" s="20">
        <f>H384/(100-BD384)*100</f>
        <v>0</v>
      </c>
      <c r="BD384" s="20">
        <v>0</v>
      </c>
      <c r="BE384" s="20">
        <f>384</f>
        <v>384</v>
      </c>
      <c r="BG384" s="12">
        <f>G384*AN384</f>
        <v>0</v>
      </c>
      <c r="BH384" s="12">
        <f>G384*AO384</f>
        <v>0</v>
      </c>
      <c r="BI384" s="12">
        <f>G384*H384</f>
        <v>0</v>
      </c>
    </row>
    <row r="385" spans="3:5" ht="12.75">
      <c r="C385" s="147" t="s">
        <v>1019</v>
      </c>
      <c r="D385" s="148"/>
      <c r="E385" s="148"/>
    </row>
    <row r="386" spans="1:11" ht="12.75">
      <c r="A386" s="59"/>
      <c r="B386" s="59"/>
      <c r="C386" s="149" t="s">
        <v>1020</v>
      </c>
      <c r="D386" s="150"/>
      <c r="E386" s="150"/>
      <c r="F386" s="59"/>
      <c r="G386" s="60">
        <v>5.95</v>
      </c>
      <c r="H386" s="59"/>
      <c r="I386" s="59"/>
      <c r="J386" s="59"/>
      <c r="K386" s="59"/>
    </row>
    <row r="387" spans="1:61" ht="12.75">
      <c r="A387" s="67" t="s">
        <v>403</v>
      </c>
      <c r="B387" s="67" t="s">
        <v>610</v>
      </c>
      <c r="C387" s="155" t="s">
        <v>1021</v>
      </c>
      <c r="D387" s="156"/>
      <c r="E387" s="156"/>
      <c r="F387" s="67" t="s">
        <v>100</v>
      </c>
      <c r="G387" s="68">
        <v>6.307</v>
      </c>
      <c r="H387" s="68">
        <v>0</v>
      </c>
      <c r="I387" s="68">
        <f>G387*AN387</f>
        <v>0</v>
      </c>
      <c r="J387" s="68">
        <f>G387*AO387</f>
        <v>0</v>
      </c>
      <c r="K387" s="68">
        <f>G387*H387</f>
        <v>0</v>
      </c>
      <c r="Y387" s="20">
        <f>IF(AP387="5",BI387,0)</f>
        <v>0</v>
      </c>
      <c r="AA387" s="20">
        <f>IF(AP387="1",BG387,0)</f>
        <v>0</v>
      </c>
      <c r="AB387" s="20">
        <f>IF(AP387="1",BH387,0)</f>
        <v>0</v>
      </c>
      <c r="AC387" s="20">
        <f>IF(AP387="7",BG387,0)</f>
        <v>0</v>
      </c>
      <c r="AD387" s="20">
        <f>IF(AP387="7",BH387,0)</f>
        <v>0</v>
      </c>
      <c r="AE387" s="20">
        <f>IF(AP387="2",BG387,0)</f>
        <v>0</v>
      </c>
      <c r="AF387" s="20">
        <f>IF(AP387="2",BH387,0)</f>
        <v>0</v>
      </c>
      <c r="AG387" s="20">
        <f>IF(AP387="0",BI387,0)</f>
        <v>0</v>
      </c>
      <c r="AH387" s="15" t="s">
        <v>135</v>
      </c>
      <c r="AI387" s="13">
        <f>IF(AM387=0,K387,0)</f>
        <v>0</v>
      </c>
      <c r="AJ387" s="13">
        <f>IF(AM387=15,K387,0)</f>
        <v>0</v>
      </c>
      <c r="AK387" s="13">
        <f>IF(AM387=21,K387,0)</f>
        <v>0</v>
      </c>
      <c r="AM387" s="20">
        <v>15</v>
      </c>
      <c r="AN387" s="20">
        <f>H387*1</f>
        <v>0</v>
      </c>
      <c r="AO387" s="20">
        <f>H387*(1-1)</f>
        <v>0</v>
      </c>
      <c r="AP387" s="17" t="s">
        <v>262</v>
      </c>
      <c r="AU387" s="20">
        <f>AV387+AW387</f>
        <v>0</v>
      </c>
      <c r="AV387" s="20">
        <f>G387*AN387</f>
        <v>0</v>
      </c>
      <c r="AW387" s="20">
        <f>G387*AO387</f>
        <v>0</v>
      </c>
      <c r="AX387" s="21" t="s">
        <v>159</v>
      </c>
      <c r="AY387" s="21" t="s">
        <v>180</v>
      </c>
      <c r="AZ387" s="15" t="s">
        <v>190</v>
      </c>
      <c r="BB387" s="20">
        <f>AV387+AW387</f>
        <v>0</v>
      </c>
      <c r="BC387" s="20">
        <f>H387/(100-BD387)*100</f>
        <v>0</v>
      </c>
      <c r="BD387" s="20">
        <v>0</v>
      </c>
      <c r="BE387" s="20">
        <f>387</f>
        <v>387</v>
      </c>
      <c r="BG387" s="13">
        <f>G387*AN387</f>
        <v>0</v>
      </c>
      <c r="BH387" s="13">
        <f>G387*AO387</f>
        <v>0</v>
      </c>
      <c r="BI387" s="13">
        <f>G387*H387</f>
        <v>0</v>
      </c>
    </row>
    <row r="388" spans="1:11" ht="12.75">
      <c r="A388" s="69"/>
      <c r="B388" s="69"/>
      <c r="C388" s="157" t="s">
        <v>1022</v>
      </c>
      <c r="D388" s="150"/>
      <c r="E388" s="150"/>
      <c r="F388" s="69"/>
      <c r="G388" s="70">
        <v>6.307</v>
      </c>
      <c r="H388" s="69"/>
      <c r="I388" s="69"/>
      <c r="J388" s="69"/>
      <c r="K388" s="69"/>
    </row>
    <row r="389" spans="1:61" ht="12.75">
      <c r="A389" s="57" t="s">
        <v>404</v>
      </c>
      <c r="B389" s="57" t="s">
        <v>611</v>
      </c>
      <c r="C389" s="146" t="s">
        <v>1023</v>
      </c>
      <c r="D389" s="145"/>
      <c r="E389" s="145"/>
      <c r="F389" s="57" t="s">
        <v>104</v>
      </c>
      <c r="G389" s="58">
        <v>3</v>
      </c>
      <c r="H389" s="58">
        <v>0</v>
      </c>
      <c r="I389" s="58">
        <f>G389*AN389</f>
        <v>0</v>
      </c>
      <c r="J389" s="58">
        <f>G389*AO389</f>
        <v>0</v>
      </c>
      <c r="K389" s="58">
        <f>G389*H389</f>
        <v>0</v>
      </c>
      <c r="Y389" s="20">
        <f>IF(AP389="5",BI389,0)</f>
        <v>0</v>
      </c>
      <c r="AA389" s="20">
        <f>IF(AP389="1",BG389,0)</f>
        <v>0</v>
      </c>
      <c r="AB389" s="20">
        <f>IF(AP389="1",BH389,0)</f>
        <v>0</v>
      </c>
      <c r="AC389" s="20">
        <f>IF(AP389="7",BG389,0)</f>
        <v>0</v>
      </c>
      <c r="AD389" s="20">
        <f>IF(AP389="7",BH389,0)</f>
        <v>0</v>
      </c>
      <c r="AE389" s="20">
        <f>IF(AP389="2",BG389,0)</f>
        <v>0</v>
      </c>
      <c r="AF389" s="20">
        <f>IF(AP389="2",BH389,0)</f>
        <v>0</v>
      </c>
      <c r="AG389" s="20">
        <f>IF(AP389="0",BI389,0)</f>
        <v>0</v>
      </c>
      <c r="AH389" s="15" t="s">
        <v>135</v>
      </c>
      <c r="AI389" s="12">
        <f>IF(AM389=0,K389,0)</f>
        <v>0</v>
      </c>
      <c r="AJ389" s="12">
        <f>IF(AM389=15,K389,0)</f>
        <v>0</v>
      </c>
      <c r="AK389" s="12">
        <f>IF(AM389=21,K389,0)</f>
        <v>0</v>
      </c>
      <c r="AM389" s="20">
        <v>15</v>
      </c>
      <c r="AN389" s="20">
        <f>H389*0.530023482053002</f>
        <v>0</v>
      </c>
      <c r="AO389" s="20">
        <f>H389*(1-0.530023482053002)</f>
        <v>0</v>
      </c>
      <c r="AP389" s="16" t="s">
        <v>262</v>
      </c>
      <c r="AU389" s="20">
        <f>AV389+AW389</f>
        <v>0</v>
      </c>
      <c r="AV389" s="20">
        <f>G389*AN389</f>
        <v>0</v>
      </c>
      <c r="AW389" s="20">
        <f>G389*AO389</f>
        <v>0</v>
      </c>
      <c r="AX389" s="21" t="s">
        <v>159</v>
      </c>
      <c r="AY389" s="21" t="s">
        <v>180</v>
      </c>
      <c r="AZ389" s="15" t="s">
        <v>190</v>
      </c>
      <c r="BB389" s="20">
        <f>AV389+AW389</f>
        <v>0</v>
      </c>
      <c r="BC389" s="20">
        <f>H389/(100-BD389)*100</f>
        <v>0</v>
      </c>
      <c r="BD389" s="20">
        <v>0</v>
      </c>
      <c r="BE389" s="20">
        <f>389</f>
        <v>389</v>
      </c>
      <c r="BG389" s="12">
        <f>G389*AN389</f>
        <v>0</v>
      </c>
      <c r="BH389" s="12">
        <f>G389*AO389</f>
        <v>0</v>
      </c>
      <c r="BI389" s="12">
        <f>G389*H389</f>
        <v>0</v>
      </c>
    </row>
    <row r="390" spans="3:5" ht="12.75">
      <c r="C390" s="147" t="s">
        <v>1024</v>
      </c>
      <c r="D390" s="148"/>
      <c r="E390" s="148"/>
    </row>
    <row r="391" spans="1:11" ht="12.75">
      <c r="A391" s="59"/>
      <c r="B391" s="59"/>
      <c r="C391" s="149" t="s">
        <v>752</v>
      </c>
      <c r="D391" s="150"/>
      <c r="E391" s="150"/>
      <c r="F391" s="59"/>
      <c r="G391" s="60">
        <v>3</v>
      </c>
      <c r="H391" s="59"/>
      <c r="I391" s="59"/>
      <c r="J391" s="59"/>
      <c r="K391" s="59"/>
    </row>
    <row r="392" spans="1:61" ht="12.75">
      <c r="A392" s="67" t="s">
        <v>405</v>
      </c>
      <c r="B392" s="67" t="s">
        <v>612</v>
      </c>
      <c r="C392" s="155" t="s">
        <v>1025</v>
      </c>
      <c r="D392" s="156"/>
      <c r="E392" s="156"/>
      <c r="F392" s="67" t="s">
        <v>104</v>
      </c>
      <c r="G392" s="68">
        <v>3</v>
      </c>
      <c r="H392" s="68">
        <v>0</v>
      </c>
      <c r="I392" s="68">
        <f>G392*AN392</f>
        <v>0</v>
      </c>
      <c r="J392" s="68">
        <f>G392*AO392</f>
        <v>0</v>
      </c>
      <c r="K392" s="68">
        <f>G392*H392</f>
        <v>0</v>
      </c>
      <c r="Y392" s="20">
        <f>IF(AP392="5",BI392,0)</f>
        <v>0</v>
      </c>
      <c r="AA392" s="20">
        <f>IF(AP392="1",BG392,0)</f>
        <v>0</v>
      </c>
      <c r="AB392" s="20">
        <f>IF(AP392="1",BH392,0)</f>
        <v>0</v>
      </c>
      <c r="AC392" s="20">
        <f>IF(AP392="7",BG392,0)</f>
        <v>0</v>
      </c>
      <c r="AD392" s="20">
        <f>IF(AP392="7",BH392,0)</f>
        <v>0</v>
      </c>
      <c r="AE392" s="20">
        <f>IF(AP392="2",BG392,0)</f>
        <v>0</v>
      </c>
      <c r="AF392" s="20">
        <f>IF(AP392="2",BH392,0)</f>
        <v>0</v>
      </c>
      <c r="AG392" s="20">
        <f>IF(AP392="0",BI392,0)</f>
        <v>0</v>
      </c>
      <c r="AH392" s="15" t="s">
        <v>135</v>
      </c>
      <c r="AI392" s="13">
        <f>IF(AM392=0,K392,0)</f>
        <v>0</v>
      </c>
      <c r="AJ392" s="13">
        <f>IF(AM392=15,K392,0)</f>
        <v>0</v>
      </c>
      <c r="AK392" s="13">
        <f>IF(AM392=21,K392,0)</f>
        <v>0</v>
      </c>
      <c r="AM392" s="20">
        <v>15</v>
      </c>
      <c r="AN392" s="20">
        <f>H392*1</f>
        <v>0</v>
      </c>
      <c r="AO392" s="20">
        <f>H392*(1-1)</f>
        <v>0</v>
      </c>
      <c r="AP392" s="17" t="s">
        <v>262</v>
      </c>
      <c r="AU392" s="20">
        <f>AV392+AW392</f>
        <v>0</v>
      </c>
      <c r="AV392" s="20">
        <f>G392*AN392</f>
        <v>0</v>
      </c>
      <c r="AW392" s="20">
        <f>G392*AO392</f>
        <v>0</v>
      </c>
      <c r="AX392" s="21" t="s">
        <v>159</v>
      </c>
      <c r="AY392" s="21" t="s">
        <v>180</v>
      </c>
      <c r="AZ392" s="15" t="s">
        <v>190</v>
      </c>
      <c r="BB392" s="20">
        <f>AV392+AW392</f>
        <v>0</v>
      </c>
      <c r="BC392" s="20">
        <f>H392/(100-BD392)*100</f>
        <v>0</v>
      </c>
      <c r="BD392" s="20">
        <v>0</v>
      </c>
      <c r="BE392" s="20">
        <f>392</f>
        <v>392</v>
      </c>
      <c r="BG392" s="13">
        <f>G392*AN392</f>
        <v>0</v>
      </c>
      <c r="BH392" s="13">
        <f>G392*AO392</f>
        <v>0</v>
      </c>
      <c r="BI392" s="13">
        <f>G392*H392</f>
        <v>0</v>
      </c>
    </row>
    <row r="393" spans="1:11" ht="12.75">
      <c r="A393" s="69"/>
      <c r="B393" s="69"/>
      <c r="C393" s="157" t="s">
        <v>752</v>
      </c>
      <c r="D393" s="150"/>
      <c r="E393" s="150"/>
      <c r="F393" s="69"/>
      <c r="G393" s="70">
        <v>3</v>
      </c>
      <c r="H393" s="69"/>
      <c r="I393" s="69"/>
      <c r="J393" s="69"/>
      <c r="K393" s="69"/>
    </row>
    <row r="394" spans="1:61" ht="12.75">
      <c r="A394" s="57" t="s">
        <v>406</v>
      </c>
      <c r="B394" s="57" t="s">
        <v>613</v>
      </c>
      <c r="C394" s="146" t="s">
        <v>1026</v>
      </c>
      <c r="D394" s="145"/>
      <c r="E394" s="145"/>
      <c r="F394" s="57" t="s">
        <v>103</v>
      </c>
      <c r="G394" s="58">
        <v>3.15</v>
      </c>
      <c r="H394" s="58">
        <v>0</v>
      </c>
      <c r="I394" s="58">
        <f>G394*AN394</f>
        <v>0</v>
      </c>
      <c r="J394" s="58">
        <f>G394*AO394</f>
        <v>0</v>
      </c>
      <c r="K394" s="58">
        <f>G394*H394</f>
        <v>0</v>
      </c>
      <c r="Y394" s="20">
        <f>IF(AP394="5",BI394,0)</f>
        <v>0</v>
      </c>
      <c r="AA394" s="20">
        <f>IF(AP394="1",BG394,0)</f>
        <v>0</v>
      </c>
      <c r="AB394" s="20">
        <f>IF(AP394="1",BH394,0)</f>
        <v>0</v>
      </c>
      <c r="AC394" s="20">
        <f>IF(AP394="7",BG394,0)</f>
        <v>0</v>
      </c>
      <c r="AD394" s="20">
        <f>IF(AP394="7",BH394,0)</f>
        <v>0</v>
      </c>
      <c r="AE394" s="20">
        <f>IF(AP394="2",BG394,0)</f>
        <v>0</v>
      </c>
      <c r="AF394" s="20">
        <f>IF(AP394="2",BH394,0)</f>
        <v>0</v>
      </c>
      <c r="AG394" s="20">
        <f>IF(AP394="0",BI394,0)</f>
        <v>0</v>
      </c>
      <c r="AH394" s="15" t="s">
        <v>135</v>
      </c>
      <c r="AI394" s="12">
        <f>IF(AM394=0,K394,0)</f>
        <v>0</v>
      </c>
      <c r="AJ394" s="12">
        <f>IF(AM394=15,K394,0)</f>
        <v>0</v>
      </c>
      <c r="AK394" s="12">
        <f>IF(AM394=21,K394,0)</f>
        <v>0</v>
      </c>
      <c r="AM394" s="20">
        <v>15</v>
      </c>
      <c r="AN394" s="20">
        <f>H394*0</f>
        <v>0</v>
      </c>
      <c r="AO394" s="20">
        <f>H394*(1-0)</f>
        <v>0</v>
      </c>
      <c r="AP394" s="16" t="s">
        <v>260</v>
      </c>
      <c r="AU394" s="20">
        <f>AV394+AW394</f>
        <v>0</v>
      </c>
      <c r="AV394" s="20">
        <f>G394*AN394</f>
        <v>0</v>
      </c>
      <c r="AW394" s="20">
        <f>G394*AO394</f>
        <v>0</v>
      </c>
      <c r="AX394" s="21" t="s">
        <v>159</v>
      </c>
      <c r="AY394" s="21" t="s">
        <v>180</v>
      </c>
      <c r="AZ394" s="15" t="s">
        <v>190</v>
      </c>
      <c r="BB394" s="20">
        <f>AV394+AW394</f>
        <v>0</v>
      </c>
      <c r="BC394" s="20">
        <f>H394/(100-BD394)*100</f>
        <v>0</v>
      </c>
      <c r="BD394" s="20">
        <v>0</v>
      </c>
      <c r="BE394" s="20">
        <f>394</f>
        <v>394</v>
      </c>
      <c r="BG394" s="12">
        <f>G394*AN394</f>
        <v>0</v>
      </c>
      <c r="BH394" s="12">
        <f>G394*AO394</f>
        <v>0</v>
      </c>
      <c r="BI394" s="12">
        <f>G394*H394</f>
        <v>0</v>
      </c>
    </row>
    <row r="395" spans="1:11" ht="12.75">
      <c r="A395" s="59"/>
      <c r="B395" s="59"/>
      <c r="C395" s="149" t="s">
        <v>1027</v>
      </c>
      <c r="D395" s="150"/>
      <c r="E395" s="150"/>
      <c r="F395" s="59"/>
      <c r="G395" s="60">
        <v>3.15</v>
      </c>
      <c r="H395" s="59"/>
      <c r="I395" s="59"/>
      <c r="J395" s="59"/>
      <c r="K395" s="59"/>
    </row>
    <row r="396" spans="1:46" ht="12.75">
      <c r="A396" s="2"/>
      <c r="B396" s="8" t="s">
        <v>614</v>
      </c>
      <c r="C396" s="142" t="s">
        <v>1028</v>
      </c>
      <c r="D396" s="143"/>
      <c r="E396" s="143"/>
      <c r="F396" s="2" t="s">
        <v>255</v>
      </c>
      <c r="G396" s="2" t="s">
        <v>255</v>
      </c>
      <c r="H396" s="2" t="s">
        <v>255</v>
      </c>
      <c r="I396" s="22">
        <f>SUM(I397:I410)</f>
        <v>0</v>
      </c>
      <c r="J396" s="22">
        <f>SUM(J397:J410)</f>
        <v>0</v>
      </c>
      <c r="K396" s="22">
        <f>SUM(K397:K410)</f>
        <v>0</v>
      </c>
      <c r="AH396" s="15" t="s">
        <v>135</v>
      </c>
      <c r="AR396" s="22">
        <f>SUM(AI397:AI410)</f>
        <v>0</v>
      </c>
      <c r="AS396" s="22">
        <f>SUM(AJ397:AJ410)</f>
        <v>0</v>
      </c>
      <c r="AT396" s="22">
        <f>SUM(AK397:AK410)</f>
        <v>0</v>
      </c>
    </row>
    <row r="397" spans="1:61" ht="12.75">
      <c r="A397" s="57" t="s">
        <v>407</v>
      </c>
      <c r="B397" s="57" t="s">
        <v>615</v>
      </c>
      <c r="C397" s="146" t="s">
        <v>1029</v>
      </c>
      <c r="D397" s="145"/>
      <c r="E397" s="145"/>
      <c r="F397" s="57" t="s">
        <v>100</v>
      </c>
      <c r="G397" s="58">
        <v>52.2</v>
      </c>
      <c r="H397" s="58">
        <v>0</v>
      </c>
      <c r="I397" s="58">
        <f>G397*AN397</f>
        <v>0</v>
      </c>
      <c r="J397" s="58">
        <f>G397*AO397</f>
        <v>0</v>
      </c>
      <c r="K397" s="58">
        <f>G397*H397</f>
        <v>0</v>
      </c>
      <c r="Y397" s="20">
        <f>IF(AP397="5",BI397,0)</f>
        <v>0</v>
      </c>
      <c r="AA397" s="20">
        <f>IF(AP397="1",BG397,0)</f>
        <v>0</v>
      </c>
      <c r="AB397" s="20">
        <f>IF(AP397="1",BH397,0)</f>
        <v>0</v>
      </c>
      <c r="AC397" s="20">
        <f>IF(AP397="7",BG397,0)</f>
        <v>0</v>
      </c>
      <c r="AD397" s="20">
        <f>IF(AP397="7",BH397,0)</f>
        <v>0</v>
      </c>
      <c r="AE397" s="20">
        <f>IF(AP397="2",BG397,0)</f>
        <v>0</v>
      </c>
      <c r="AF397" s="20">
        <f>IF(AP397="2",BH397,0)</f>
        <v>0</v>
      </c>
      <c r="AG397" s="20">
        <f>IF(AP397="0",BI397,0)</f>
        <v>0</v>
      </c>
      <c r="AH397" s="15" t="s">
        <v>135</v>
      </c>
      <c r="AI397" s="12">
        <f>IF(AM397=0,K397,0)</f>
        <v>0</v>
      </c>
      <c r="AJ397" s="12">
        <f>IF(AM397=15,K397,0)</f>
        <v>0</v>
      </c>
      <c r="AK397" s="12">
        <f>IF(AM397=21,K397,0)</f>
        <v>0</v>
      </c>
      <c r="AM397" s="20">
        <v>15</v>
      </c>
      <c r="AN397" s="20">
        <f>H397*0.47489539748954</f>
        <v>0</v>
      </c>
      <c r="AO397" s="20">
        <f>H397*(1-0.47489539748954)</f>
        <v>0</v>
      </c>
      <c r="AP397" s="16" t="s">
        <v>262</v>
      </c>
      <c r="AU397" s="20">
        <f>AV397+AW397</f>
        <v>0</v>
      </c>
      <c r="AV397" s="20">
        <f>G397*AN397</f>
        <v>0</v>
      </c>
      <c r="AW397" s="20">
        <f>G397*AO397</f>
        <v>0</v>
      </c>
      <c r="AX397" s="21" t="s">
        <v>160</v>
      </c>
      <c r="AY397" s="21" t="s">
        <v>181</v>
      </c>
      <c r="AZ397" s="15" t="s">
        <v>190</v>
      </c>
      <c r="BB397" s="20">
        <f>AV397+AW397</f>
        <v>0</v>
      </c>
      <c r="BC397" s="20">
        <f>H397/(100-BD397)*100</f>
        <v>0</v>
      </c>
      <c r="BD397" s="20">
        <v>0</v>
      </c>
      <c r="BE397" s="20">
        <f>397</f>
        <v>397</v>
      </c>
      <c r="BG397" s="12">
        <f>G397*AN397</f>
        <v>0</v>
      </c>
      <c r="BH397" s="12">
        <f>G397*AO397</f>
        <v>0</v>
      </c>
      <c r="BI397" s="12">
        <f>G397*H397</f>
        <v>0</v>
      </c>
    </row>
    <row r="398" spans="3:5" ht="12.75">
      <c r="C398" s="147" t="s">
        <v>1030</v>
      </c>
      <c r="D398" s="148"/>
      <c r="E398" s="148"/>
    </row>
    <row r="399" spans="1:11" ht="12.75">
      <c r="A399" s="59"/>
      <c r="B399" s="59"/>
      <c r="C399" s="149" t="s">
        <v>1031</v>
      </c>
      <c r="D399" s="150"/>
      <c r="E399" s="150"/>
      <c r="F399" s="59"/>
      <c r="G399" s="60">
        <v>52.2</v>
      </c>
      <c r="H399" s="59"/>
      <c r="I399" s="59"/>
      <c r="J399" s="59"/>
      <c r="K399" s="59"/>
    </row>
    <row r="400" spans="1:61" ht="12.75">
      <c r="A400" s="57" t="s">
        <v>408</v>
      </c>
      <c r="B400" s="57" t="s">
        <v>616</v>
      </c>
      <c r="C400" s="146" t="s">
        <v>1032</v>
      </c>
      <c r="D400" s="145"/>
      <c r="E400" s="145"/>
      <c r="F400" s="57" t="s">
        <v>100</v>
      </c>
      <c r="G400" s="58">
        <v>52.2</v>
      </c>
      <c r="H400" s="58">
        <v>0</v>
      </c>
      <c r="I400" s="58">
        <f>G400*AN400</f>
        <v>0</v>
      </c>
      <c r="J400" s="58">
        <f>G400*AO400</f>
        <v>0</v>
      </c>
      <c r="K400" s="58">
        <f>G400*H400</f>
        <v>0</v>
      </c>
      <c r="Y400" s="20">
        <f>IF(AP400="5",BI400,0)</f>
        <v>0</v>
      </c>
      <c r="AA400" s="20">
        <f>IF(AP400="1",BG400,0)</f>
        <v>0</v>
      </c>
      <c r="AB400" s="20">
        <f>IF(AP400="1",BH400,0)</f>
        <v>0</v>
      </c>
      <c r="AC400" s="20">
        <f>IF(AP400="7",BG400,0)</f>
        <v>0</v>
      </c>
      <c r="AD400" s="20">
        <f>IF(AP400="7",BH400,0)</f>
        <v>0</v>
      </c>
      <c r="AE400" s="20">
        <f>IF(AP400="2",BG400,0)</f>
        <v>0</v>
      </c>
      <c r="AF400" s="20">
        <f>IF(AP400="2",BH400,0)</f>
        <v>0</v>
      </c>
      <c r="AG400" s="20">
        <f>IF(AP400="0",BI400,0)</f>
        <v>0</v>
      </c>
      <c r="AH400" s="15" t="s">
        <v>135</v>
      </c>
      <c r="AI400" s="12">
        <f>IF(AM400=0,K400,0)</f>
        <v>0</v>
      </c>
      <c r="AJ400" s="12">
        <f>IF(AM400=15,K400,0)</f>
        <v>0</v>
      </c>
      <c r="AK400" s="12">
        <f>IF(AM400=21,K400,0)</f>
        <v>0</v>
      </c>
      <c r="AM400" s="20">
        <v>15</v>
      </c>
      <c r="AN400" s="20">
        <f>H400*0.0564092588990469</f>
        <v>0</v>
      </c>
      <c r="AO400" s="20">
        <f>H400*(1-0.0564092588990469)</f>
        <v>0</v>
      </c>
      <c r="AP400" s="16" t="s">
        <v>262</v>
      </c>
      <c r="AU400" s="20">
        <f>AV400+AW400</f>
        <v>0</v>
      </c>
      <c r="AV400" s="20">
        <f>G400*AN400</f>
        <v>0</v>
      </c>
      <c r="AW400" s="20">
        <f>G400*AO400</f>
        <v>0</v>
      </c>
      <c r="AX400" s="21" t="s">
        <v>160</v>
      </c>
      <c r="AY400" s="21" t="s">
        <v>181</v>
      </c>
      <c r="AZ400" s="15" t="s">
        <v>190</v>
      </c>
      <c r="BB400" s="20">
        <f>AV400+AW400</f>
        <v>0</v>
      </c>
      <c r="BC400" s="20">
        <f>H400/(100-BD400)*100</f>
        <v>0</v>
      </c>
      <c r="BD400" s="20">
        <v>0</v>
      </c>
      <c r="BE400" s="20">
        <f>400</f>
        <v>400</v>
      </c>
      <c r="BG400" s="12">
        <f>G400*AN400</f>
        <v>0</v>
      </c>
      <c r="BH400" s="12">
        <f>G400*AO400</f>
        <v>0</v>
      </c>
      <c r="BI400" s="12">
        <f>G400*H400</f>
        <v>0</v>
      </c>
    </row>
    <row r="401" spans="1:11" ht="12.75">
      <c r="A401" s="59"/>
      <c r="B401" s="59"/>
      <c r="C401" s="149" t="s">
        <v>1033</v>
      </c>
      <c r="D401" s="150"/>
      <c r="E401" s="150"/>
      <c r="F401" s="59"/>
      <c r="G401" s="60">
        <v>15.8</v>
      </c>
      <c r="H401" s="59"/>
      <c r="I401" s="59"/>
      <c r="J401" s="59"/>
      <c r="K401" s="59"/>
    </row>
    <row r="402" spans="1:11" ht="12.75">
      <c r="A402" s="59"/>
      <c r="B402" s="59"/>
      <c r="C402" s="149" t="s">
        <v>1034</v>
      </c>
      <c r="D402" s="150"/>
      <c r="E402" s="150"/>
      <c r="F402" s="59"/>
      <c r="G402" s="60">
        <v>36.4</v>
      </c>
      <c r="H402" s="59"/>
      <c r="I402" s="59"/>
      <c r="J402" s="59"/>
      <c r="K402" s="59"/>
    </row>
    <row r="403" spans="1:61" ht="12.75">
      <c r="A403" s="67" t="s">
        <v>409</v>
      </c>
      <c r="B403" s="67" t="s">
        <v>617</v>
      </c>
      <c r="C403" s="155" t="s">
        <v>1035</v>
      </c>
      <c r="D403" s="156"/>
      <c r="E403" s="156"/>
      <c r="F403" s="67" t="s">
        <v>100</v>
      </c>
      <c r="G403" s="68">
        <v>38.22</v>
      </c>
      <c r="H403" s="68">
        <v>0</v>
      </c>
      <c r="I403" s="68">
        <f>G403*AN403</f>
        <v>0</v>
      </c>
      <c r="J403" s="68">
        <f>G403*AO403</f>
        <v>0</v>
      </c>
      <c r="K403" s="68">
        <f>G403*H403</f>
        <v>0</v>
      </c>
      <c r="Y403" s="20">
        <f>IF(AP403="5",BI403,0)</f>
        <v>0</v>
      </c>
      <c r="AA403" s="20">
        <f>IF(AP403="1",BG403,0)</f>
        <v>0</v>
      </c>
      <c r="AB403" s="20">
        <f>IF(AP403="1",BH403,0)</f>
        <v>0</v>
      </c>
      <c r="AC403" s="20">
        <f>IF(AP403="7",BG403,0)</f>
        <v>0</v>
      </c>
      <c r="AD403" s="20">
        <f>IF(AP403="7",BH403,0)</f>
        <v>0</v>
      </c>
      <c r="AE403" s="20">
        <f>IF(AP403="2",BG403,0)</f>
        <v>0</v>
      </c>
      <c r="AF403" s="20">
        <f>IF(AP403="2",BH403,0)</f>
        <v>0</v>
      </c>
      <c r="AG403" s="20">
        <f>IF(AP403="0",BI403,0)</f>
        <v>0</v>
      </c>
      <c r="AH403" s="15" t="s">
        <v>135</v>
      </c>
      <c r="AI403" s="13">
        <f>IF(AM403=0,K403,0)</f>
        <v>0</v>
      </c>
      <c r="AJ403" s="13">
        <f>IF(AM403=15,K403,0)</f>
        <v>0</v>
      </c>
      <c r="AK403" s="13">
        <f>IF(AM403=21,K403,0)</f>
        <v>0</v>
      </c>
      <c r="AM403" s="20">
        <v>15</v>
      </c>
      <c r="AN403" s="20">
        <f>H403*1</f>
        <v>0</v>
      </c>
      <c r="AO403" s="20">
        <f>H403*(1-1)</f>
        <v>0</v>
      </c>
      <c r="AP403" s="17" t="s">
        <v>262</v>
      </c>
      <c r="AU403" s="20">
        <f>AV403+AW403</f>
        <v>0</v>
      </c>
      <c r="AV403" s="20">
        <f>G403*AN403</f>
        <v>0</v>
      </c>
      <c r="AW403" s="20">
        <f>G403*AO403</f>
        <v>0</v>
      </c>
      <c r="AX403" s="21" t="s">
        <v>160</v>
      </c>
      <c r="AY403" s="21" t="s">
        <v>181</v>
      </c>
      <c r="AZ403" s="15" t="s">
        <v>190</v>
      </c>
      <c r="BB403" s="20">
        <f>AV403+AW403</f>
        <v>0</v>
      </c>
      <c r="BC403" s="20">
        <f>H403/(100-BD403)*100</f>
        <v>0</v>
      </c>
      <c r="BD403" s="20">
        <v>0</v>
      </c>
      <c r="BE403" s="20">
        <f>403</f>
        <v>403</v>
      </c>
      <c r="BG403" s="13">
        <f>G403*AN403</f>
        <v>0</v>
      </c>
      <c r="BH403" s="13">
        <f>G403*AO403</f>
        <v>0</v>
      </c>
      <c r="BI403" s="13">
        <f>G403*H403</f>
        <v>0</v>
      </c>
    </row>
    <row r="404" spans="1:11" ht="12.75">
      <c r="A404" s="69"/>
      <c r="B404" s="69"/>
      <c r="C404" s="157" t="s">
        <v>1036</v>
      </c>
      <c r="D404" s="150"/>
      <c r="E404" s="150"/>
      <c r="F404" s="69"/>
      <c r="G404" s="70">
        <v>38.22</v>
      </c>
      <c r="H404" s="69"/>
      <c r="I404" s="69"/>
      <c r="J404" s="69"/>
      <c r="K404" s="69"/>
    </row>
    <row r="405" spans="1:61" ht="12.75">
      <c r="A405" s="57" t="s">
        <v>410</v>
      </c>
      <c r="B405" s="57" t="s">
        <v>618</v>
      </c>
      <c r="C405" s="146" t="s">
        <v>1037</v>
      </c>
      <c r="D405" s="145"/>
      <c r="E405" s="145"/>
      <c r="F405" s="57" t="s">
        <v>102</v>
      </c>
      <c r="G405" s="58">
        <v>39.38</v>
      </c>
      <c r="H405" s="58">
        <v>0</v>
      </c>
      <c r="I405" s="58">
        <f>G405*AN405</f>
        <v>0</v>
      </c>
      <c r="J405" s="58">
        <f>G405*AO405</f>
        <v>0</v>
      </c>
      <c r="K405" s="58">
        <f>G405*H405</f>
        <v>0</v>
      </c>
      <c r="Y405" s="20">
        <f>IF(AP405="5",BI405,0)</f>
        <v>0</v>
      </c>
      <c r="AA405" s="20">
        <f>IF(AP405="1",BG405,0)</f>
        <v>0</v>
      </c>
      <c r="AB405" s="20">
        <f>IF(AP405="1",BH405,0)</f>
        <v>0</v>
      </c>
      <c r="AC405" s="20">
        <f>IF(AP405="7",BG405,0)</f>
        <v>0</v>
      </c>
      <c r="AD405" s="20">
        <f>IF(AP405="7",BH405,0)</f>
        <v>0</v>
      </c>
      <c r="AE405" s="20">
        <f>IF(AP405="2",BG405,0)</f>
        <v>0</v>
      </c>
      <c r="AF405" s="20">
        <f>IF(AP405="2",BH405,0)</f>
        <v>0</v>
      </c>
      <c r="AG405" s="20">
        <f>IF(AP405="0",BI405,0)</f>
        <v>0</v>
      </c>
      <c r="AH405" s="15" t="s">
        <v>135</v>
      </c>
      <c r="AI405" s="12">
        <f>IF(AM405=0,K405,0)</f>
        <v>0</v>
      </c>
      <c r="AJ405" s="12">
        <f>IF(AM405=15,K405,0)</f>
        <v>0</v>
      </c>
      <c r="AK405" s="12">
        <f>IF(AM405=21,K405,0)</f>
        <v>0</v>
      </c>
      <c r="AM405" s="20">
        <v>15</v>
      </c>
      <c r="AN405" s="20">
        <f>H405*0.0260648952965204</f>
        <v>0</v>
      </c>
      <c r="AO405" s="20">
        <f>H405*(1-0.0260648952965204)</f>
        <v>0</v>
      </c>
      <c r="AP405" s="16" t="s">
        <v>262</v>
      </c>
      <c r="AU405" s="20">
        <f>AV405+AW405</f>
        <v>0</v>
      </c>
      <c r="AV405" s="20">
        <f>G405*AN405</f>
        <v>0</v>
      </c>
      <c r="AW405" s="20">
        <f>G405*AO405</f>
        <v>0</v>
      </c>
      <c r="AX405" s="21" t="s">
        <v>160</v>
      </c>
      <c r="AY405" s="21" t="s">
        <v>181</v>
      </c>
      <c r="AZ405" s="15" t="s">
        <v>190</v>
      </c>
      <c r="BB405" s="20">
        <f>AV405+AW405</f>
        <v>0</v>
      </c>
      <c r="BC405" s="20">
        <f>H405/(100-BD405)*100</f>
        <v>0</v>
      </c>
      <c r="BD405" s="20">
        <v>0</v>
      </c>
      <c r="BE405" s="20">
        <f>405</f>
        <v>405</v>
      </c>
      <c r="BG405" s="12">
        <f>G405*AN405</f>
        <v>0</v>
      </c>
      <c r="BH405" s="12">
        <f>G405*AO405</f>
        <v>0</v>
      </c>
      <c r="BI405" s="12">
        <f>G405*H405</f>
        <v>0</v>
      </c>
    </row>
    <row r="406" spans="1:11" ht="12.75">
      <c r="A406" s="59"/>
      <c r="B406" s="59"/>
      <c r="C406" s="149" t="s">
        <v>1038</v>
      </c>
      <c r="D406" s="150"/>
      <c r="E406" s="150"/>
      <c r="F406" s="59"/>
      <c r="G406" s="60">
        <v>17.92</v>
      </c>
      <c r="H406" s="59"/>
      <c r="I406" s="59"/>
      <c r="J406" s="59"/>
      <c r="K406" s="59"/>
    </row>
    <row r="407" spans="1:11" ht="12.75">
      <c r="A407" s="59"/>
      <c r="B407" s="59"/>
      <c r="C407" s="149" t="s">
        <v>1039</v>
      </c>
      <c r="D407" s="150"/>
      <c r="E407" s="150"/>
      <c r="F407" s="59"/>
      <c r="G407" s="60">
        <v>21.46</v>
      </c>
      <c r="H407" s="59"/>
      <c r="I407" s="59"/>
      <c r="J407" s="59"/>
      <c r="K407" s="59"/>
    </row>
    <row r="408" spans="1:61" ht="12.75">
      <c r="A408" s="67" t="s">
        <v>411</v>
      </c>
      <c r="B408" s="67" t="s">
        <v>619</v>
      </c>
      <c r="C408" s="155" t="s">
        <v>1040</v>
      </c>
      <c r="D408" s="156"/>
      <c r="E408" s="156"/>
      <c r="F408" s="67" t="s">
        <v>104</v>
      </c>
      <c r="G408" s="68">
        <v>137.83</v>
      </c>
      <c r="H408" s="68">
        <v>0</v>
      </c>
      <c r="I408" s="68">
        <f>G408*AN408</f>
        <v>0</v>
      </c>
      <c r="J408" s="68">
        <f>G408*AO408</f>
        <v>0</v>
      </c>
      <c r="K408" s="68">
        <f>G408*H408</f>
        <v>0</v>
      </c>
      <c r="Y408" s="20">
        <f>IF(AP408="5",BI408,0)</f>
        <v>0</v>
      </c>
      <c r="AA408" s="20">
        <f>IF(AP408="1",BG408,0)</f>
        <v>0</v>
      </c>
      <c r="AB408" s="20">
        <f>IF(AP408="1",BH408,0)</f>
        <v>0</v>
      </c>
      <c r="AC408" s="20">
        <f>IF(AP408="7",BG408,0)</f>
        <v>0</v>
      </c>
      <c r="AD408" s="20">
        <f>IF(AP408="7",BH408,0)</f>
        <v>0</v>
      </c>
      <c r="AE408" s="20">
        <f>IF(AP408="2",BG408,0)</f>
        <v>0</v>
      </c>
      <c r="AF408" s="20">
        <f>IF(AP408="2",BH408,0)</f>
        <v>0</v>
      </c>
      <c r="AG408" s="20">
        <f>IF(AP408="0",BI408,0)</f>
        <v>0</v>
      </c>
      <c r="AH408" s="15" t="s">
        <v>135</v>
      </c>
      <c r="AI408" s="13">
        <f>IF(AM408=0,K408,0)</f>
        <v>0</v>
      </c>
      <c r="AJ408" s="13">
        <f>IF(AM408=15,K408,0)</f>
        <v>0</v>
      </c>
      <c r="AK408" s="13">
        <f>IF(AM408=21,K408,0)</f>
        <v>0</v>
      </c>
      <c r="AM408" s="20">
        <v>15</v>
      </c>
      <c r="AN408" s="20">
        <f>H408*1</f>
        <v>0</v>
      </c>
      <c r="AO408" s="20">
        <f>H408*(1-1)</f>
        <v>0</v>
      </c>
      <c r="AP408" s="17" t="s">
        <v>262</v>
      </c>
      <c r="AU408" s="20">
        <f>AV408+AW408</f>
        <v>0</v>
      </c>
      <c r="AV408" s="20">
        <f>G408*AN408</f>
        <v>0</v>
      </c>
      <c r="AW408" s="20">
        <f>G408*AO408</f>
        <v>0</v>
      </c>
      <c r="AX408" s="21" t="s">
        <v>160</v>
      </c>
      <c r="AY408" s="21" t="s">
        <v>181</v>
      </c>
      <c r="AZ408" s="15" t="s">
        <v>190</v>
      </c>
      <c r="BB408" s="20">
        <f>AV408+AW408</f>
        <v>0</v>
      </c>
      <c r="BC408" s="20">
        <f>H408/(100-BD408)*100</f>
        <v>0</v>
      </c>
      <c r="BD408" s="20">
        <v>0</v>
      </c>
      <c r="BE408" s="20">
        <f>408</f>
        <v>408</v>
      </c>
      <c r="BG408" s="13">
        <f>G408*AN408</f>
        <v>0</v>
      </c>
      <c r="BH408" s="13">
        <f>G408*AO408</f>
        <v>0</v>
      </c>
      <c r="BI408" s="13">
        <f>G408*H408</f>
        <v>0</v>
      </c>
    </row>
    <row r="409" spans="1:11" ht="12.75">
      <c r="A409" s="69"/>
      <c r="B409" s="69"/>
      <c r="C409" s="157" t="s">
        <v>1041</v>
      </c>
      <c r="D409" s="150"/>
      <c r="E409" s="150"/>
      <c r="F409" s="69"/>
      <c r="G409" s="70">
        <v>137.83</v>
      </c>
      <c r="H409" s="69"/>
      <c r="I409" s="69"/>
      <c r="J409" s="69"/>
      <c r="K409" s="69"/>
    </row>
    <row r="410" spans="1:61" ht="12.75">
      <c r="A410" s="57" t="s">
        <v>412</v>
      </c>
      <c r="B410" s="57" t="s">
        <v>620</v>
      </c>
      <c r="C410" s="146" t="s">
        <v>1042</v>
      </c>
      <c r="D410" s="145"/>
      <c r="E410" s="145"/>
      <c r="F410" s="57" t="s">
        <v>103</v>
      </c>
      <c r="G410" s="58">
        <v>0.88</v>
      </c>
      <c r="H410" s="58">
        <v>0</v>
      </c>
      <c r="I410" s="58">
        <f>G410*AN410</f>
        <v>0</v>
      </c>
      <c r="J410" s="58">
        <f>G410*AO410</f>
        <v>0</v>
      </c>
      <c r="K410" s="58">
        <f>G410*H410</f>
        <v>0</v>
      </c>
      <c r="Y410" s="20">
        <f>IF(AP410="5",BI410,0)</f>
        <v>0</v>
      </c>
      <c r="AA410" s="20">
        <f>IF(AP410="1",BG410,0)</f>
        <v>0</v>
      </c>
      <c r="AB410" s="20">
        <f>IF(AP410="1",BH410,0)</f>
        <v>0</v>
      </c>
      <c r="AC410" s="20">
        <f>IF(AP410="7",BG410,0)</f>
        <v>0</v>
      </c>
      <c r="AD410" s="20">
        <f>IF(AP410="7",BH410,0)</f>
        <v>0</v>
      </c>
      <c r="AE410" s="20">
        <f>IF(AP410="2",BG410,0)</f>
        <v>0</v>
      </c>
      <c r="AF410" s="20">
        <f>IF(AP410="2",BH410,0)</f>
        <v>0</v>
      </c>
      <c r="AG410" s="20">
        <f>IF(AP410="0",BI410,0)</f>
        <v>0</v>
      </c>
      <c r="AH410" s="15" t="s">
        <v>135</v>
      </c>
      <c r="AI410" s="12">
        <f>IF(AM410=0,K410,0)</f>
        <v>0</v>
      </c>
      <c r="AJ410" s="12">
        <f>IF(AM410=15,K410,0)</f>
        <v>0</v>
      </c>
      <c r="AK410" s="12">
        <f>IF(AM410=21,K410,0)</f>
        <v>0</v>
      </c>
      <c r="AM410" s="20">
        <v>15</v>
      </c>
      <c r="AN410" s="20">
        <f>H410*0</f>
        <v>0</v>
      </c>
      <c r="AO410" s="20">
        <f>H410*(1-0)</f>
        <v>0</v>
      </c>
      <c r="AP410" s="16" t="s">
        <v>260</v>
      </c>
      <c r="AU410" s="20">
        <f>AV410+AW410</f>
        <v>0</v>
      </c>
      <c r="AV410" s="20">
        <f>G410*AN410</f>
        <v>0</v>
      </c>
      <c r="AW410" s="20">
        <f>G410*AO410</f>
        <v>0</v>
      </c>
      <c r="AX410" s="21" t="s">
        <v>160</v>
      </c>
      <c r="AY410" s="21" t="s">
        <v>181</v>
      </c>
      <c r="AZ410" s="15" t="s">
        <v>190</v>
      </c>
      <c r="BB410" s="20">
        <f>AV410+AW410</f>
        <v>0</v>
      </c>
      <c r="BC410" s="20">
        <f>H410/(100-BD410)*100</f>
        <v>0</v>
      </c>
      <c r="BD410" s="20">
        <v>0</v>
      </c>
      <c r="BE410" s="20">
        <f>410</f>
        <v>410</v>
      </c>
      <c r="BG410" s="12">
        <f>G410*AN410</f>
        <v>0</v>
      </c>
      <c r="BH410" s="12">
        <f>G410*AO410</f>
        <v>0</v>
      </c>
      <c r="BI410" s="12">
        <f>G410*H410</f>
        <v>0</v>
      </c>
    </row>
    <row r="411" spans="1:11" ht="12.75">
      <c r="A411" s="59"/>
      <c r="B411" s="59"/>
      <c r="C411" s="149" t="s">
        <v>1043</v>
      </c>
      <c r="D411" s="150"/>
      <c r="E411" s="150"/>
      <c r="F411" s="59"/>
      <c r="G411" s="60">
        <v>0.88</v>
      </c>
      <c r="H411" s="59"/>
      <c r="I411" s="59"/>
      <c r="J411" s="59"/>
      <c r="K411" s="59"/>
    </row>
    <row r="412" spans="1:46" ht="12.75">
      <c r="A412" s="61"/>
      <c r="B412" s="62" t="s">
        <v>621</v>
      </c>
      <c r="C412" s="151" t="s">
        <v>1044</v>
      </c>
      <c r="D412" s="143"/>
      <c r="E412" s="143"/>
      <c r="F412" s="61" t="s">
        <v>255</v>
      </c>
      <c r="G412" s="61" t="s">
        <v>255</v>
      </c>
      <c r="H412" s="61" t="s">
        <v>255</v>
      </c>
      <c r="I412" s="63">
        <f>SUM(I413:I419)</f>
        <v>0</v>
      </c>
      <c r="J412" s="63">
        <f>SUM(J413:J419)</f>
        <v>0</v>
      </c>
      <c r="K412" s="63">
        <f>SUM(K413:K419)</f>
        <v>0</v>
      </c>
      <c r="AH412" s="15" t="s">
        <v>135</v>
      </c>
      <c r="AR412" s="22">
        <f>SUM(AI413:AI419)</f>
        <v>0</v>
      </c>
      <c r="AS412" s="22">
        <f>SUM(AJ413:AJ419)</f>
        <v>0</v>
      </c>
      <c r="AT412" s="22">
        <f>SUM(AK413:AK419)</f>
        <v>0</v>
      </c>
    </row>
    <row r="413" spans="1:61" ht="12.75">
      <c r="A413" s="57" t="s">
        <v>413</v>
      </c>
      <c r="B413" s="57" t="s">
        <v>622</v>
      </c>
      <c r="C413" s="146" t="s">
        <v>1045</v>
      </c>
      <c r="D413" s="145"/>
      <c r="E413" s="145"/>
      <c r="F413" s="57" t="s">
        <v>100</v>
      </c>
      <c r="G413" s="58">
        <v>13.48</v>
      </c>
      <c r="H413" s="58">
        <v>0</v>
      </c>
      <c r="I413" s="58">
        <f>G413*AN413</f>
        <v>0</v>
      </c>
      <c r="J413" s="58">
        <f>G413*AO413</f>
        <v>0</v>
      </c>
      <c r="K413" s="58">
        <f>G413*H413</f>
        <v>0</v>
      </c>
      <c r="Y413" s="20">
        <f>IF(AP413="5",BI413,0)</f>
        <v>0</v>
      </c>
      <c r="AA413" s="20">
        <f>IF(AP413="1",BG413,0)</f>
        <v>0</v>
      </c>
      <c r="AB413" s="20">
        <f>IF(AP413="1",BH413,0)</f>
        <v>0</v>
      </c>
      <c r="AC413" s="20">
        <f>IF(AP413="7",BG413,0)</f>
        <v>0</v>
      </c>
      <c r="AD413" s="20">
        <f>IF(AP413="7",BH413,0)</f>
        <v>0</v>
      </c>
      <c r="AE413" s="20">
        <f>IF(AP413="2",BG413,0)</f>
        <v>0</v>
      </c>
      <c r="AF413" s="20">
        <f>IF(AP413="2",BH413,0)</f>
        <v>0</v>
      </c>
      <c r="AG413" s="20">
        <f>IF(AP413="0",BI413,0)</f>
        <v>0</v>
      </c>
      <c r="AH413" s="15" t="s">
        <v>135</v>
      </c>
      <c r="AI413" s="12">
        <f>IF(AM413=0,K413,0)</f>
        <v>0</v>
      </c>
      <c r="AJ413" s="12">
        <f>IF(AM413=15,K413,0)</f>
        <v>0</v>
      </c>
      <c r="AK413" s="12">
        <f>IF(AM413=21,K413,0)</f>
        <v>0</v>
      </c>
      <c r="AM413" s="20">
        <v>15</v>
      </c>
      <c r="AN413" s="20">
        <f>H413*0.183101142379493</f>
        <v>0</v>
      </c>
      <c r="AO413" s="20">
        <f>H413*(1-0.183101142379493)</f>
        <v>0</v>
      </c>
      <c r="AP413" s="16" t="s">
        <v>262</v>
      </c>
      <c r="AU413" s="20">
        <f>AV413+AW413</f>
        <v>0</v>
      </c>
      <c r="AV413" s="20">
        <f>G413*AN413</f>
        <v>0</v>
      </c>
      <c r="AW413" s="20">
        <f>G413*AO413</f>
        <v>0</v>
      </c>
      <c r="AX413" s="21" t="s">
        <v>161</v>
      </c>
      <c r="AY413" s="21" t="s">
        <v>182</v>
      </c>
      <c r="AZ413" s="15" t="s">
        <v>190</v>
      </c>
      <c r="BB413" s="20">
        <f>AV413+AW413</f>
        <v>0</v>
      </c>
      <c r="BC413" s="20">
        <f>H413/(100-BD413)*100</f>
        <v>0</v>
      </c>
      <c r="BD413" s="20">
        <v>0</v>
      </c>
      <c r="BE413" s="20">
        <f>413</f>
        <v>413</v>
      </c>
      <c r="BG413" s="12">
        <f>G413*AN413</f>
        <v>0</v>
      </c>
      <c r="BH413" s="12">
        <f>G413*AO413</f>
        <v>0</v>
      </c>
      <c r="BI413" s="12">
        <f>G413*H413</f>
        <v>0</v>
      </c>
    </row>
    <row r="414" spans="1:11" ht="12.75">
      <c r="A414" s="59"/>
      <c r="B414" s="59"/>
      <c r="C414" s="149" t="s">
        <v>1046</v>
      </c>
      <c r="D414" s="150"/>
      <c r="E414" s="150"/>
      <c r="F414" s="59"/>
      <c r="G414" s="60">
        <v>13.48</v>
      </c>
      <c r="H414" s="59"/>
      <c r="I414" s="59"/>
      <c r="J414" s="59"/>
      <c r="K414" s="59"/>
    </row>
    <row r="415" spans="1:61" ht="12.75">
      <c r="A415" s="57" t="s">
        <v>414</v>
      </c>
      <c r="B415" s="57" t="s">
        <v>623</v>
      </c>
      <c r="C415" s="146" t="s">
        <v>1047</v>
      </c>
      <c r="D415" s="145"/>
      <c r="E415" s="145"/>
      <c r="F415" s="57" t="s">
        <v>100</v>
      </c>
      <c r="G415" s="58">
        <v>13.48</v>
      </c>
      <c r="H415" s="58">
        <v>0</v>
      </c>
      <c r="I415" s="58">
        <f>G415*AN415</f>
        <v>0</v>
      </c>
      <c r="J415" s="58">
        <f>G415*AO415</f>
        <v>0</v>
      </c>
      <c r="K415" s="58">
        <f>G415*H415</f>
        <v>0</v>
      </c>
      <c r="Y415" s="20">
        <f>IF(AP415="5",BI415,0)</f>
        <v>0</v>
      </c>
      <c r="AA415" s="20">
        <f>IF(AP415="1",BG415,0)</f>
        <v>0</v>
      </c>
      <c r="AB415" s="20">
        <f>IF(AP415="1",BH415,0)</f>
        <v>0</v>
      </c>
      <c r="AC415" s="20">
        <f>IF(AP415="7",BG415,0)</f>
        <v>0</v>
      </c>
      <c r="AD415" s="20">
        <f>IF(AP415="7",BH415,0)</f>
        <v>0</v>
      </c>
      <c r="AE415" s="20">
        <f>IF(AP415="2",BG415,0)</f>
        <v>0</v>
      </c>
      <c r="AF415" s="20">
        <f>IF(AP415="2",BH415,0)</f>
        <v>0</v>
      </c>
      <c r="AG415" s="20">
        <f>IF(AP415="0",BI415,0)</f>
        <v>0</v>
      </c>
      <c r="AH415" s="15" t="s">
        <v>135</v>
      </c>
      <c r="AI415" s="12">
        <f>IF(AM415=0,K415,0)</f>
        <v>0</v>
      </c>
      <c r="AJ415" s="12">
        <f>IF(AM415=15,K415,0)</f>
        <v>0</v>
      </c>
      <c r="AK415" s="12">
        <f>IF(AM415=21,K415,0)</f>
        <v>0</v>
      </c>
      <c r="AM415" s="20">
        <v>15</v>
      </c>
      <c r="AN415" s="20">
        <f>H415*0.0665420560747664</f>
        <v>0</v>
      </c>
      <c r="AO415" s="20">
        <f>H415*(1-0.0665420560747664)</f>
        <v>0</v>
      </c>
      <c r="AP415" s="16" t="s">
        <v>262</v>
      </c>
      <c r="AU415" s="20">
        <f>AV415+AW415</f>
        <v>0</v>
      </c>
      <c r="AV415" s="20">
        <f>G415*AN415</f>
        <v>0</v>
      </c>
      <c r="AW415" s="20">
        <f>G415*AO415</f>
        <v>0</v>
      </c>
      <c r="AX415" s="21" t="s">
        <v>161</v>
      </c>
      <c r="AY415" s="21" t="s">
        <v>182</v>
      </c>
      <c r="AZ415" s="15" t="s">
        <v>190</v>
      </c>
      <c r="BB415" s="20">
        <f>AV415+AW415</f>
        <v>0</v>
      </c>
      <c r="BC415" s="20">
        <f>H415/(100-BD415)*100</f>
        <v>0</v>
      </c>
      <c r="BD415" s="20">
        <v>0</v>
      </c>
      <c r="BE415" s="20">
        <f>415</f>
        <v>415</v>
      </c>
      <c r="BG415" s="12">
        <f>G415*AN415</f>
        <v>0</v>
      </c>
      <c r="BH415" s="12">
        <f>G415*AO415</f>
        <v>0</v>
      </c>
      <c r="BI415" s="12">
        <f>G415*H415</f>
        <v>0</v>
      </c>
    </row>
    <row r="416" spans="1:11" ht="12.75">
      <c r="A416" s="59"/>
      <c r="B416" s="59"/>
      <c r="C416" s="149" t="s">
        <v>1046</v>
      </c>
      <c r="D416" s="150"/>
      <c r="E416" s="150"/>
      <c r="F416" s="59"/>
      <c r="G416" s="60">
        <v>13.48</v>
      </c>
      <c r="H416" s="59"/>
      <c r="I416" s="59"/>
      <c r="J416" s="59"/>
      <c r="K416" s="59"/>
    </row>
    <row r="417" spans="1:61" ht="12.75">
      <c r="A417" s="57" t="s">
        <v>415</v>
      </c>
      <c r="B417" s="57" t="s">
        <v>624</v>
      </c>
      <c r="C417" s="146" t="s">
        <v>1048</v>
      </c>
      <c r="D417" s="145"/>
      <c r="E417" s="145"/>
      <c r="F417" s="57" t="s">
        <v>100</v>
      </c>
      <c r="G417" s="58">
        <v>117.43</v>
      </c>
      <c r="H417" s="58">
        <v>0</v>
      </c>
      <c r="I417" s="58">
        <f>G417*AN417</f>
        <v>0</v>
      </c>
      <c r="J417" s="58">
        <f>G417*AO417</f>
        <v>0</v>
      </c>
      <c r="K417" s="58">
        <f>G417*H417</f>
        <v>0</v>
      </c>
      <c r="Y417" s="20">
        <f>IF(AP417="5",BI417,0)</f>
        <v>0</v>
      </c>
      <c r="AA417" s="20">
        <f>IF(AP417="1",BG417,0)</f>
        <v>0</v>
      </c>
      <c r="AB417" s="20">
        <f>IF(AP417="1",BH417,0)</f>
        <v>0</v>
      </c>
      <c r="AC417" s="20">
        <f>IF(AP417="7",BG417,0)</f>
        <v>0</v>
      </c>
      <c r="AD417" s="20">
        <f>IF(AP417="7",BH417,0)</f>
        <v>0</v>
      </c>
      <c r="AE417" s="20">
        <f>IF(AP417="2",BG417,0)</f>
        <v>0</v>
      </c>
      <c r="AF417" s="20">
        <f>IF(AP417="2",BH417,0)</f>
        <v>0</v>
      </c>
      <c r="AG417" s="20">
        <f>IF(AP417="0",BI417,0)</f>
        <v>0</v>
      </c>
      <c r="AH417" s="15" t="s">
        <v>135</v>
      </c>
      <c r="AI417" s="12">
        <f>IF(AM417=0,K417,0)</f>
        <v>0</v>
      </c>
      <c r="AJ417" s="12">
        <f>IF(AM417=15,K417,0)</f>
        <v>0</v>
      </c>
      <c r="AK417" s="12">
        <f>IF(AM417=21,K417,0)</f>
        <v>0</v>
      </c>
      <c r="AM417" s="20">
        <v>15</v>
      </c>
      <c r="AN417" s="20">
        <f>H417*0.0792136347326875</f>
        <v>0</v>
      </c>
      <c r="AO417" s="20">
        <f>H417*(1-0.0792136347326875)</f>
        <v>0</v>
      </c>
      <c r="AP417" s="16" t="s">
        <v>262</v>
      </c>
      <c r="AU417" s="20">
        <f>AV417+AW417</f>
        <v>0</v>
      </c>
      <c r="AV417" s="20">
        <f>G417*AN417</f>
        <v>0</v>
      </c>
      <c r="AW417" s="20">
        <f>G417*AO417</f>
        <v>0</v>
      </c>
      <c r="AX417" s="21" t="s">
        <v>161</v>
      </c>
      <c r="AY417" s="21" t="s">
        <v>182</v>
      </c>
      <c r="AZ417" s="15" t="s">
        <v>190</v>
      </c>
      <c r="BB417" s="20">
        <f>AV417+AW417</f>
        <v>0</v>
      </c>
      <c r="BC417" s="20">
        <f>H417/(100-BD417)*100</f>
        <v>0</v>
      </c>
      <c r="BD417" s="20">
        <v>0</v>
      </c>
      <c r="BE417" s="20">
        <f>417</f>
        <v>417</v>
      </c>
      <c r="BG417" s="12">
        <f>G417*AN417</f>
        <v>0</v>
      </c>
      <c r="BH417" s="12">
        <f>G417*AO417</f>
        <v>0</v>
      </c>
      <c r="BI417" s="12">
        <f>G417*H417</f>
        <v>0</v>
      </c>
    </row>
    <row r="418" spans="1:11" ht="12.75">
      <c r="A418" s="59"/>
      <c r="B418" s="59"/>
      <c r="C418" s="149" t="s">
        <v>1049</v>
      </c>
      <c r="D418" s="150"/>
      <c r="E418" s="150"/>
      <c r="F418" s="59"/>
      <c r="G418" s="60">
        <v>117.43</v>
      </c>
      <c r="H418" s="59"/>
      <c r="I418" s="59"/>
      <c r="J418" s="59"/>
      <c r="K418" s="59"/>
    </row>
    <row r="419" spans="1:61" ht="12.75">
      <c r="A419" s="57" t="s">
        <v>416</v>
      </c>
      <c r="B419" s="57" t="s">
        <v>625</v>
      </c>
      <c r="C419" s="146" t="s">
        <v>1050</v>
      </c>
      <c r="D419" s="145"/>
      <c r="E419" s="145"/>
      <c r="F419" s="57" t="s">
        <v>100</v>
      </c>
      <c r="G419" s="58">
        <v>117.43</v>
      </c>
      <c r="H419" s="58">
        <v>0</v>
      </c>
      <c r="I419" s="58">
        <f>G419*AN419</f>
        <v>0</v>
      </c>
      <c r="J419" s="58">
        <f>G419*AO419</f>
        <v>0</v>
      </c>
      <c r="K419" s="58">
        <f>G419*H419</f>
        <v>0</v>
      </c>
      <c r="Y419" s="20">
        <f>IF(AP419="5",BI419,0)</f>
        <v>0</v>
      </c>
      <c r="AA419" s="20">
        <f>IF(AP419="1",BG419,0)</f>
        <v>0</v>
      </c>
      <c r="AB419" s="20">
        <f>IF(AP419="1",BH419,0)</f>
        <v>0</v>
      </c>
      <c r="AC419" s="20">
        <f>IF(AP419="7",BG419,0)</f>
        <v>0</v>
      </c>
      <c r="AD419" s="20">
        <f>IF(AP419="7",BH419,0)</f>
        <v>0</v>
      </c>
      <c r="AE419" s="20">
        <f>IF(AP419="2",BG419,0)</f>
        <v>0</v>
      </c>
      <c r="AF419" s="20">
        <f>IF(AP419="2",BH419,0)</f>
        <v>0</v>
      </c>
      <c r="AG419" s="20">
        <f>IF(AP419="0",BI419,0)</f>
        <v>0</v>
      </c>
      <c r="AH419" s="15" t="s">
        <v>135</v>
      </c>
      <c r="AI419" s="12">
        <f>IF(AM419=0,K419,0)</f>
        <v>0</v>
      </c>
      <c r="AJ419" s="12">
        <f>IF(AM419=15,K419,0)</f>
        <v>0</v>
      </c>
      <c r="AK419" s="12">
        <f>IF(AM419=21,K419,0)</f>
        <v>0</v>
      </c>
      <c r="AM419" s="20">
        <v>15</v>
      </c>
      <c r="AN419" s="20">
        <f>H419*0.247560936057082</f>
        <v>0</v>
      </c>
      <c r="AO419" s="20">
        <f>H419*(1-0.247560936057082)</f>
        <v>0</v>
      </c>
      <c r="AP419" s="16" t="s">
        <v>262</v>
      </c>
      <c r="AU419" s="20">
        <f>AV419+AW419</f>
        <v>0</v>
      </c>
      <c r="AV419" s="20">
        <f>G419*AN419</f>
        <v>0</v>
      </c>
      <c r="AW419" s="20">
        <f>G419*AO419</f>
        <v>0</v>
      </c>
      <c r="AX419" s="21" t="s">
        <v>161</v>
      </c>
      <c r="AY419" s="21" t="s">
        <v>182</v>
      </c>
      <c r="AZ419" s="15" t="s">
        <v>190</v>
      </c>
      <c r="BB419" s="20">
        <f>AV419+AW419</f>
        <v>0</v>
      </c>
      <c r="BC419" s="20">
        <f>H419/(100-BD419)*100</f>
        <v>0</v>
      </c>
      <c r="BD419" s="20">
        <v>0</v>
      </c>
      <c r="BE419" s="20">
        <f>419</f>
        <v>419</v>
      </c>
      <c r="BG419" s="12">
        <f>G419*AN419</f>
        <v>0</v>
      </c>
      <c r="BH419" s="12">
        <f>G419*AO419</f>
        <v>0</v>
      </c>
      <c r="BI419" s="12">
        <f>G419*H419</f>
        <v>0</v>
      </c>
    </row>
    <row r="420" spans="1:11" ht="12.75">
      <c r="A420" s="59"/>
      <c r="B420" s="59"/>
      <c r="C420" s="149" t="s">
        <v>1051</v>
      </c>
      <c r="D420" s="150"/>
      <c r="E420" s="150"/>
      <c r="F420" s="59"/>
      <c r="G420" s="60">
        <v>117.43</v>
      </c>
      <c r="H420" s="59"/>
      <c r="I420" s="59"/>
      <c r="J420" s="59"/>
      <c r="K420" s="59"/>
    </row>
    <row r="421" spans="1:46" ht="12.75">
      <c r="A421" s="2"/>
      <c r="B421" s="8" t="s">
        <v>626</v>
      </c>
      <c r="C421" s="142" t="s">
        <v>1052</v>
      </c>
      <c r="D421" s="143"/>
      <c r="E421" s="143"/>
      <c r="F421" s="2" t="s">
        <v>255</v>
      </c>
      <c r="G421" s="2" t="s">
        <v>255</v>
      </c>
      <c r="H421" s="2" t="s">
        <v>255</v>
      </c>
      <c r="I421" s="22">
        <f>SUM(I422:I427)</f>
        <v>0</v>
      </c>
      <c r="J421" s="22">
        <f>SUM(J422:J427)</f>
        <v>0</v>
      </c>
      <c r="K421" s="22">
        <f>SUM(K422:K427)</f>
        <v>0</v>
      </c>
      <c r="AH421" s="15" t="s">
        <v>135</v>
      </c>
      <c r="AR421" s="22">
        <f>SUM(AI422:AI427)</f>
        <v>0</v>
      </c>
      <c r="AS421" s="22">
        <f>SUM(AJ422:AJ427)</f>
        <v>0</v>
      </c>
      <c r="AT421" s="22">
        <f>SUM(AK422:AK427)</f>
        <v>0</v>
      </c>
    </row>
    <row r="422" spans="1:61" ht="12.75">
      <c r="A422" s="57" t="s">
        <v>417</v>
      </c>
      <c r="B422" s="57" t="s">
        <v>627</v>
      </c>
      <c r="C422" s="146" t="s">
        <v>1053</v>
      </c>
      <c r="D422" s="145"/>
      <c r="E422" s="145"/>
      <c r="F422" s="57" t="s">
        <v>100</v>
      </c>
      <c r="G422" s="58">
        <v>3</v>
      </c>
      <c r="H422" s="58">
        <v>0</v>
      </c>
      <c r="I422" s="58">
        <f>G422*AN422</f>
        <v>0</v>
      </c>
      <c r="J422" s="58">
        <f>G422*AO422</f>
        <v>0</v>
      </c>
      <c r="K422" s="58">
        <f>G422*H422</f>
        <v>0</v>
      </c>
      <c r="Y422" s="20">
        <f>IF(AP422="5",BI422,0)</f>
        <v>0</v>
      </c>
      <c r="AA422" s="20">
        <f>IF(AP422="1",BG422,0)</f>
        <v>0</v>
      </c>
      <c r="AB422" s="20">
        <f>IF(AP422="1",BH422,0)</f>
        <v>0</v>
      </c>
      <c r="AC422" s="20">
        <f>IF(AP422="7",BG422,0)</f>
        <v>0</v>
      </c>
      <c r="AD422" s="20">
        <f>IF(AP422="7",BH422,0)</f>
        <v>0</v>
      </c>
      <c r="AE422" s="20">
        <f>IF(AP422="2",BG422,0)</f>
        <v>0</v>
      </c>
      <c r="AF422" s="20">
        <f>IF(AP422="2",BH422,0)</f>
        <v>0</v>
      </c>
      <c r="AG422" s="20">
        <f>IF(AP422="0",BI422,0)</f>
        <v>0</v>
      </c>
      <c r="AH422" s="15" t="s">
        <v>135</v>
      </c>
      <c r="AI422" s="12">
        <f>IF(AM422=0,K422,0)</f>
        <v>0</v>
      </c>
      <c r="AJ422" s="12">
        <f>IF(AM422=15,K422,0)</f>
        <v>0</v>
      </c>
      <c r="AK422" s="12">
        <f>IF(AM422=21,K422,0)</f>
        <v>0</v>
      </c>
      <c r="AM422" s="20">
        <v>15</v>
      </c>
      <c r="AN422" s="20">
        <f>H422*0.470361290322581</f>
        <v>0</v>
      </c>
      <c r="AO422" s="20">
        <f>H422*(1-0.470361290322581)</f>
        <v>0</v>
      </c>
      <c r="AP422" s="16" t="s">
        <v>262</v>
      </c>
      <c r="AU422" s="20">
        <f>AV422+AW422</f>
        <v>0</v>
      </c>
      <c r="AV422" s="20">
        <f>G422*AN422</f>
        <v>0</v>
      </c>
      <c r="AW422" s="20">
        <f>G422*AO422</f>
        <v>0</v>
      </c>
      <c r="AX422" s="21" t="s">
        <v>162</v>
      </c>
      <c r="AY422" s="21" t="s">
        <v>182</v>
      </c>
      <c r="AZ422" s="15" t="s">
        <v>190</v>
      </c>
      <c r="BB422" s="20">
        <f>AV422+AW422</f>
        <v>0</v>
      </c>
      <c r="BC422" s="20">
        <f>H422/(100-BD422)*100</f>
        <v>0</v>
      </c>
      <c r="BD422" s="20">
        <v>0</v>
      </c>
      <c r="BE422" s="20">
        <f>422</f>
        <v>422</v>
      </c>
      <c r="BG422" s="12">
        <f>G422*AN422</f>
        <v>0</v>
      </c>
      <c r="BH422" s="12">
        <f>G422*AO422</f>
        <v>0</v>
      </c>
      <c r="BI422" s="12">
        <f>G422*H422</f>
        <v>0</v>
      </c>
    </row>
    <row r="423" spans="3:5" ht="12.75">
      <c r="C423" s="147" t="s">
        <v>1054</v>
      </c>
      <c r="D423" s="148"/>
      <c r="E423" s="148"/>
    </row>
    <row r="424" spans="1:11" ht="12.75">
      <c r="A424" s="59"/>
      <c r="B424" s="59"/>
      <c r="C424" s="149" t="s">
        <v>1055</v>
      </c>
      <c r="D424" s="150"/>
      <c r="E424" s="150"/>
      <c r="F424" s="59"/>
      <c r="G424" s="60">
        <v>3</v>
      </c>
      <c r="H424" s="59"/>
      <c r="I424" s="59"/>
      <c r="J424" s="59"/>
      <c r="K424" s="59"/>
    </row>
    <row r="425" spans="1:61" ht="12.75">
      <c r="A425" s="67" t="s">
        <v>418</v>
      </c>
      <c r="B425" s="67" t="s">
        <v>628</v>
      </c>
      <c r="C425" s="155" t="s">
        <v>0</v>
      </c>
      <c r="D425" s="156"/>
      <c r="E425" s="156"/>
      <c r="F425" s="67" t="s">
        <v>105</v>
      </c>
      <c r="G425" s="68">
        <v>3</v>
      </c>
      <c r="H425" s="68">
        <v>0</v>
      </c>
      <c r="I425" s="68">
        <f>G425*AN425</f>
        <v>0</v>
      </c>
      <c r="J425" s="68">
        <f>G425*AO425</f>
        <v>0</v>
      </c>
      <c r="K425" s="68">
        <f>G425*H425</f>
        <v>0</v>
      </c>
      <c r="Y425" s="20">
        <f>IF(AP425="5",BI425,0)</f>
        <v>0</v>
      </c>
      <c r="AA425" s="20">
        <f>IF(AP425="1",BG425,0)</f>
        <v>0</v>
      </c>
      <c r="AB425" s="20">
        <f>IF(AP425="1",BH425,0)</f>
        <v>0</v>
      </c>
      <c r="AC425" s="20">
        <f>IF(AP425="7",BG425,0)</f>
        <v>0</v>
      </c>
      <c r="AD425" s="20">
        <f>IF(AP425="7",BH425,0)</f>
        <v>0</v>
      </c>
      <c r="AE425" s="20">
        <f>IF(AP425="2",BG425,0)</f>
        <v>0</v>
      </c>
      <c r="AF425" s="20">
        <f>IF(AP425="2",BH425,0)</f>
        <v>0</v>
      </c>
      <c r="AG425" s="20">
        <f>IF(AP425="0",BI425,0)</f>
        <v>0</v>
      </c>
      <c r="AH425" s="15" t="s">
        <v>135</v>
      </c>
      <c r="AI425" s="13">
        <f>IF(AM425=0,K425,0)</f>
        <v>0</v>
      </c>
      <c r="AJ425" s="13">
        <f>IF(AM425=15,K425,0)</f>
        <v>0</v>
      </c>
      <c r="AK425" s="13">
        <f>IF(AM425=21,K425,0)</f>
        <v>0</v>
      </c>
      <c r="AM425" s="20">
        <v>15</v>
      </c>
      <c r="AN425" s="20">
        <f>H425*1</f>
        <v>0</v>
      </c>
      <c r="AO425" s="20">
        <f>H425*(1-1)</f>
        <v>0</v>
      </c>
      <c r="AP425" s="17" t="s">
        <v>262</v>
      </c>
      <c r="AU425" s="20">
        <f>AV425+AW425</f>
        <v>0</v>
      </c>
      <c r="AV425" s="20">
        <f>G425*AN425</f>
        <v>0</v>
      </c>
      <c r="AW425" s="20">
        <f>G425*AO425</f>
        <v>0</v>
      </c>
      <c r="AX425" s="21" t="s">
        <v>162</v>
      </c>
      <c r="AY425" s="21" t="s">
        <v>182</v>
      </c>
      <c r="AZ425" s="15" t="s">
        <v>190</v>
      </c>
      <c r="BB425" s="20">
        <f>AV425+AW425</f>
        <v>0</v>
      </c>
      <c r="BC425" s="20">
        <f>H425/(100-BD425)*100</f>
        <v>0</v>
      </c>
      <c r="BD425" s="20">
        <v>0</v>
      </c>
      <c r="BE425" s="20">
        <f>425</f>
        <v>425</v>
      </c>
      <c r="BG425" s="13">
        <f>G425*AN425</f>
        <v>0</v>
      </c>
      <c r="BH425" s="13">
        <f>G425*AO425</f>
        <v>0</v>
      </c>
      <c r="BI425" s="13">
        <f>G425*H425</f>
        <v>0</v>
      </c>
    </row>
    <row r="426" spans="1:11" ht="12.75">
      <c r="A426" s="69"/>
      <c r="B426" s="69"/>
      <c r="C426" s="157" t="s">
        <v>1055</v>
      </c>
      <c r="D426" s="150"/>
      <c r="E426" s="150"/>
      <c r="F426" s="69"/>
      <c r="G426" s="70">
        <v>3</v>
      </c>
      <c r="H426" s="69"/>
      <c r="I426" s="69"/>
      <c r="J426" s="69"/>
      <c r="K426" s="69"/>
    </row>
    <row r="427" spans="1:61" ht="12.75">
      <c r="A427" s="57" t="s">
        <v>419</v>
      </c>
      <c r="B427" s="57" t="s">
        <v>629</v>
      </c>
      <c r="C427" s="146" t="s">
        <v>1</v>
      </c>
      <c r="D427" s="145"/>
      <c r="E427" s="145"/>
      <c r="F427" s="57" t="s">
        <v>103</v>
      </c>
      <c r="G427" s="58">
        <v>0.061</v>
      </c>
      <c r="H427" s="58">
        <v>0</v>
      </c>
      <c r="I427" s="58">
        <f>G427*AN427</f>
        <v>0</v>
      </c>
      <c r="J427" s="58">
        <f>G427*AO427</f>
        <v>0</v>
      </c>
      <c r="K427" s="58">
        <f>G427*H427</f>
        <v>0</v>
      </c>
      <c r="Y427" s="20">
        <f>IF(AP427="5",BI427,0)</f>
        <v>0</v>
      </c>
      <c r="AA427" s="20">
        <f>IF(AP427="1",BG427,0)</f>
        <v>0</v>
      </c>
      <c r="AB427" s="20">
        <f>IF(AP427="1",BH427,0)</f>
        <v>0</v>
      </c>
      <c r="AC427" s="20">
        <f>IF(AP427="7",BG427,0)</f>
        <v>0</v>
      </c>
      <c r="AD427" s="20">
        <f>IF(AP427="7",BH427,0)</f>
        <v>0</v>
      </c>
      <c r="AE427" s="20">
        <f>IF(AP427="2",BG427,0)</f>
        <v>0</v>
      </c>
      <c r="AF427" s="20">
        <f>IF(AP427="2",BH427,0)</f>
        <v>0</v>
      </c>
      <c r="AG427" s="20">
        <f>IF(AP427="0",BI427,0)</f>
        <v>0</v>
      </c>
      <c r="AH427" s="15" t="s">
        <v>135</v>
      </c>
      <c r="AI427" s="12">
        <f>IF(AM427=0,K427,0)</f>
        <v>0</v>
      </c>
      <c r="AJ427" s="12">
        <f>IF(AM427=15,K427,0)</f>
        <v>0</v>
      </c>
      <c r="AK427" s="12">
        <f>IF(AM427=21,K427,0)</f>
        <v>0</v>
      </c>
      <c r="AM427" s="20">
        <v>15</v>
      </c>
      <c r="AN427" s="20">
        <f>H427*0</f>
        <v>0</v>
      </c>
      <c r="AO427" s="20">
        <f>H427*(1-0)</f>
        <v>0</v>
      </c>
      <c r="AP427" s="16" t="s">
        <v>260</v>
      </c>
      <c r="AU427" s="20">
        <f>AV427+AW427</f>
        <v>0</v>
      </c>
      <c r="AV427" s="20">
        <f>G427*AN427</f>
        <v>0</v>
      </c>
      <c r="AW427" s="20">
        <f>G427*AO427</f>
        <v>0</v>
      </c>
      <c r="AX427" s="21" t="s">
        <v>162</v>
      </c>
      <c r="AY427" s="21" t="s">
        <v>182</v>
      </c>
      <c r="AZ427" s="15" t="s">
        <v>190</v>
      </c>
      <c r="BB427" s="20">
        <f>AV427+AW427</f>
        <v>0</v>
      </c>
      <c r="BC427" s="20">
        <f>H427/(100-BD427)*100</f>
        <v>0</v>
      </c>
      <c r="BD427" s="20">
        <v>0</v>
      </c>
      <c r="BE427" s="20">
        <f>427</f>
        <v>427</v>
      </c>
      <c r="BG427" s="12">
        <f>G427*AN427</f>
        <v>0</v>
      </c>
      <c r="BH427" s="12">
        <f>G427*AO427</f>
        <v>0</v>
      </c>
      <c r="BI427" s="12">
        <f>G427*H427</f>
        <v>0</v>
      </c>
    </row>
    <row r="428" spans="1:11" ht="12.75">
      <c r="A428" s="59"/>
      <c r="B428" s="59"/>
      <c r="C428" s="149" t="s">
        <v>2</v>
      </c>
      <c r="D428" s="150"/>
      <c r="E428" s="150"/>
      <c r="F428" s="59"/>
      <c r="G428" s="60">
        <v>0.061</v>
      </c>
      <c r="H428" s="59"/>
      <c r="I428" s="59"/>
      <c r="J428" s="59"/>
      <c r="K428" s="59"/>
    </row>
    <row r="429" spans="1:46" ht="12.75">
      <c r="A429" s="2"/>
      <c r="B429" s="8" t="s">
        <v>349</v>
      </c>
      <c r="C429" s="142" t="s">
        <v>3</v>
      </c>
      <c r="D429" s="143"/>
      <c r="E429" s="143"/>
      <c r="F429" s="2" t="s">
        <v>255</v>
      </c>
      <c r="G429" s="2" t="s">
        <v>255</v>
      </c>
      <c r="H429" s="2" t="s">
        <v>255</v>
      </c>
      <c r="I429" s="22">
        <f>SUM(I430:I444)</f>
        <v>0</v>
      </c>
      <c r="J429" s="22">
        <f>SUM(J430:J444)</f>
        <v>0</v>
      </c>
      <c r="K429" s="22">
        <f>SUM(K430:K444)</f>
        <v>0</v>
      </c>
      <c r="AH429" s="15" t="s">
        <v>135</v>
      </c>
      <c r="AR429" s="22">
        <f>SUM(AI430:AI444)</f>
        <v>0</v>
      </c>
      <c r="AS429" s="22">
        <f>SUM(AJ430:AJ444)</f>
        <v>0</v>
      </c>
      <c r="AT429" s="22">
        <f>SUM(AK430:AK444)</f>
        <v>0</v>
      </c>
    </row>
    <row r="430" spans="1:61" ht="12.75">
      <c r="A430" s="57" t="s">
        <v>420</v>
      </c>
      <c r="B430" s="57" t="s">
        <v>630</v>
      </c>
      <c r="C430" s="146" t="s">
        <v>4</v>
      </c>
      <c r="D430" s="145"/>
      <c r="E430" s="145"/>
      <c r="F430" s="57" t="s">
        <v>100</v>
      </c>
      <c r="G430" s="58">
        <v>35.9811</v>
      </c>
      <c r="H430" s="58">
        <v>0</v>
      </c>
      <c r="I430" s="58">
        <f>G430*AN430</f>
        <v>0</v>
      </c>
      <c r="J430" s="58">
        <f>G430*AO430</f>
        <v>0</v>
      </c>
      <c r="K430" s="58">
        <f>G430*H430</f>
        <v>0</v>
      </c>
      <c r="Y430" s="20">
        <f>IF(AP430="5",BI430,0)</f>
        <v>0</v>
      </c>
      <c r="AA430" s="20">
        <f>IF(AP430="1",BG430,0)</f>
        <v>0</v>
      </c>
      <c r="AB430" s="20">
        <f>IF(AP430="1",BH430,0)</f>
        <v>0</v>
      </c>
      <c r="AC430" s="20">
        <f>IF(AP430="7",BG430,0)</f>
        <v>0</v>
      </c>
      <c r="AD430" s="20">
        <f>IF(AP430="7",BH430,0)</f>
        <v>0</v>
      </c>
      <c r="AE430" s="20">
        <f>IF(AP430="2",BG430,0)</f>
        <v>0</v>
      </c>
      <c r="AF430" s="20">
        <f>IF(AP430="2",BH430,0)</f>
        <v>0</v>
      </c>
      <c r="AG430" s="20">
        <f>IF(AP430="0",BI430,0)</f>
        <v>0</v>
      </c>
      <c r="AH430" s="15" t="s">
        <v>135</v>
      </c>
      <c r="AI430" s="12">
        <f>IF(AM430=0,K430,0)</f>
        <v>0</v>
      </c>
      <c r="AJ430" s="12">
        <f>IF(AM430=15,K430,0)</f>
        <v>0</v>
      </c>
      <c r="AK430" s="12">
        <f>IF(AM430=21,K430,0)</f>
        <v>0</v>
      </c>
      <c r="AM430" s="20">
        <v>15</v>
      </c>
      <c r="AN430" s="20">
        <f>H430*0.00043415410109038</f>
        <v>0</v>
      </c>
      <c r="AO430" s="20">
        <f>H430*(1-0.00043415410109038)</f>
        <v>0</v>
      </c>
      <c r="AP430" s="16" t="s">
        <v>256</v>
      </c>
      <c r="AU430" s="20">
        <f>AV430+AW430</f>
        <v>0</v>
      </c>
      <c r="AV430" s="20">
        <f>G430*AN430</f>
        <v>0</v>
      </c>
      <c r="AW430" s="20">
        <f>G430*AO430</f>
        <v>0</v>
      </c>
      <c r="AX430" s="21" t="s">
        <v>163</v>
      </c>
      <c r="AY430" s="21" t="s">
        <v>183</v>
      </c>
      <c r="AZ430" s="15" t="s">
        <v>190</v>
      </c>
      <c r="BB430" s="20">
        <f>AV430+AW430</f>
        <v>0</v>
      </c>
      <c r="BC430" s="20">
        <f>H430/(100-BD430)*100</f>
        <v>0</v>
      </c>
      <c r="BD430" s="20">
        <v>0</v>
      </c>
      <c r="BE430" s="20">
        <f>430</f>
        <v>430</v>
      </c>
      <c r="BG430" s="12">
        <f>G430*AN430</f>
        <v>0</v>
      </c>
      <c r="BH430" s="12">
        <f>G430*AO430</f>
        <v>0</v>
      </c>
      <c r="BI430" s="12">
        <f>G430*H430</f>
        <v>0</v>
      </c>
    </row>
    <row r="431" spans="1:11" ht="12.75">
      <c r="A431" s="59"/>
      <c r="B431" s="59"/>
      <c r="C431" s="149" t="s">
        <v>5</v>
      </c>
      <c r="D431" s="150"/>
      <c r="E431" s="150"/>
      <c r="F431" s="59"/>
      <c r="G431" s="60">
        <v>29.6475</v>
      </c>
      <c r="H431" s="59"/>
      <c r="I431" s="59"/>
      <c r="J431" s="59"/>
      <c r="K431" s="59"/>
    </row>
    <row r="432" spans="1:11" ht="12.75">
      <c r="A432" s="59"/>
      <c r="B432" s="59"/>
      <c r="C432" s="149" t="s">
        <v>6</v>
      </c>
      <c r="D432" s="150"/>
      <c r="E432" s="150"/>
      <c r="F432" s="59"/>
      <c r="G432" s="60">
        <v>6.3336</v>
      </c>
      <c r="H432" s="59"/>
      <c r="I432" s="59"/>
      <c r="J432" s="59"/>
      <c r="K432" s="59"/>
    </row>
    <row r="433" spans="1:61" ht="12.75">
      <c r="A433" s="57" t="s">
        <v>421</v>
      </c>
      <c r="B433" s="57" t="s">
        <v>631</v>
      </c>
      <c r="C433" s="146" t="s">
        <v>7</v>
      </c>
      <c r="D433" s="145"/>
      <c r="E433" s="145"/>
      <c r="F433" s="57" t="s">
        <v>100</v>
      </c>
      <c r="G433" s="58">
        <v>35.98</v>
      </c>
      <c r="H433" s="58">
        <v>0</v>
      </c>
      <c r="I433" s="58">
        <f>G433*AN433</f>
        <v>0</v>
      </c>
      <c r="J433" s="58">
        <f>G433*AO433</f>
        <v>0</v>
      </c>
      <c r="K433" s="58">
        <f>G433*H433</f>
        <v>0</v>
      </c>
      <c r="Y433" s="20">
        <f>IF(AP433="5",BI433,0)</f>
        <v>0</v>
      </c>
      <c r="AA433" s="20">
        <f>IF(AP433="1",BG433,0)</f>
        <v>0</v>
      </c>
      <c r="AB433" s="20">
        <f>IF(AP433="1",BH433,0)</f>
        <v>0</v>
      </c>
      <c r="AC433" s="20">
        <f>IF(AP433="7",BG433,0)</f>
        <v>0</v>
      </c>
      <c r="AD433" s="20">
        <f>IF(AP433="7",BH433,0)</f>
        <v>0</v>
      </c>
      <c r="AE433" s="20">
        <f>IF(AP433="2",BG433,0)</f>
        <v>0</v>
      </c>
      <c r="AF433" s="20">
        <f>IF(AP433="2",BH433,0)</f>
        <v>0</v>
      </c>
      <c r="AG433" s="20">
        <f>IF(AP433="0",BI433,0)</f>
        <v>0</v>
      </c>
      <c r="AH433" s="15" t="s">
        <v>135</v>
      </c>
      <c r="AI433" s="12">
        <f>IF(AM433=0,K433,0)</f>
        <v>0</v>
      </c>
      <c r="AJ433" s="12">
        <f>IF(AM433=15,K433,0)</f>
        <v>0</v>
      </c>
      <c r="AK433" s="12">
        <f>IF(AM433=21,K433,0)</f>
        <v>0</v>
      </c>
      <c r="AM433" s="20">
        <v>15</v>
      </c>
      <c r="AN433" s="20">
        <f>H433*0.923077243968574</f>
        <v>0</v>
      </c>
      <c r="AO433" s="20">
        <f>H433*(1-0.923077243968574)</f>
        <v>0</v>
      </c>
      <c r="AP433" s="16" t="s">
        <v>256</v>
      </c>
      <c r="AU433" s="20">
        <f>AV433+AW433</f>
        <v>0</v>
      </c>
      <c r="AV433" s="20">
        <f>G433*AN433</f>
        <v>0</v>
      </c>
      <c r="AW433" s="20">
        <f>G433*AO433</f>
        <v>0</v>
      </c>
      <c r="AX433" s="21" t="s">
        <v>163</v>
      </c>
      <c r="AY433" s="21" t="s">
        <v>183</v>
      </c>
      <c r="AZ433" s="15" t="s">
        <v>190</v>
      </c>
      <c r="BB433" s="20">
        <f>AV433+AW433</f>
        <v>0</v>
      </c>
      <c r="BC433" s="20">
        <f>H433/(100-BD433)*100</f>
        <v>0</v>
      </c>
      <c r="BD433" s="20">
        <v>0</v>
      </c>
      <c r="BE433" s="20">
        <f>433</f>
        <v>433</v>
      </c>
      <c r="BG433" s="12">
        <f>G433*AN433</f>
        <v>0</v>
      </c>
      <c r="BH433" s="12">
        <f>G433*AO433</f>
        <v>0</v>
      </c>
      <c r="BI433" s="12">
        <f>G433*H433</f>
        <v>0</v>
      </c>
    </row>
    <row r="434" spans="1:11" ht="12.75">
      <c r="A434" s="59"/>
      <c r="B434" s="59"/>
      <c r="C434" s="149" t="s">
        <v>8</v>
      </c>
      <c r="D434" s="150"/>
      <c r="E434" s="150"/>
      <c r="F434" s="59"/>
      <c r="G434" s="60">
        <v>35.98</v>
      </c>
      <c r="H434" s="59"/>
      <c r="I434" s="59"/>
      <c r="J434" s="59"/>
      <c r="K434" s="59"/>
    </row>
    <row r="435" spans="1:61" ht="12.75">
      <c r="A435" s="57" t="s">
        <v>422</v>
      </c>
      <c r="B435" s="57" t="s">
        <v>632</v>
      </c>
      <c r="C435" s="146" t="s">
        <v>9</v>
      </c>
      <c r="D435" s="145"/>
      <c r="E435" s="145"/>
      <c r="F435" s="57" t="s">
        <v>100</v>
      </c>
      <c r="G435" s="58">
        <v>35.98</v>
      </c>
      <c r="H435" s="58">
        <v>0</v>
      </c>
      <c r="I435" s="58">
        <f>G435*AN435</f>
        <v>0</v>
      </c>
      <c r="J435" s="58">
        <f>G435*AO435</f>
        <v>0</v>
      </c>
      <c r="K435" s="58">
        <f>G435*H435</f>
        <v>0</v>
      </c>
      <c r="Y435" s="20">
        <f>IF(AP435="5",BI435,0)</f>
        <v>0</v>
      </c>
      <c r="AA435" s="20">
        <f>IF(AP435="1",BG435,0)</f>
        <v>0</v>
      </c>
      <c r="AB435" s="20">
        <f>IF(AP435="1",BH435,0)</f>
        <v>0</v>
      </c>
      <c r="AC435" s="20">
        <f>IF(AP435="7",BG435,0)</f>
        <v>0</v>
      </c>
      <c r="AD435" s="20">
        <f>IF(AP435="7",BH435,0)</f>
        <v>0</v>
      </c>
      <c r="AE435" s="20">
        <f>IF(AP435="2",BG435,0)</f>
        <v>0</v>
      </c>
      <c r="AF435" s="20">
        <f>IF(AP435="2",BH435,0)</f>
        <v>0</v>
      </c>
      <c r="AG435" s="20">
        <f>IF(AP435="0",BI435,0)</f>
        <v>0</v>
      </c>
      <c r="AH435" s="15" t="s">
        <v>135</v>
      </c>
      <c r="AI435" s="12">
        <f>IF(AM435=0,K435,0)</f>
        <v>0</v>
      </c>
      <c r="AJ435" s="12">
        <f>IF(AM435=15,K435,0)</f>
        <v>0</v>
      </c>
      <c r="AK435" s="12">
        <f>IF(AM435=21,K435,0)</f>
        <v>0</v>
      </c>
      <c r="AM435" s="20">
        <v>15</v>
      </c>
      <c r="AN435" s="20">
        <f>H435*0</f>
        <v>0</v>
      </c>
      <c r="AO435" s="20">
        <f>H435*(1-0)</f>
        <v>0</v>
      </c>
      <c r="AP435" s="16" t="s">
        <v>256</v>
      </c>
      <c r="AU435" s="20">
        <f>AV435+AW435</f>
        <v>0</v>
      </c>
      <c r="AV435" s="20">
        <f>G435*AN435</f>
        <v>0</v>
      </c>
      <c r="AW435" s="20">
        <f>G435*AO435</f>
        <v>0</v>
      </c>
      <c r="AX435" s="21" t="s">
        <v>163</v>
      </c>
      <c r="AY435" s="21" t="s">
        <v>183</v>
      </c>
      <c r="AZ435" s="15" t="s">
        <v>190</v>
      </c>
      <c r="BB435" s="20">
        <f>AV435+AW435</f>
        <v>0</v>
      </c>
      <c r="BC435" s="20">
        <f>H435/(100-BD435)*100</f>
        <v>0</v>
      </c>
      <c r="BD435" s="20">
        <v>0</v>
      </c>
      <c r="BE435" s="20">
        <f>435</f>
        <v>435</v>
      </c>
      <c r="BG435" s="12">
        <f>G435*AN435</f>
        <v>0</v>
      </c>
      <c r="BH435" s="12">
        <f>G435*AO435</f>
        <v>0</v>
      </c>
      <c r="BI435" s="12">
        <f>G435*H435</f>
        <v>0</v>
      </c>
    </row>
    <row r="436" spans="1:11" ht="12.75">
      <c r="A436" s="59"/>
      <c r="B436" s="59"/>
      <c r="C436" s="149" t="s">
        <v>8</v>
      </c>
      <c r="D436" s="150"/>
      <c r="E436" s="150"/>
      <c r="F436" s="59"/>
      <c r="G436" s="60">
        <v>35.98</v>
      </c>
      <c r="H436" s="59"/>
      <c r="I436" s="59"/>
      <c r="J436" s="59"/>
      <c r="K436" s="59"/>
    </row>
    <row r="437" spans="1:61" ht="12.75">
      <c r="A437" s="57" t="s">
        <v>423</v>
      </c>
      <c r="B437" s="57" t="s">
        <v>633</v>
      </c>
      <c r="C437" s="146" t="s">
        <v>10</v>
      </c>
      <c r="D437" s="145"/>
      <c r="E437" s="145"/>
      <c r="F437" s="57" t="s">
        <v>100</v>
      </c>
      <c r="G437" s="58">
        <v>67.6431</v>
      </c>
      <c r="H437" s="58">
        <v>0</v>
      </c>
      <c r="I437" s="58">
        <f>G437*AN437</f>
        <v>0</v>
      </c>
      <c r="J437" s="58">
        <f>G437*AO437</f>
        <v>0</v>
      </c>
      <c r="K437" s="58">
        <f>G437*H437</f>
        <v>0</v>
      </c>
      <c r="Y437" s="20">
        <f>IF(AP437="5",BI437,0)</f>
        <v>0</v>
      </c>
      <c r="AA437" s="20">
        <f>IF(AP437="1",BG437,0)</f>
        <v>0</v>
      </c>
      <c r="AB437" s="20">
        <f>IF(AP437="1",BH437,0)</f>
        <v>0</v>
      </c>
      <c r="AC437" s="20">
        <f>IF(AP437="7",BG437,0)</f>
        <v>0</v>
      </c>
      <c r="AD437" s="20">
        <f>IF(AP437="7",BH437,0)</f>
        <v>0</v>
      </c>
      <c r="AE437" s="20">
        <f>IF(AP437="2",BG437,0)</f>
        <v>0</v>
      </c>
      <c r="AF437" s="20">
        <f>IF(AP437="2",BH437,0)</f>
        <v>0</v>
      </c>
      <c r="AG437" s="20">
        <f>IF(AP437="0",BI437,0)</f>
        <v>0</v>
      </c>
      <c r="AH437" s="15" t="s">
        <v>135</v>
      </c>
      <c r="AI437" s="12">
        <f>IF(AM437=0,K437,0)</f>
        <v>0</v>
      </c>
      <c r="AJ437" s="12">
        <f>IF(AM437=15,K437,0)</f>
        <v>0</v>
      </c>
      <c r="AK437" s="12">
        <f>IF(AM437=21,K437,0)</f>
        <v>0</v>
      </c>
      <c r="AM437" s="20">
        <v>15</v>
      </c>
      <c r="AN437" s="20">
        <f>H437*0</f>
        <v>0</v>
      </c>
      <c r="AO437" s="20">
        <f>H437*(1-0)</f>
        <v>0</v>
      </c>
      <c r="AP437" s="16" t="s">
        <v>256</v>
      </c>
      <c r="AU437" s="20">
        <f>AV437+AW437</f>
        <v>0</v>
      </c>
      <c r="AV437" s="20">
        <f>G437*AN437</f>
        <v>0</v>
      </c>
      <c r="AW437" s="20">
        <f>G437*AO437</f>
        <v>0</v>
      </c>
      <c r="AX437" s="21" t="s">
        <v>163</v>
      </c>
      <c r="AY437" s="21" t="s">
        <v>183</v>
      </c>
      <c r="AZ437" s="15" t="s">
        <v>190</v>
      </c>
      <c r="BB437" s="20">
        <f>AV437+AW437</f>
        <v>0</v>
      </c>
      <c r="BC437" s="20">
        <f>H437/(100-BD437)*100</f>
        <v>0</v>
      </c>
      <c r="BD437" s="20">
        <v>0</v>
      </c>
      <c r="BE437" s="20">
        <f>437</f>
        <v>437</v>
      </c>
      <c r="BG437" s="12">
        <f>G437*AN437</f>
        <v>0</v>
      </c>
      <c r="BH437" s="12">
        <f>G437*AO437</f>
        <v>0</v>
      </c>
      <c r="BI437" s="12">
        <f>G437*H437</f>
        <v>0</v>
      </c>
    </row>
    <row r="438" spans="1:11" ht="12.75">
      <c r="A438" s="59"/>
      <c r="B438" s="59"/>
      <c r="C438" s="149" t="s">
        <v>11</v>
      </c>
      <c r="D438" s="150"/>
      <c r="E438" s="150"/>
      <c r="F438" s="59"/>
      <c r="G438" s="60">
        <v>47.7375</v>
      </c>
      <c r="H438" s="59"/>
      <c r="I438" s="59"/>
      <c r="J438" s="59"/>
      <c r="K438" s="59"/>
    </row>
    <row r="439" spans="1:11" ht="12.75">
      <c r="A439" s="59"/>
      <c r="B439" s="59"/>
      <c r="C439" s="149" t="s">
        <v>12</v>
      </c>
      <c r="D439" s="150"/>
      <c r="E439" s="150"/>
      <c r="F439" s="59"/>
      <c r="G439" s="60">
        <v>19.9056</v>
      </c>
      <c r="H439" s="59"/>
      <c r="I439" s="59"/>
      <c r="J439" s="59"/>
      <c r="K439" s="59"/>
    </row>
    <row r="440" spans="1:61" ht="12.75">
      <c r="A440" s="57" t="s">
        <v>424</v>
      </c>
      <c r="B440" s="57" t="s">
        <v>634</v>
      </c>
      <c r="C440" s="146" t="s">
        <v>13</v>
      </c>
      <c r="D440" s="145"/>
      <c r="E440" s="145"/>
      <c r="F440" s="57" t="s">
        <v>100</v>
      </c>
      <c r="G440" s="58">
        <v>67.64</v>
      </c>
      <c r="H440" s="58">
        <v>0</v>
      </c>
      <c r="I440" s="58">
        <f>G440*AN440</f>
        <v>0</v>
      </c>
      <c r="J440" s="58">
        <f>G440*AO440</f>
        <v>0</v>
      </c>
      <c r="K440" s="58">
        <f>G440*H440</f>
        <v>0</v>
      </c>
      <c r="Y440" s="20">
        <f>IF(AP440="5",BI440,0)</f>
        <v>0</v>
      </c>
      <c r="AA440" s="20">
        <f>IF(AP440="1",BG440,0)</f>
        <v>0</v>
      </c>
      <c r="AB440" s="20">
        <f>IF(AP440="1",BH440,0)</f>
        <v>0</v>
      </c>
      <c r="AC440" s="20">
        <f>IF(AP440="7",BG440,0)</f>
        <v>0</v>
      </c>
      <c r="AD440" s="20">
        <f>IF(AP440="7",BH440,0)</f>
        <v>0</v>
      </c>
      <c r="AE440" s="20">
        <f>IF(AP440="2",BG440,0)</f>
        <v>0</v>
      </c>
      <c r="AF440" s="20">
        <f>IF(AP440="2",BH440,0)</f>
        <v>0</v>
      </c>
      <c r="AG440" s="20">
        <f>IF(AP440="0",BI440,0)</f>
        <v>0</v>
      </c>
      <c r="AH440" s="15" t="s">
        <v>135</v>
      </c>
      <c r="AI440" s="12">
        <f>IF(AM440=0,K440,0)</f>
        <v>0</v>
      </c>
      <c r="AJ440" s="12">
        <f>IF(AM440=15,K440,0)</f>
        <v>0</v>
      </c>
      <c r="AK440" s="12">
        <f>IF(AM440=21,K440,0)</f>
        <v>0</v>
      </c>
      <c r="AM440" s="20">
        <v>15</v>
      </c>
      <c r="AN440" s="20">
        <f>H440*0.999752895467843</f>
        <v>0</v>
      </c>
      <c r="AO440" s="20">
        <f>H440*(1-0.999752895467843)</f>
        <v>0</v>
      </c>
      <c r="AP440" s="16" t="s">
        <v>256</v>
      </c>
      <c r="AU440" s="20">
        <f>AV440+AW440</f>
        <v>0</v>
      </c>
      <c r="AV440" s="20">
        <f>G440*AN440</f>
        <v>0</v>
      </c>
      <c r="AW440" s="20">
        <f>G440*AO440</f>
        <v>0</v>
      </c>
      <c r="AX440" s="21" t="s">
        <v>163</v>
      </c>
      <c r="AY440" s="21" t="s">
        <v>183</v>
      </c>
      <c r="AZ440" s="15" t="s">
        <v>190</v>
      </c>
      <c r="BB440" s="20">
        <f>AV440+AW440</f>
        <v>0</v>
      </c>
      <c r="BC440" s="20">
        <f>H440/(100-BD440)*100</f>
        <v>0</v>
      </c>
      <c r="BD440" s="20">
        <v>0</v>
      </c>
      <c r="BE440" s="20">
        <f>440</f>
        <v>440</v>
      </c>
      <c r="BG440" s="12">
        <f>G440*AN440</f>
        <v>0</v>
      </c>
      <c r="BH440" s="12">
        <f>G440*AO440</f>
        <v>0</v>
      </c>
      <c r="BI440" s="12">
        <f>G440*H440</f>
        <v>0</v>
      </c>
    </row>
    <row r="441" spans="1:11" ht="12.75">
      <c r="A441" s="59"/>
      <c r="B441" s="59"/>
      <c r="C441" s="149" t="s">
        <v>14</v>
      </c>
      <c r="D441" s="150"/>
      <c r="E441" s="150"/>
      <c r="F441" s="59"/>
      <c r="G441" s="60">
        <v>67.64</v>
      </c>
      <c r="H441" s="59"/>
      <c r="I441" s="59"/>
      <c r="J441" s="59"/>
      <c r="K441" s="59"/>
    </row>
    <row r="442" spans="1:61" ht="12.75">
      <c r="A442" s="57" t="s">
        <v>425</v>
      </c>
      <c r="B442" s="57" t="s">
        <v>635</v>
      </c>
      <c r="C442" s="146" t="s">
        <v>15</v>
      </c>
      <c r="D442" s="145"/>
      <c r="E442" s="145"/>
      <c r="F442" s="57" t="s">
        <v>100</v>
      </c>
      <c r="G442" s="58">
        <v>67.64</v>
      </c>
      <c r="H442" s="58">
        <v>0</v>
      </c>
      <c r="I442" s="58">
        <f>G442*AN442</f>
        <v>0</v>
      </c>
      <c r="J442" s="58">
        <f>G442*AO442</f>
        <v>0</v>
      </c>
      <c r="K442" s="58">
        <f>G442*H442</f>
        <v>0</v>
      </c>
      <c r="Y442" s="20">
        <f>IF(AP442="5",BI442,0)</f>
        <v>0</v>
      </c>
      <c r="AA442" s="20">
        <f>IF(AP442="1",BG442,0)</f>
        <v>0</v>
      </c>
      <c r="AB442" s="20">
        <f>IF(AP442="1",BH442,0)</f>
        <v>0</v>
      </c>
      <c r="AC442" s="20">
        <f>IF(AP442="7",BG442,0)</f>
        <v>0</v>
      </c>
      <c r="AD442" s="20">
        <f>IF(AP442="7",BH442,0)</f>
        <v>0</v>
      </c>
      <c r="AE442" s="20">
        <f>IF(AP442="2",BG442,0)</f>
        <v>0</v>
      </c>
      <c r="AF442" s="20">
        <f>IF(AP442="2",BH442,0)</f>
        <v>0</v>
      </c>
      <c r="AG442" s="20">
        <f>IF(AP442="0",BI442,0)</f>
        <v>0</v>
      </c>
      <c r="AH442" s="15" t="s">
        <v>135</v>
      </c>
      <c r="AI442" s="12">
        <f>IF(AM442=0,K442,0)</f>
        <v>0</v>
      </c>
      <c r="AJ442" s="12">
        <f>IF(AM442=15,K442,0)</f>
        <v>0</v>
      </c>
      <c r="AK442" s="12">
        <f>IF(AM442=21,K442,0)</f>
        <v>0</v>
      </c>
      <c r="AM442" s="20">
        <v>15</v>
      </c>
      <c r="AN442" s="20">
        <f>H442*0</f>
        <v>0</v>
      </c>
      <c r="AO442" s="20">
        <f>H442*(1-0)</f>
        <v>0</v>
      </c>
      <c r="AP442" s="16" t="s">
        <v>256</v>
      </c>
      <c r="AU442" s="20">
        <f>AV442+AW442</f>
        <v>0</v>
      </c>
      <c r="AV442" s="20">
        <f>G442*AN442</f>
        <v>0</v>
      </c>
      <c r="AW442" s="20">
        <f>G442*AO442</f>
        <v>0</v>
      </c>
      <c r="AX442" s="21" t="s">
        <v>163</v>
      </c>
      <c r="AY442" s="21" t="s">
        <v>183</v>
      </c>
      <c r="AZ442" s="15" t="s">
        <v>190</v>
      </c>
      <c r="BB442" s="20">
        <f>AV442+AW442</f>
        <v>0</v>
      </c>
      <c r="BC442" s="20">
        <f>H442/(100-BD442)*100</f>
        <v>0</v>
      </c>
      <c r="BD442" s="20">
        <v>0</v>
      </c>
      <c r="BE442" s="20">
        <f>442</f>
        <v>442</v>
      </c>
      <c r="BG442" s="12">
        <f>G442*AN442</f>
        <v>0</v>
      </c>
      <c r="BH442" s="12">
        <f>G442*AO442</f>
        <v>0</v>
      </c>
      <c r="BI442" s="12">
        <f>G442*H442</f>
        <v>0</v>
      </c>
    </row>
    <row r="443" spans="1:11" ht="12.75">
      <c r="A443" s="59"/>
      <c r="B443" s="59"/>
      <c r="C443" s="149" t="s">
        <v>14</v>
      </c>
      <c r="D443" s="150"/>
      <c r="E443" s="150"/>
      <c r="F443" s="59"/>
      <c r="G443" s="60">
        <v>67.64</v>
      </c>
      <c r="H443" s="59"/>
      <c r="I443" s="59"/>
      <c r="J443" s="59"/>
      <c r="K443" s="59"/>
    </row>
    <row r="444" spans="1:61" ht="12.75">
      <c r="A444" s="57" t="s">
        <v>426</v>
      </c>
      <c r="B444" s="57" t="s">
        <v>636</v>
      </c>
      <c r="C444" s="146" t="s">
        <v>16</v>
      </c>
      <c r="D444" s="145"/>
      <c r="E444" s="145"/>
      <c r="F444" s="57" t="s">
        <v>100</v>
      </c>
      <c r="G444" s="58">
        <v>39.15</v>
      </c>
      <c r="H444" s="58">
        <v>0</v>
      </c>
      <c r="I444" s="58">
        <f>G444*AN444</f>
        <v>0</v>
      </c>
      <c r="J444" s="58">
        <f>G444*AO444</f>
        <v>0</v>
      </c>
      <c r="K444" s="58">
        <f>G444*H444</f>
        <v>0</v>
      </c>
      <c r="Y444" s="20">
        <f>IF(AP444="5",BI444,0)</f>
        <v>0</v>
      </c>
      <c r="AA444" s="20">
        <f>IF(AP444="1",BG444,0)</f>
        <v>0</v>
      </c>
      <c r="AB444" s="20">
        <f>IF(AP444="1",BH444,0)</f>
        <v>0</v>
      </c>
      <c r="AC444" s="20">
        <f>IF(AP444="7",BG444,0)</f>
        <v>0</v>
      </c>
      <c r="AD444" s="20">
        <f>IF(AP444="7",BH444,0)</f>
        <v>0</v>
      </c>
      <c r="AE444" s="20">
        <f>IF(AP444="2",BG444,0)</f>
        <v>0</v>
      </c>
      <c r="AF444" s="20">
        <f>IF(AP444="2",BH444,0)</f>
        <v>0</v>
      </c>
      <c r="AG444" s="20">
        <f>IF(AP444="0",BI444,0)</f>
        <v>0</v>
      </c>
      <c r="AH444" s="15" t="s">
        <v>135</v>
      </c>
      <c r="AI444" s="12">
        <f>IF(AM444=0,K444,0)</f>
        <v>0</v>
      </c>
      <c r="AJ444" s="12">
        <f>IF(AM444=15,K444,0)</f>
        <v>0</v>
      </c>
      <c r="AK444" s="12">
        <f>IF(AM444=21,K444,0)</f>
        <v>0</v>
      </c>
      <c r="AM444" s="20">
        <v>15</v>
      </c>
      <c r="AN444" s="20">
        <f>H444*0.334444444444444</f>
        <v>0</v>
      </c>
      <c r="AO444" s="20">
        <f>H444*(1-0.334444444444444)</f>
        <v>0</v>
      </c>
      <c r="AP444" s="16" t="s">
        <v>256</v>
      </c>
      <c r="AU444" s="20">
        <f>AV444+AW444</f>
        <v>0</v>
      </c>
      <c r="AV444" s="20">
        <f>G444*AN444</f>
        <v>0</v>
      </c>
      <c r="AW444" s="20">
        <f>G444*AO444</f>
        <v>0</v>
      </c>
      <c r="AX444" s="21" t="s">
        <v>163</v>
      </c>
      <c r="AY444" s="21" t="s">
        <v>183</v>
      </c>
      <c r="AZ444" s="15" t="s">
        <v>190</v>
      </c>
      <c r="BB444" s="20">
        <f>AV444+AW444</f>
        <v>0</v>
      </c>
      <c r="BC444" s="20">
        <f>H444/(100-BD444)*100</f>
        <v>0</v>
      </c>
      <c r="BD444" s="20">
        <v>0</v>
      </c>
      <c r="BE444" s="20">
        <f>444</f>
        <v>444</v>
      </c>
      <c r="BG444" s="12">
        <f>G444*AN444</f>
        <v>0</v>
      </c>
      <c r="BH444" s="12">
        <f>G444*AO444</f>
        <v>0</v>
      </c>
      <c r="BI444" s="12">
        <f>G444*H444</f>
        <v>0</v>
      </c>
    </row>
    <row r="445" spans="3:5" ht="12.75">
      <c r="C445" s="147" t="s">
        <v>17</v>
      </c>
      <c r="D445" s="148"/>
      <c r="E445" s="148"/>
    </row>
    <row r="446" spans="1:11" ht="12.75">
      <c r="A446" s="59"/>
      <c r="B446" s="59"/>
      <c r="C446" s="149" t="s">
        <v>18</v>
      </c>
      <c r="D446" s="150"/>
      <c r="E446" s="150"/>
      <c r="F446" s="59"/>
      <c r="G446" s="60">
        <v>39.15</v>
      </c>
      <c r="H446" s="59"/>
      <c r="I446" s="59"/>
      <c r="J446" s="59"/>
      <c r="K446" s="59"/>
    </row>
    <row r="447" spans="1:46" ht="12.75">
      <c r="A447" s="2"/>
      <c r="B447" s="8" t="s">
        <v>350</v>
      </c>
      <c r="C447" s="142" t="s">
        <v>19</v>
      </c>
      <c r="D447" s="143"/>
      <c r="E447" s="143"/>
      <c r="F447" s="2" t="s">
        <v>255</v>
      </c>
      <c r="G447" s="2" t="s">
        <v>255</v>
      </c>
      <c r="H447" s="2" t="s">
        <v>255</v>
      </c>
      <c r="I447" s="22">
        <f>SUM(I448:I461)</f>
        <v>0</v>
      </c>
      <c r="J447" s="22">
        <f>SUM(J448:J461)</f>
        <v>0</v>
      </c>
      <c r="K447" s="22">
        <f>SUM(K448:K461)</f>
        <v>0</v>
      </c>
      <c r="AH447" s="15" t="s">
        <v>135</v>
      </c>
      <c r="AR447" s="22">
        <f>SUM(AI448:AI461)</f>
        <v>0</v>
      </c>
      <c r="AS447" s="22">
        <f>SUM(AJ448:AJ461)</f>
        <v>0</v>
      </c>
      <c r="AT447" s="22">
        <f>SUM(AK448:AK461)</f>
        <v>0</v>
      </c>
    </row>
    <row r="448" spans="1:61" ht="12.75">
      <c r="A448" s="57" t="s">
        <v>427</v>
      </c>
      <c r="B448" s="57" t="s">
        <v>637</v>
      </c>
      <c r="C448" s="146" t="s">
        <v>20</v>
      </c>
      <c r="D448" s="145"/>
      <c r="E448" s="145"/>
      <c r="F448" s="57" t="s">
        <v>100</v>
      </c>
      <c r="G448" s="58">
        <v>60.8</v>
      </c>
      <c r="H448" s="58">
        <v>0</v>
      </c>
      <c r="I448" s="58">
        <f>G448*AN448</f>
        <v>0</v>
      </c>
      <c r="J448" s="58">
        <f>G448*AO448</f>
        <v>0</v>
      </c>
      <c r="K448" s="58">
        <f>G448*H448</f>
        <v>0</v>
      </c>
      <c r="Y448" s="20">
        <f>IF(AP448="5",BI448,0)</f>
        <v>0</v>
      </c>
      <c r="AA448" s="20">
        <f>IF(AP448="1",BG448,0)</f>
        <v>0</v>
      </c>
      <c r="AB448" s="20">
        <f>IF(AP448="1",BH448,0)</f>
        <v>0</v>
      </c>
      <c r="AC448" s="20">
        <f>IF(AP448="7",BG448,0)</f>
        <v>0</v>
      </c>
      <c r="AD448" s="20">
        <f>IF(AP448="7",BH448,0)</f>
        <v>0</v>
      </c>
      <c r="AE448" s="20">
        <f>IF(AP448="2",BG448,0)</f>
        <v>0</v>
      </c>
      <c r="AF448" s="20">
        <f>IF(AP448="2",BH448,0)</f>
        <v>0</v>
      </c>
      <c r="AG448" s="20">
        <f>IF(AP448="0",BI448,0)</f>
        <v>0</v>
      </c>
      <c r="AH448" s="15" t="s">
        <v>135</v>
      </c>
      <c r="AI448" s="12">
        <f>IF(AM448=0,K448,0)</f>
        <v>0</v>
      </c>
      <c r="AJ448" s="12">
        <f>IF(AM448=15,K448,0)</f>
        <v>0</v>
      </c>
      <c r="AK448" s="12">
        <f>IF(AM448=21,K448,0)</f>
        <v>0</v>
      </c>
      <c r="AM448" s="20">
        <v>15</v>
      </c>
      <c r="AN448" s="20">
        <f>H448*0.0291914893617021</f>
        <v>0</v>
      </c>
      <c r="AO448" s="20">
        <f>H448*(1-0.0291914893617021)</f>
        <v>0</v>
      </c>
      <c r="AP448" s="16" t="s">
        <v>256</v>
      </c>
      <c r="AU448" s="20">
        <f>AV448+AW448</f>
        <v>0</v>
      </c>
      <c r="AV448" s="20">
        <f>G448*AN448</f>
        <v>0</v>
      </c>
      <c r="AW448" s="20">
        <f>G448*AO448</f>
        <v>0</v>
      </c>
      <c r="AX448" s="21" t="s">
        <v>164</v>
      </c>
      <c r="AY448" s="21" t="s">
        <v>183</v>
      </c>
      <c r="AZ448" s="15" t="s">
        <v>190</v>
      </c>
      <c r="BB448" s="20">
        <f>AV448+AW448</f>
        <v>0</v>
      </c>
      <c r="BC448" s="20">
        <f>H448/(100-BD448)*100</f>
        <v>0</v>
      </c>
      <c r="BD448" s="20">
        <v>0</v>
      </c>
      <c r="BE448" s="20">
        <f>448</f>
        <v>448</v>
      </c>
      <c r="BG448" s="12">
        <f>G448*AN448</f>
        <v>0</v>
      </c>
      <c r="BH448" s="12">
        <f>G448*AO448</f>
        <v>0</v>
      </c>
      <c r="BI448" s="12">
        <f>G448*H448</f>
        <v>0</v>
      </c>
    </row>
    <row r="449" spans="1:11" ht="12.75">
      <c r="A449" s="59"/>
      <c r="B449" s="59"/>
      <c r="C449" s="149" t="s">
        <v>21</v>
      </c>
      <c r="D449" s="150"/>
      <c r="E449" s="150"/>
      <c r="F449" s="59"/>
      <c r="G449" s="60">
        <v>60.8</v>
      </c>
      <c r="H449" s="59"/>
      <c r="I449" s="59"/>
      <c r="J449" s="59"/>
      <c r="K449" s="59"/>
    </row>
    <row r="450" spans="1:61" ht="12.75">
      <c r="A450" s="57" t="s">
        <v>428</v>
      </c>
      <c r="B450" s="57" t="s">
        <v>638</v>
      </c>
      <c r="C450" s="146" t="s">
        <v>22</v>
      </c>
      <c r="D450" s="145"/>
      <c r="E450" s="145"/>
      <c r="F450" s="57" t="s">
        <v>104</v>
      </c>
      <c r="G450" s="58">
        <v>2</v>
      </c>
      <c r="H450" s="58">
        <v>0</v>
      </c>
      <c r="I450" s="58">
        <f>G450*AN450</f>
        <v>0</v>
      </c>
      <c r="J450" s="58">
        <f>G450*AO450</f>
        <v>0</v>
      </c>
      <c r="K450" s="58">
        <f>G450*H450</f>
        <v>0</v>
      </c>
      <c r="Y450" s="20">
        <f>IF(AP450="5",BI450,0)</f>
        <v>0</v>
      </c>
      <c r="AA450" s="20">
        <f>IF(AP450="1",BG450,0)</f>
        <v>0</v>
      </c>
      <c r="AB450" s="20">
        <f>IF(AP450="1",BH450,0)</f>
        <v>0</v>
      </c>
      <c r="AC450" s="20">
        <f>IF(AP450="7",BG450,0)</f>
        <v>0</v>
      </c>
      <c r="AD450" s="20">
        <f>IF(AP450="7",BH450,0)</f>
        <v>0</v>
      </c>
      <c r="AE450" s="20">
        <f>IF(AP450="2",BG450,0)</f>
        <v>0</v>
      </c>
      <c r="AF450" s="20">
        <f>IF(AP450="2",BH450,0)</f>
        <v>0</v>
      </c>
      <c r="AG450" s="20">
        <f>IF(AP450="0",BI450,0)</f>
        <v>0</v>
      </c>
      <c r="AH450" s="15" t="s">
        <v>135</v>
      </c>
      <c r="AI450" s="12">
        <f>IF(AM450=0,K450,0)</f>
        <v>0</v>
      </c>
      <c r="AJ450" s="12">
        <f>IF(AM450=15,K450,0)</f>
        <v>0</v>
      </c>
      <c r="AK450" s="12">
        <f>IF(AM450=21,K450,0)</f>
        <v>0</v>
      </c>
      <c r="AM450" s="20">
        <v>15</v>
      </c>
      <c r="AN450" s="20">
        <f>H450*0.128829966329966</f>
        <v>0</v>
      </c>
      <c r="AO450" s="20">
        <f>H450*(1-0.128829966329966)</f>
        <v>0</v>
      </c>
      <c r="AP450" s="16" t="s">
        <v>256</v>
      </c>
      <c r="AU450" s="20">
        <f>AV450+AW450</f>
        <v>0</v>
      </c>
      <c r="AV450" s="20">
        <f>G450*AN450</f>
        <v>0</v>
      </c>
      <c r="AW450" s="20">
        <f>G450*AO450</f>
        <v>0</v>
      </c>
      <c r="AX450" s="21" t="s">
        <v>164</v>
      </c>
      <c r="AY450" s="21" t="s">
        <v>183</v>
      </c>
      <c r="AZ450" s="15" t="s">
        <v>190</v>
      </c>
      <c r="BB450" s="20">
        <f>AV450+AW450</f>
        <v>0</v>
      </c>
      <c r="BC450" s="20">
        <f>H450/(100-BD450)*100</f>
        <v>0</v>
      </c>
      <c r="BD450" s="20">
        <v>0</v>
      </c>
      <c r="BE450" s="20">
        <f>450</f>
        <v>450</v>
      </c>
      <c r="BG450" s="12">
        <f>G450*AN450</f>
        <v>0</v>
      </c>
      <c r="BH450" s="12">
        <f>G450*AO450</f>
        <v>0</v>
      </c>
      <c r="BI450" s="12">
        <f>G450*H450</f>
        <v>0</v>
      </c>
    </row>
    <row r="451" spans="3:5" ht="12.75">
      <c r="C451" s="147" t="s">
        <v>23</v>
      </c>
      <c r="D451" s="148"/>
      <c r="E451" s="148"/>
    </row>
    <row r="452" spans="1:11" ht="12.75">
      <c r="A452" s="59"/>
      <c r="B452" s="59"/>
      <c r="C452" s="149" t="s">
        <v>954</v>
      </c>
      <c r="D452" s="150"/>
      <c r="E452" s="150"/>
      <c r="F452" s="59"/>
      <c r="G452" s="60">
        <v>2</v>
      </c>
      <c r="H452" s="59"/>
      <c r="I452" s="59"/>
      <c r="J452" s="59"/>
      <c r="K452" s="59"/>
    </row>
    <row r="453" spans="1:61" ht="12.75">
      <c r="A453" s="67" t="s">
        <v>429</v>
      </c>
      <c r="B453" s="67" t="s">
        <v>639</v>
      </c>
      <c r="C453" s="155" t="s">
        <v>24</v>
      </c>
      <c r="D453" s="156"/>
      <c r="E453" s="156"/>
      <c r="F453" s="67" t="s">
        <v>104</v>
      </c>
      <c r="G453" s="68">
        <v>2</v>
      </c>
      <c r="H453" s="68">
        <v>0</v>
      </c>
      <c r="I453" s="68">
        <f>G453*AN453</f>
        <v>0</v>
      </c>
      <c r="J453" s="68">
        <f>G453*AO453</f>
        <v>0</v>
      </c>
      <c r="K453" s="68">
        <f>G453*H453</f>
        <v>0</v>
      </c>
      <c r="Y453" s="20">
        <f>IF(AP453="5",BI453,0)</f>
        <v>0</v>
      </c>
      <c r="AA453" s="20">
        <f>IF(AP453="1",BG453,0)</f>
        <v>0</v>
      </c>
      <c r="AB453" s="20">
        <f>IF(AP453="1",BH453,0)</f>
        <v>0</v>
      </c>
      <c r="AC453" s="20">
        <f>IF(AP453="7",BG453,0)</f>
        <v>0</v>
      </c>
      <c r="AD453" s="20">
        <f>IF(AP453="7",BH453,0)</f>
        <v>0</v>
      </c>
      <c r="AE453" s="20">
        <f>IF(AP453="2",BG453,0)</f>
        <v>0</v>
      </c>
      <c r="AF453" s="20">
        <f>IF(AP453="2",BH453,0)</f>
        <v>0</v>
      </c>
      <c r="AG453" s="20">
        <f>IF(AP453="0",BI453,0)</f>
        <v>0</v>
      </c>
      <c r="AH453" s="15" t="s">
        <v>135</v>
      </c>
      <c r="AI453" s="13">
        <f>IF(AM453=0,K453,0)</f>
        <v>0</v>
      </c>
      <c r="AJ453" s="13">
        <f>IF(AM453=15,K453,0)</f>
        <v>0</v>
      </c>
      <c r="AK453" s="13">
        <f>IF(AM453=21,K453,0)</f>
        <v>0</v>
      </c>
      <c r="AM453" s="20">
        <v>15</v>
      </c>
      <c r="AN453" s="20">
        <f>H453*1</f>
        <v>0</v>
      </c>
      <c r="AO453" s="20">
        <f>H453*(1-1)</f>
        <v>0</v>
      </c>
      <c r="AP453" s="17" t="s">
        <v>256</v>
      </c>
      <c r="AU453" s="20">
        <f>AV453+AW453</f>
        <v>0</v>
      </c>
      <c r="AV453" s="20">
        <f>G453*AN453</f>
        <v>0</v>
      </c>
      <c r="AW453" s="20">
        <f>G453*AO453</f>
        <v>0</v>
      </c>
      <c r="AX453" s="21" t="s">
        <v>164</v>
      </c>
      <c r="AY453" s="21" t="s">
        <v>183</v>
      </c>
      <c r="AZ453" s="15" t="s">
        <v>190</v>
      </c>
      <c r="BB453" s="20">
        <f>AV453+AW453</f>
        <v>0</v>
      </c>
      <c r="BC453" s="20">
        <f>H453/(100-BD453)*100</f>
        <v>0</v>
      </c>
      <c r="BD453" s="20">
        <v>0</v>
      </c>
      <c r="BE453" s="20">
        <f>453</f>
        <v>453</v>
      </c>
      <c r="BG453" s="13">
        <f>G453*AN453</f>
        <v>0</v>
      </c>
      <c r="BH453" s="13">
        <f>G453*AO453</f>
        <v>0</v>
      </c>
      <c r="BI453" s="13">
        <f>G453*H453</f>
        <v>0</v>
      </c>
    </row>
    <row r="454" spans="1:11" ht="12.75">
      <c r="A454" s="69"/>
      <c r="B454" s="69"/>
      <c r="C454" s="157" t="s">
        <v>954</v>
      </c>
      <c r="D454" s="150"/>
      <c r="E454" s="150"/>
      <c r="F454" s="69"/>
      <c r="G454" s="70">
        <v>2</v>
      </c>
      <c r="H454" s="69"/>
      <c r="I454" s="69"/>
      <c r="J454" s="69"/>
      <c r="K454" s="69"/>
    </row>
    <row r="455" spans="1:61" ht="12.75">
      <c r="A455" s="57" t="s">
        <v>430</v>
      </c>
      <c r="B455" s="57" t="s">
        <v>640</v>
      </c>
      <c r="C455" s="146" t="s">
        <v>25</v>
      </c>
      <c r="D455" s="145"/>
      <c r="E455" s="145"/>
      <c r="F455" s="57" t="s">
        <v>104</v>
      </c>
      <c r="G455" s="58">
        <v>1</v>
      </c>
      <c r="H455" s="58">
        <v>0</v>
      </c>
      <c r="I455" s="58">
        <f>G455*AN455</f>
        <v>0</v>
      </c>
      <c r="J455" s="58">
        <f>G455*AO455</f>
        <v>0</v>
      </c>
      <c r="K455" s="58">
        <f>G455*H455</f>
        <v>0</v>
      </c>
      <c r="Y455" s="20">
        <f>IF(AP455="5",BI455,0)</f>
        <v>0</v>
      </c>
      <c r="AA455" s="20">
        <f>IF(AP455="1",BG455,0)</f>
        <v>0</v>
      </c>
      <c r="AB455" s="20">
        <f>IF(AP455="1",BH455,0)</f>
        <v>0</v>
      </c>
      <c r="AC455" s="20">
        <f>IF(AP455="7",BG455,0)</f>
        <v>0</v>
      </c>
      <c r="AD455" s="20">
        <f>IF(AP455="7",BH455,0)</f>
        <v>0</v>
      </c>
      <c r="AE455" s="20">
        <f>IF(AP455="2",BG455,0)</f>
        <v>0</v>
      </c>
      <c r="AF455" s="20">
        <f>IF(AP455="2",BH455,0)</f>
        <v>0</v>
      </c>
      <c r="AG455" s="20">
        <f>IF(AP455="0",BI455,0)</f>
        <v>0</v>
      </c>
      <c r="AH455" s="15" t="s">
        <v>135</v>
      </c>
      <c r="AI455" s="12">
        <f>IF(AM455=0,K455,0)</f>
        <v>0</v>
      </c>
      <c r="AJ455" s="12">
        <f>IF(AM455=15,K455,0)</f>
        <v>0</v>
      </c>
      <c r="AK455" s="12">
        <f>IF(AM455=21,K455,0)</f>
        <v>0</v>
      </c>
      <c r="AM455" s="20">
        <v>15</v>
      </c>
      <c r="AN455" s="20">
        <f>H455*0</f>
        <v>0</v>
      </c>
      <c r="AO455" s="20">
        <f>H455*(1-0)</f>
        <v>0</v>
      </c>
      <c r="AP455" s="16" t="s">
        <v>256</v>
      </c>
      <c r="AU455" s="20">
        <f>AV455+AW455</f>
        <v>0</v>
      </c>
      <c r="AV455" s="20">
        <f>G455*AN455</f>
        <v>0</v>
      </c>
      <c r="AW455" s="20">
        <f>G455*AO455</f>
        <v>0</v>
      </c>
      <c r="AX455" s="21" t="s">
        <v>164</v>
      </c>
      <c r="AY455" s="21" t="s">
        <v>183</v>
      </c>
      <c r="AZ455" s="15" t="s">
        <v>190</v>
      </c>
      <c r="BB455" s="20">
        <f>AV455+AW455</f>
        <v>0</v>
      </c>
      <c r="BC455" s="20">
        <f>H455/(100-BD455)*100</f>
        <v>0</v>
      </c>
      <c r="BD455" s="20">
        <v>0</v>
      </c>
      <c r="BE455" s="20">
        <f>455</f>
        <v>455</v>
      </c>
      <c r="BG455" s="12">
        <f>G455*AN455</f>
        <v>0</v>
      </c>
      <c r="BH455" s="12">
        <f>G455*AO455</f>
        <v>0</v>
      </c>
      <c r="BI455" s="12">
        <f>G455*H455</f>
        <v>0</v>
      </c>
    </row>
    <row r="456" spans="1:11" ht="12.75">
      <c r="A456" s="59"/>
      <c r="B456" s="59"/>
      <c r="C456" s="149" t="s">
        <v>816</v>
      </c>
      <c r="D456" s="150"/>
      <c r="E456" s="150"/>
      <c r="F456" s="59"/>
      <c r="G456" s="60">
        <v>1</v>
      </c>
      <c r="H456" s="59"/>
      <c r="I456" s="59"/>
      <c r="J456" s="59"/>
      <c r="K456" s="59"/>
    </row>
    <row r="457" spans="1:61" ht="12.75">
      <c r="A457" s="57" t="s">
        <v>431</v>
      </c>
      <c r="B457" s="57" t="s">
        <v>641</v>
      </c>
      <c r="C457" s="146" t="s">
        <v>26</v>
      </c>
      <c r="D457" s="145"/>
      <c r="E457" s="145"/>
      <c r="F457" s="57" t="s">
        <v>104</v>
      </c>
      <c r="G457" s="58">
        <v>2</v>
      </c>
      <c r="H457" s="58">
        <v>0</v>
      </c>
      <c r="I457" s="58">
        <f>G457*AN457</f>
        <v>0</v>
      </c>
      <c r="J457" s="58">
        <f>G457*AO457</f>
        <v>0</v>
      </c>
      <c r="K457" s="58">
        <f>G457*H457</f>
        <v>0</v>
      </c>
      <c r="Y457" s="20">
        <f>IF(AP457="5",BI457,0)</f>
        <v>0</v>
      </c>
      <c r="AA457" s="20">
        <f>IF(AP457="1",BG457,0)</f>
        <v>0</v>
      </c>
      <c r="AB457" s="20">
        <f>IF(AP457="1",BH457,0)</f>
        <v>0</v>
      </c>
      <c r="AC457" s="20">
        <f>IF(AP457="7",BG457,0)</f>
        <v>0</v>
      </c>
      <c r="AD457" s="20">
        <f>IF(AP457="7",BH457,0)</f>
        <v>0</v>
      </c>
      <c r="AE457" s="20">
        <f>IF(AP457="2",BG457,0)</f>
        <v>0</v>
      </c>
      <c r="AF457" s="20">
        <f>IF(AP457="2",BH457,0)</f>
        <v>0</v>
      </c>
      <c r="AG457" s="20">
        <f>IF(AP457="0",BI457,0)</f>
        <v>0</v>
      </c>
      <c r="AH457" s="15" t="s">
        <v>135</v>
      </c>
      <c r="AI457" s="12">
        <f>IF(AM457=0,K457,0)</f>
        <v>0</v>
      </c>
      <c r="AJ457" s="12">
        <f>IF(AM457=15,K457,0)</f>
        <v>0</v>
      </c>
      <c r="AK457" s="12">
        <f>IF(AM457=21,K457,0)</f>
        <v>0</v>
      </c>
      <c r="AM457" s="20">
        <v>15</v>
      </c>
      <c r="AN457" s="20">
        <f>H457*0.623239436619718</f>
        <v>0</v>
      </c>
      <c r="AO457" s="20">
        <f>H457*(1-0.623239436619718)</f>
        <v>0</v>
      </c>
      <c r="AP457" s="16" t="s">
        <v>256</v>
      </c>
      <c r="AU457" s="20">
        <f>AV457+AW457</f>
        <v>0</v>
      </c>
      <c r="AV457" s="20">
        <f>G457*AN457</f>
        <v>0</v>
      </c>
      <c r="AW457" s="20">
        <f>G457*AO457</f>
        <v>0</v>
      </c>
      <c r="AX457" s="21" t="s">
        <v>164</v>
      </c>
      <c r="AY457" s="21" t="s">
        <v>183</v>
      </c>
      <c r="AZ457" s="15" t="s">
        <v>190</v>
      </c>
      <c r="BB457" s="20">
        <f>AV457+AW457</f>
        <v>0</v>
      </c>
      <c r="BC457" s="20">
        <f>H457/(100-BD457)*100</f>
        <v>0</v>
      </c>
      <c r="BD457" s="20">
        <v>0</v>
      </c>
      <c r="BE457" s="20">
        <f>457</f>
        <v>457</v>
      </c>
      <c r="BG457" s="12">
        <f>G457*AN457</f>
        <v>0</v>
      </c>
      <c r="BH457" s="12">
        <f>G457*AO457</f>
        <v>0</v>
      </c>
      <c r="BI457" s="12">
        <f>G457*H457</f>
        <v>0</v>
      </c>
    </row>
    <row r="458" spans="1:11" ht="12.75">
      <c r="A458" s="59"/>
      <c r="B458" s="59"/>
      <c r="C458" s="149" t="s">
        <v>954</v>
      </c>
      <c r="D458" s="150"/>
      <c r="E458" s="150"/>
      <c r="F458" s="59"/>
      <c r="G458" s="60">
        <v>2</v>
      </c>
      <c r="H458" s="59"/>
      <c r="I458" s="59"/>
      <c r="J458" s="59"/>
      <c r="K458" s="59"/>
    </row>
    <row r="459" spans="1:61" ht="12.75">
      <c r="A459" s="57" t="s">
        <v>432</v>
      </c>
      <c r="B459" s="57" t="s">
        <v>642</v>
      </c>
      <c r="C459" s="146" t="s">
        <v>27</v>
      </c>
      <c r="D459" s="145"/>
      <c r="E459" s="145"/>
      <c r="F459" s="57" t="s">
        <v>102</v>
      </c>
      <c r="G459" s="58">
        <v>4.3</v>
      </c>
      <c r="H459" s="58">
        <v>0</v>
      </c>
      <c r="I459" s="58">
        <f>G459*AN459</f>
        <v>0</v>
      </c>
      <c r="J459" s="58">
        <f>G459*AO459</f>
        <v>0</v>
      </c>
      <c r="K459" s="58">
        <f>G459*H459</f>
        <v>0</v>
      </c>
      <c r="Y459" s="20">
        <f>IF(AP459="5",BI459,0)</f>
        <v>0</v>
      </c>
      <c r="AA459" s="20">
        <f>IF(AP459="1",BG459,0)</f>
        <v>0</v>
      </c>
      <c r="AB459" s="20">
        <f>IF(AP459="1",BH459,0)</f>
        <v>0</v>
      </c>
      <c r="AC459" s="20">
        <f>IF(AP459="7",BG459,0)</f>
        <v>0</v>
      </c>
      <c r="AD459" s="20">
        <f>IF(AP459="7",BH459,0)</f>
        <v>0</v>
      </c>
      <c r="AE459" s="20">
        <f>IF(AP459="2",BG459,0)</f>
        <v>0</v>
      </c>
      <c r="AF459" s="20">
        <f>IF(AP459="2",BH459,0)</f>
        <v>0</v>
      </c>
      <c r="AG459" s="20">
        <f>IF(AP459="0",BI459,0)</f>
        <v>0</v>
      </c>
      <c r="AH459" s="15" t="s">
        <v>135</v>
      </c>
      <c r="AI459" s="12">
        <f>IF(AM459=0,K459,0)</f>
        <v>0</v>
      </c>
      <c r="AJ459" s="12">
        <f>IF(AM459=15,K459,0)</f>
        <v>0</v>
      </c>
      <c r="AK459" s="12">
        <f>IF(AM459=21,K459,0)</f>
        <v>0</v>
      </c>
      <c r="AM459" s="20">
        <v>15</v>
      </c>
      <c r="AN459" s="20">
        <f>H459*0.728155339805825</f>
        <v>0</v>
      </c>
      <c r="AO459" s="20">
        <f>H459*(1-0.728155339805825)</f>
        <v>0</v>
      </c>
      <c r="AP459" s="16" t="s">
        <v>256</v>
      </c>
      <c r="AU459" s="20">
        <f>AV459+AW459</f>
        <v>0</v>
      </c>
      <c r="AV459" s="20">
        <f>G459*AN459</f>
        <v>0</v>
      </c>
      <c r="AW459" s="20">
        <f>G459*AO459</f>
        <v>0</v>
      </c>
      <c r="AX459" s="21" t="s">
        <v>164</v>
      </c>
      <c r="AY459" s="21" t="s">
        <v>183</v>
      </c>
      <c r="AZ459" s="15" t="s">
        <v>190</v>
      </c>
      <c r="BB459" s="20">
        <f>AV459+AW459</f>
        <v>0</v>
      </c>
      <c r="BC459" s="20">
        <f>H459/(100-BD459)*100</f>
        <v>0</v>
      </c>
      <c r="BD459" s="20">
        <v>0</v>
      </c>
      <c r="BE459" s="20">
        <f>459</f>
        <v>459</v>
      </c>
      <c r="BG459" s="12">
        <f>G459*AN459</f>
        <v>0</v>
      </c>
      <c r="BH459" s="12">
        <f>G459*AO459</f>
        <v>0</v>
      </c>
      <c r="BI459" s="12">
        <f>G459*H459</f>
        <v>0</v>
      </c>
    </row>
    <row r="460" spans="1:11" ht="12.75">
      <c r="A460" s="59"/>
      <c r="B460" s="59"/>
      <c r="C460" s="149" t="s">
        <v>28</v>
      </c>
      <c r="D460" s="150"/>
      <c r="E460" s="150"/>
      <c r="F460" s="59"/>
      <c r="G460" s="60">
        <v>4.3</v>
      </c>
      <c r="H460" s="59"/>
      <c r="I460" s="59"/>
      <c r="J460" s="59"/>
      <c r="K460" s="59"/>
    </row>
    <row r="461" spans="1:61" ht="12.75">
      <c r="A461" s="57" t="s">
        <v>433</v>
      </c>
      <c r="B461" s="57" t="s">
        <v>643</v>
      </c>
      <c r="C461" s="146" t="s">
        <v>29</v>
      </c>
      <c r="D461" s="145"/>
      <c r="E461" s="145"/>
      <c r="F461" s="57" t="s">
        <v>106</v>
      </c>
      <c r="G461" s="58">
        <v>1</v>
      </c>
      <c r="H461" s="58">
        <v>0</v>
      </c>
      <c r="I461" s="58">
        <f>G461*AN461</f>
        <v>0</v>
      </c>
      <c r="J461" s="58">
        <f>G461*AO461</f>
        <v>0</v>
      </c>
      <c r="K461" s="58">
        <f>G461*H461</f>
        <v>0</v>
      </c>
      <c r="Y461" s="20">
        <f>IF(AP461="5",BI461,0)</f>
        <v>0</v>
      </c>
      <c r="AA461" s="20">
        <f>IF(AP461="1",BG461,0)</f>
        <v>0</v>
      </c>
      <c r="AB461" s="20">
        <f>IF(AP461="1",BH461,0)</f>
        <v>0</v>
      </c>
      <c r="AC461" s="20">
        <f>IF(AP461="7",BG461,0)</f>
        <v>0</v>
      </c>
      <c r="AD461" s="20">
        <f>IF(AP461="7",BH461,0)</f>
        <v>0</v>
      </c>
      <c r="AE461" s="20">
        <f>IF(AP461="2",BG461,0)</f>
        <v>0</v>
      </c>
      <c r="AF461" s="20">
        <f>IF(AP461="2",BH461,0)</f>
        <v>0</v>
      </c>
      <c r="AG461" s="20">
        <f>IF(AP461="0",BI461,0)</f>
        <v>0</v>
      </c>
      <c r="AH461" s="15" t="s">
        <v>135</v>
      </c>
      <c r="AI461" s="12">
        <f>IF(AM461=0,K461,0)</f>
        <v>0</v>
      </c>
      <c r="AJ461" s="12">
        <f>IF(AM461=15,K461,0)</f>
        <v>0</v>
      </c>
      <c r="AK461" s="12">
        <f>IF(AM461=21,K461,0)</f>
        <v>0</v>
      </c>
      <c r="AM461" s="20">
        <v>15</v>
      </c>
      <c r="AN461" s="20">
        <f>H461*0.786163522012579</f>
        <v>0</v>
      </c>
      <c r="AO461" s="20">
        <f>H461*(1-0.786163522012579)</f>
        <v>0</v>
      </c>
      <c r="AP461" s="16" t="s">
        <v>256</v>
      </c>
      <c r="AU461" s="20">
        <f>AV461+AW461</f>
        <v>0</v>
      </c>
      <c r="AV461" s="20">
        <f>G461*AN461</f>
        <v>0</v>
      </c>
      <c r="AW461" s="20">
        <f>G461*AO461</f>
        <v>0</v>
      </c>
      <c r="AX461" s="21" t="s">
        <v>164</v>
      </c>
      <c r="AY461" s="21" t="s">
        <v>183</v>
      </c>
      <c r="AZ461" s="15" t="s">
        <v>190</v>
      </c>
      <c r="BB461" s="20">
        <f>AV461+AW461</f>
        <v>0</v>
      </c>
      <c r="BC461" s="20">
        <f>H461/(100-BD461)*100</f>
        <v>0</v>
      </c>
      <c r="BD461" s="20">
        <v>0</v>
      </c>
      <c r="BE461" s="20">
        <f>461</f>
        <v>461</v>
      </c>
      <c r="BG461" s="12">
        <f>G461*AN461</f>
        <v>0</v>
      </c>
      <c r="BH461" s="12">
        <f>G461*AO461</f>
        <v>0</v>
      </c>
      <c r="BI461" s="12">
        <f>G461*H461</f>
        <v>0</v>
      </c>
    </row>
    <row r="462" spans="3:5" ht="12.75">
      <c r="C462" s="147" t="s">
        <v>30</v>
      </c>
      <c r="D462" s="148"/>
      <c r="E462" s="148"/>
    </row>
    <row r="463" spans="1:11" ht="12.75">
      <c r="A463" s="59"/>
      <c r="B463" s="59"/>
      <c r="C463" s="149" t="s">
        <v>31</v>
      </c>
      <c r="D463" s="150"/>
      <c r="E463" s="150"/>
      <c r="F463" s="59"/>
      <c r="G463" s="60">
        <v>1</v>
      </c>
      <c r="H463" s="59"/>
      <c r="I463" s="59"/>
      <c r="J463" s="59"/>
      <c r="K463" s="59"/>
    </row>
    <row r="464" spans="1:46" ht="12.75">
      <c r="A464" s="2"/>
      <c r="B464" s="8" t="s">
        <v>644</v>
      </c>
      <c r="C464" s="142" t="s">
        <v>32</v>
      </c>
      <c r="D464" s="143"/>
      <c r="E464" s="143"/>
      <c r="F464" s="2" t="s">
        <v>255</v>
      </c>
      <c r="G464" s="2" t="s">
        <v>255</v>
      </c>
      <c r="H464" s="2" t="s">
        <v>255</v>
      </c>
      <c r="I464" s="22">
        <f>SUM(I465:I465)</f>
        <v>0</v>
      </c>
      <c r="J464" s="22">
        <f>SUM(J465:J465)</f>
        <v>0</v>
      </c>
      <c r="K464" s="22">
        <f>SUM(K465:K465)</f>
        <v>0</v>
      </c>
      <c r="AH464" s="15" t="s">
        <v>135</v>
      </c>
      <c r="AR464" s="22">
        <f>SUM(AI465:AI465)</f>
        <v>0</v>
      </c>
      <c r="AS464" s="22">
        <f>SUM(AJ465:AJ465)</f>
        <v>0</v>
      </c>
      <c r="AT464" s="22">
        <f>SUM(AK465:AK465)</f>
        <v>0</v>
      </c>
    </row>
    <row r="465" spans="1:61" ht="12.75">
      <c r="A465" s="57" t="s">
        <v>434</v>
      </c>
      <c r="B465" s="57" t="s">
        <v>645</v>
      </c>
      <c r="C465" s="146" t="s">
        <v>33</v>
      </c>
      <c r="D465" s="145"/>
      <c r="E465" s="145"/>
      <c r="F465" s="57" t="s">
        <v>103</v>
      </c>
      <c r="G465" s="58">
        <v>46.233</v>
      </c>
      <c r="H465" s="58">
        <v>0</v>
      </c>
      <c r="I465" s="58">
        <f>G465*AN465</f>
        <v>0</v>
      </c>
      <c r="J465" s="58">
        <f>G465*AO465</f>
        <v>0</v>
      </c>
      <c r="K465" s="58">
        <f>G465*H465</f>
        <v>0</v>
      </c>
      <c r="Y465" s="20">
        <f>IF(AP465="5",BI465,0)</f>
        <v>0</v>
      </c>
      <c r="AA465" s="20">
        <f>IF(AP465="1",BG465,0)</f>
        <v>0</v>
      </c>
      <c r="AB465" s="20">
        <f>IF(AP465="1",BH465,0)</f>
        <v>0</v>
      </c>
      <c r="AC465" s="20">
        <f>IF(AP465="7",BG465,0)</f>
        <v>0</v>
      </c>
      <c r="AD465" s="20">
        <f>IF(AP465="7",BH465,0)</f>
        <v>0</v>
      </c>
      <c r="AE465" s="20">
        <f>IF(AP465="2",BG465,0)</f>
        <v>0</v>
      </c>
      <c r="AF465" s="20">
        <f>IF(AP465="2",BH465,0)</f>
        <v>0</v>
      </c>
      <c r="AG465" s="20">
        <f>IF(AP465="0",BI465,0)</f>
        <v>0</v>
      </c>
      <c r="AH465" s="15" t="s">
        <v>135</v>
      </c>
      <c r="AI465" s="12">
        <f>IF(AM465=0,K465,0)</f>
        <v>0</v>
      </c>
      <c r="AJ465" s="12">
        <f>IF(AM465=15,K465,0)</f>
        <v>0</v>
      </c>
      <c r="AK465" s="12">
        <f>IF(AM465=21,K465,0)</f>
        <v>0</v>
      </c>
      <c r="AM465" s="20">
        <v>15</v>
      </c>
      <c r="AN465" s="20">
        <f>H465*0</f>
        <v>0</v>
      </c>
      <c r="AO465" s="20">
        <f>H465*(1-0)</f>
        <v>0</v>
      </c>
      <c r="AP465" s="16" t="s">
        <v>260</v>
      </c>
      <c r="AU465" s="20">
        <f>AV465+AW465</f>
        <v>0</v>
      </c>
      <c r="AV465" s="20">
        <f>G465*AN465</f>
        <v>0</v>
      </c>
      <c r="AW465" s="20">
        <f>G465*AO465</f>
        <v>0</v>
      </c>
      <c r="AX465" s="21" t="s">
        <v>165</v>
      </c>
      <c r="AY465" s="21" t="s">
        <v>183</v>
      </c>
      <c r="AZ465" s="15" t="s">
        <v>190</v>
      </c>
      <c r="BB465" s="20">
        <f>AV465+AW465</f>
        <v>0</v>
      </c>
      <c r="BC465" s="20">
        <f>H465/(100-BD465)*100</f>
        <v>0</v>
      </c>
      <c r="BD465" s="20">
        <v>0</v>
      </c>
      <c r="BE465" s="20">
        <f>465</f>
        <v>465</v>
      </c>
      <c r="BG465" s="12">
        <f>G465*AN465</f>
        <v>0</v>
      </c>
      <c r="BH465" s="12">
        <f>G465*AO465</f>
        <v>0</v>
      </c>
      <c r="BI465" s="12">
        <f>G465*H465</f>
        <v>0</v>
      </c>
    </row>
    <row r="466" spans="1:11" ht="12.75">
      <c r="A466" s="59"/>
      <c r="B466" s="59"/>
      <c r="C466" s="149" t="s">
        <v>34</v>
      </c>
      <c r="D466" s="150"/>
      <c r="E466" s="150"/>
      <c r="F466" s="59"/>
      <c r="G466" s="60">
        <v>46.233</v>
      </c>
      <c r="H466" s="59"/>
      <c r="I466" s="59"/>
      <c r="J466" s="59"/>
      <c r="K466" s="59"/>
    </row>
    <row r="467" spans="1:11" ht="12.75">
      <c r="A467" s="64"/>
      <c r="B467" s="65"/>
      <c r="C467" s="152" t="s">
        <v>35</v>
      </c>
      <c r="D467" s="153"/>
      <c r="E467" s="154"/>
      <c r="F467" s="64" t="s">
        <v>255</v>
      </c>
      <c r="G467" s="64" t="s">
        <v>255</v>
      </c>
      <c r="H467" s="64" t="s">
        <v>255</v>
      </c>
      <c r="I467" s="66">
        <f>I468+I479+I509+I532+I542+I545</f>
        <v>0</v>
      </c>
      <c r="J467" s="66">
        <f>J468+J479+J509+J532+J542+J545</f>
        <v>0</v>
      </c>
      <c r="K467" s="66">
        <f>K468+K479+K509+K532+K542+K545</f>
        <v>0</v>
      </c>
    </row>
    <row r="468" spans="1:46" ht="12.75">
      <c r="A468" s="2"/>
      <c r="B468" s="8" t="s">
        <v>529</v>
      </c>
      <c r="C468" s="142" t="s">
        <v>831</v>
      </c>
      <c r="D468" s="143"/>
      <c r="E468" s="143"/>
      <c r="F468" s="2" t="s">
        <v>255</v>
      </c>
      <c r="G468" s="2" t="s">
        <v>255</v>
      </c>
      <c r="H468" s="2" t="s">
        <v>255</v>
      </c>
      <c r="I468" s="22">
        <f>SUM(I469:I477)</f>
        <v>0</v>
      </c>
      <c r="J468" s="22">
        <f>SUM(J469:J477)</f>
        <v>0</v>
      </c>
      <c r="K468" s="22">
        <f>SUM(K469:K477)</f>
        <v>0</v>
      </c>
      <c r="AH468" s="15" t="s">
        <v>136</v>
      </c>
      <c r="AR468" s="22">
        <f>SUM(AI469:AI477)</f>
        <v>0</v>
      </c>
      <c r="AS468" s="22">
        <f>SUM(AJ469:AJ477)</f>
        <v>0</v>
      </c>
      <c r="AT468" s="22">
        <f>SUM(AK469:AK477)</f>
        <v>0</v>
      </c>
    </row>
    <row r="469" spans="1:61" ht="12.75">
      <c r="A469" s="57" t="s">
        <v>435</v>
      </c>
      <c r="B469" s="57" t="s">
        <v>646</v>
      </c>
      <c r="C469" s="146" t="s">
        <v>36</v>
      </c>
      <c r="D469" s="145"/>
      <c r="E469" s="145"/>
      <c r="F469" s="57" t="s">
        <v>102</v>
      </c>
      <c r="G469" s="58">
        <v>40</v>
      </c>
      <c r="H469" s="58">
        <v>0</v>
      </c>
      <c r="I469" s="58">
        <f>G469*AN469</f>
        <v>0</v>
      </c>
      <c r="J469" s="58">
        <f>G469*AO469</f>
        <v>0</v>
      </c>
      <c r="K469" s="58">
        <f>G469*H469</f>
        <v>0</v>
      </c>
      <c r="Y469" s="20">
        <f>IF(AP469="5",BI469,0)</f>
        <v>0</v>
      </c>
      <c r="AA469" s="20">
        <f>IF(AP469="1",BG469,0)</f>
        <v>0</v>
      </c>
      <c r="AB469" s="20">
        <f>IF(AP469="1",BH469,0)</f>
        <v>0</v>
      </c>
      <c r="AC469" s="20">
        <f>IF(AP469="7",BG469,0)</f>
        <v>0</v>
      </c>
      <c r="AD469" s="20">
        <f>IF(AP469="7",BH469,0)</f>
        <v>0</v>
      </c>
      <c r="AE469" s="20">
        <f>IF(AP469="2",BG469,0)</f>
        <v>0</v>
      </c>
      <c r="AF469" s="20">
        <f>IF(AP469="2",BH469,0)</f>
        <v>0</v>
      </c>
      <c r="AG469" s="20">
        <f>IF(AP469="0",BI469,0)</f>
        <v>0</v>
      </c>
      <c r="AH469" s="15" t="s">
        <v>136</v>
      </c>
      <c r="AI469" s="12">
        <f>IF(AM469=0,K469,0)</f>
        <v>0</v>
      </c>
      <c r="AJ469" s="12">
        <f>IF(AM469=15,K469,0)</f>
        <v>0</v>
      </c>
      <c r="AK469" s="12">
        <f>IF(AM469=21,K469,0)</f>
        <v>0</v>
      </c>
      <c r="AM469" s="20">
        <v>15</v>
      </c>
      <c r="AN469" s="20">
        <f>H469*0.169556451612903</f>
        <v>0</v>
      </c>
      <c r="AO469" s="20">
        <f>H469*(1-0.169556451612903)</f>
        <v>0</v>
      </c>
      <c r="AP469" s="16" t="s">
        <v>262</v>
      </c>
      <c r="AU469" s="20">
        <f>AV469+AW469</f>
        <v>0</v>
      </c>
      <c r="AV469" s="20">
        <f>G469*AN469</f>
        <v>0</v>
      </c>
      <c r="AW469" s="20">
        <f>G469*AO469</f>
        <v>0</v>
      </c>
      <c r="AX469" s="21" t="s">
        <v>152</v>
      </c>
      <c r="AY469" s="21" t="s">
        <v>184</v>
      </c>
      <c r="AZ469" s="15" t="s">
        <v>191</v>
      </c>
      <c r="BB469" s="20">
        <f>AV469+AW469</f>
        <v>0</v>
      </c>
      <c r="BC469" s="20">
        <f>H469/(100-BD469)*100</f>
        <v>0</v>
      </c>
      <c r="BD469" s="20">
        <v>0</v>
      </c>
      <c r="BE469" s="20">
        <f>469</f>
        <v>469</v>
      </c>
      <c r="BG469" s="12">
        <f>G469*AN469</f>
        <v>0</v>
      </c>
      <c r="BH469" s="12">
        <f>G469*AO469</f>
        <v>0</v>
      </c>
      <c r="BI469" s="12">
        <f>G469*H469</f>
        <v>0</v>
      </c>
    </row>
    <row r="470" spans="1:11" ht="12.75">
      <c r="A470" s="59"/>
      <c r="B470" s="59"/>
      <c r="C470" s="149" t="s">
        <v>37</v>
      </c>
      <c r="D470" s="150"/>
      <c r="E470" s="150"/>
      <c r="F470" s="59"/>
      <c r="G470" s="60">
        <v>40</v>
      </c>
      <c r="H470" s="59"/>
      <c r="I470" s="59"/>
      <c r="J470" s="59"/>
      <c r="K470" s="59"/>
    </row>
    <row r="471" spans="1:61" ht="12.75">
      <c r="A471" s="67" t="s">
        <v>436</v>
      </c>
      <c r="B471" s="67" t="s">
        <v>647</v>
      </c>
      <c r="C471" s="155" t="s">
        <v>38</v>
      </c>
      <c r="D471" s="156"/>
      <c r="E471" s="156"/>
      <c r="F471" s="67" t="s">
        <v>102</v>
      </c>
      <c r="G471" s="68">
        <v>5</v>
      </c>
      <c r="H471" s="68">
        <v>0</v>
      </c>
      <c r="I471" s="68">
        <f>G471*AN471</f>
        <v>0</v>
      </c>
      <c r="J471" s="68">
        <f>G471*AO471</f>
        <v>0</v>
      </c>
      <c r="K471" s="68">
        <f>G471*H471</f>
        <v>0</v>
      </c>
      <c r="Y471" s="20">
        <f>IF(AP471="5",BI471,0)</f>
        <v>0</v>
      </c>
      <c r="AA471" s="20">
        <f>IF(AP471="1",BG471,0)</f>
        <v>0</v>
      </c>
      <c r="AB471" s="20">
        <f>IF(AP471="1",BH471,0)</f>
        <v>0</v>
      </c>
      <c r="AC471" s="20">
        <f>IF(AP471="7",BG471,0)</f>
        <v>0</v>
      </c>
      <c r="AD471" s="20">
        <f>IF(AP471="7",BH471,0)</f>
        <v>0</v>
      </c>
      <c r="AE471" s="20">
        <f>IF(AP471="2",BG471,0)</f>
        <v>0</v>
      </c>
      <c r="AF471" s="20">
        <f>IF(AP471="2",BH471,0)</f>
        <v>0</v>
      </c>
      <c r="AG471" s="20">
        <f>IF(AP471="0",BI471,0)</f>
        <v>0</v>
      </c>
      <c r="AH471" s="15" t="s">
        <v>136</v>
      </c>
      <c r="AI471" s="13">
        <f>IF(AM471=0,K471,0)</f>
        <v>0</v>
      </c>
      <c r="AJ471" s="13">
        <f>IF(AM471=15,K471,0)</f>
        <v>0</v>
      </c>
      <c r="AK471" s="13">
        <f>IF(AM471=21,K471,0)</f>
        <v>0</v>
      </c>
      <c r="AM471" s="20">
        <v>15</v>
      </c>
      <c r="AN471" s="20">
        <f>H471*1</f>
        <v>0</v>
      </c>
      <c r="AO471" s="20">
        <f>H471*(1-1)</f>
        <v>0</v>
      </c>
      <c r="AP471" s="17" t="s">
        <v>262</v>
      </c>
      <c r="AU471" s="20">
        <f>AV471+AW471</f>
        <v>0</v>
      </c>
      <c r="AV471" s="20">
        <f>G471*AN471</f>
        <v>0</v>
      </c>
      <c r="AW471" s="20">
        <f>G471*AO471</f>
        <v>0</v>
      </c>
      <c r="AX471" s="21" t="s">
        <v>152</v>
      </c>
      <c r="AY471" s="21" t="s">
        <v>184</v>
      </c>
      <c r="AZ471" s="15" t="s">
        <v>191</v>
      </c>
      <c r="BB471" s="20">
        <f>AV471+AW471</f>
        <v>0</v>
      </c>
      <c r="BC471" s="20">
        <f>H471/(100-BD471)*100</f>
        <v>0</v>
      </c>
      <c r="BD471" s="20">
        <v>0</v>
      </c>
      <c r="BE471" s="20">
        <f>471</f>
        <v>471</v>
      </c>
      <c r="BG471" s="13">
        <f>G471*AN471</f>
        <v>0</v>
      </c>
      <c r="BH471" s="13">
        <f>G471*AO471</f>
        <v>0</v>
      </c>
      <c r="BI471" s="13">
        <f>G471*H471</f>
        <v>0</v>
      </c>
    </row>
    <row r="472" spans="1:11" ht="12.75">
      <c r="A472" s="69"/>
      <c r="B472" s="69"/>
      <c r="C472" s="157" t="s">
        <v>39</v>
      </c>
      <c r="D472" s="150"/>
      <c r="E472" s="150"/>
      <c r="F472" s="69"/>
      <c r="G472" s="70">
        <v>5</v>
      </c>
      <c r="H472" s="69"/>
      <c r="I472" s="69"/>
      <c r="J472" s="69"/>
      <c r="K472" s="69"/>
    </row>
    <row r="473" spans="1:61" ht="12.75">
      <c r="A473" s="67" t="s">
        <v>437</v>
      </c>
      <c r="B473" s="67" t="s">
        <v>648</v>
      </c>
      <c r="C473" s="155" t="s">
        <v>40</v>
      </c>
      <c r="D473" s="156"/>
      <c r="E473" s="156"/>
      <c r="F473" s="67" t="s">
        <v>102</v>
      </c>
      <c r="G473" s="68">
        <v>32</v>
      </c>
      <c r="H473" s="68">
        <v>0</v>
      </c>
      <c r="I473" s="68">
        <f>G473*AN473</f>
        <v>0</v>
      </c>
      <c r="J473" s="68">
        <f>G473*AO473</f>
        <v>0</v>
      </c>
      <c r="K473" s="68">
        <f>G473*H473</f>
        <v>0</v>
      </c>
      <c r="Y473" s="20">
        <f>IF(AP473="5",BI473,0)</f>
        <v>0</v>
      </c>
      <c r="AA473" s="20">
        <f>IF(AP473="1",BG473,0)</f>
        <v>0</v>
      </c>
      <c r="AB473" s="20">
        <f>IF(AP473="1",BH473,0)</f>
        <v>0</v>
      </c>
      <c r="AC473" s="20">
        <f>IF(AP473="7",BG473,0)</f>
        <v>0</v>
      </c>
      <c r="AD473" s="20">
        <f>IF(AP473="7",BH473,0)</f>
        <v>0</v>
      </c>
      <c r="AE473" s="20">
        <f>IF(AP473="2",BG473,0)</f>
        <v>0</v>
      </c>
      <c r="AF473" s="20">
        <f>IF(AP473="2",BH473,0)</f>
        <v>0</v>
      </c>
      <c r="AG473" s="20">
        <f>IF(AP473="0",BI473,0)</f>
        <v>0</v>
      </c>
      <c r="AH473" s="15" t="s">
        <v>136</v>
      </c>
      <c r="AI473" s="13">
        <f>IF(AM473=0,K473,0)</f>
        <v>0</v>
      </c>
      <c r="AJ473" s="13">
        <f>IF(AM473=15,K473,0)</f>
        <v>0</v>
      </c>
      <c r="AK473" s="13">
        <f>IF(AM473=21,K473,0)</f>
        <v>0</v>
      </c>
      <c r="AM473" s="20">
        <v>15</v>
      </c>
      <c r="AN473" s="20">
        <f>H473*1</f>
        <v>0</v>
      </c>
      <c r="AO473" s="20">
        <f>H473*(1-1)</f>
        <v>0</v>
      </c>
      <c r="AP473" s="17" t="s">
        <v>262</v>
      </c>
      <c r="AU473" s="20">
        <f>AV473+AW473</f>
        <v>0</v>
      </c>
      <c r="AV473" s="20">
        <f>G473*AN473</f>
        <v>0</v>
      </c>
      <c r="AW473" s="20">
        <f>G473*AO473</f>
        <v>0</v>
      </c>
      <c r="AX473" s="21" t="s">
        <v>152</v>
      </c>
      <c r="AY473" s="21" t="s">
        <v>184</v>
      </c>
      <c r="AZ473" s="15" t="s">
        <v>191</v>
      </c>
      <c r="BB473" s="20">
        <f>AV473+AW473</f>
        <v>0</v>
      </c>
      <c r="BC473" s="20">
        <f>H473/(100-BD473)*100</f>
        <v>0</v>
      </c>
      <c r="BD473" s="20">
        <v>0</v>
      </c>
      <c r="BE473" s="20">
        <f>473</f>
        <v>473</v>
      </c>
      <c r="BG473" s="13">
        <f>G473*AN473</f>
        <v>0</v>
      </c>
      <c r="BH473" s="13">
        <f>G473*AO473</f>
        <v>0</v>
      </c>
      <c r="BI473" s="13">
        <f>G473*H473</f>
        <v>0</v>
      </c>
    </row>
    <row r="474" spans="1:11" ht="12.75">
      <c r="A474" s="69"/>
      <c r="B474" s="69"/>
      <c r="C474" s="157" t="s">
        <v>41</v>
      </c>
      <c r="D474" s="150"/>
      <c r="E474" s="150"/>
      <c r="F474" s="69"/>
      <c r="G474" s="70">
        <v>32</v>
      </c>
      <c r="H474" s="69"/>
      <c r="I474" s="69"/>
      <c r="J474" s="69"/>
      <c r="K474" s="69"/>
    </row>
    <row r="475" spans="1:61" ht="12.75">
      <c r="A475" s="67" t="s">
        <v>438</v>
      </c>
      <c r="B475" s="67" t="s">
        <v>649</v>
      </c>
      <c r="C475" s="155" t="s">
        <v>42</v>
      </c>
      <c r="D475" s="156"/>
      <c r="E475" s="156"/>
      <c r="F475" s="67" t="s">
        <v>102</v>
      </c>
      <c r="G475" s="68">
        <v>3</v>
      </c>
      <c r="H475" s="68">
        <v>0</v>
      </c>
      <c r="I475" s="68">
        <f>G475*AN475</f>
        <v>0</v>
      </c>
      <c r="J475" s="68">
        <f>G475*AO475</f>
        <v>0</v>
      </c>
      <c r="K475" s="68">
        <f>G475*H475</f>
        <v>0</v>
      </c>
      <c r="Y475" s="20">
        <f>IF(AP475="5",BI475,0)</f>
        <v>0</v>
      </c>
      <c r="AA475" s="20">
        <f>IF(AP475="1",BG475,0)</f>
        <v>0</v>
      </c>
      <c r="AB475" s="20">
        <f>IF(AP475="1",BH475,0)</f>
        <v>0</v>
      </c>
      <c r="AC475" s="20">
        <f>IF(AP475="7",BG475,0)</f>
        <v>0</v>
      </c>
      <c r="AD475" s="20">
        <f>IF(AP475="7",BH475,0)</f>
        <v>0</v>
      </c>
      <c r="AE475" s="20">
        <f>IF(AP475="2",BG475,0)</f>
        <v>0</v>
      </c>
      <c r="AF475" s="20">
        <f>IF(AP475="2",BH475,0)</f>
        <v>0</v>
      </c>
      <c r="AG475" s="20">
        <f>IF(AP475="0",BI475,0)</f>
        <v>0</v>
      </c>
      <c r="AH475" s="15" t="s">
        <v>136</v>
      </c>
      <c r="AI475" s="13">
        <f>IF(AM475=0,K475,0)</f>
        <v>0</v>
      </c>
      <c r="AJ475" s="13">
        <f>IF(AM475=15,K475,0)</f>
        <v>0</v>
      </c>
      <c r="AK475" s="13">
        <f>IF(AM475=21,K475,0)</f>
        <v>0</v>
      </c>
      <c r="AM475" s="20">
        <v>15</v>
      </c>
      <c r="AN475" s="20">
        <f>H475*1</f>
        <v>0</v>
      </c>
      <c r="AO475" s="20">
        <f>H475*(1-1)</f>
        <v>0</v>
      </c>
      <c r="AP475" s="17" t="s">
        <v>262</v>
      </c>
      <c r="AU475" s="20">
        <f>AV475+AW475</f>
        <v>0</v>
      </c>
      <c r="AV475" s="20">
        <f>G475*AN475</f>
        <v>0</v>
      </c>
      <c r="AW475" s="20">
        <f>G475*AO475</f>
        <v>0</v>
      </c>
      <c r="AX475" s="21" t="s">
        <v>152</v>
      </c>
      <c r="AY475" s="21" t="s">
        <v>184</v>
      </c>
      <c r="AZ475" s="15" t="s">
        <v>191</v>
      </c>
      <c r="BB475" s="20">
        <f>AV475+AW475</f>
        <v>0</v>
      </c>
      <c r="BC475" s="20">
        <f>H475/(100-BD475)*100</f>
        <v>0</v>
      </c>
      <c r="BD475" s="20">
        <v>0</v>
      </c>
      <c r="BE475" s="20">
        <f>475</f>
        <v>475</v>
      </c>
      <c r="BG475" s="13">
        <f>G475*AN475</f>
        <v>0</v>
      </c>
      <c r="BH475" s="13">
        <f>G475*AO475</f>
        <v>0</v>
      </c>
      <c r="BI475" s="13">
        <f>G475*H475</f>
        <v>0</v>
      </c>
    </row>
    <row r="476" spans="1:11" ht="12.75">
      <c r="A476" s="69"/>
      <c r="B476" s="69"/>
      <c r="C476" s="157" t="s">
        <v>752</v>
      </c>
      <c r="D476" s="150"/>
      <c r="E476" s="150"/>
      <c r="F476" s="69"/>
      <c r="G476" s="70">
        <v>3</v>
      </c>
      <c r="H476" s="69"/>
      <c r="I476" s="69"/>
      <c r="J476" s="69"/>
      <c r="K476" s="69"/>
    </row>
    <row r="477" spans="1:61" ht="12.75">
      <c r="A477" s="57" t="s">
        <v>439</v>
      </c>
      <c r="B477" s="57" t="s">
        <v>540</v>
      </c>
      <c r="C477" s="146" t="s">
        <v>848</v>
      </c>
      <c r="D477" s="145"/>
      <c r="E477" s="145"/>
      <c r="F477" s="57" t="s">
        <v>103</v>
      </c>
      <c r="G477" s="58">
        <v>0.027</v>
      </c>
      <c r="H477" s="58">
        <v>0</v>
      </c>
      <c r="I477" s="58">
        <f>G477*AN477</f>
        <v>0</v>
      </c>
      <c r="J477" s="58">
        <f>G477*AO477</f>
        <v>0</v>
      </c>
      <c r="K477" s="58">
        <f>G477*H477</f>
        <v>0</v>
      </c>
      <c r="Y477" s="20">
        <f>IF(AP477="5",BI477,0)</f>
        <v>0</v>
      </c>
      <c r="AA477" s="20">
        <f>IF(AP477="1",BG477,0)</f>
        <v>0</v>
      </c>
      <c r="AB477" s="20">
        <f>IF(AP477="1",BH477,0)</f>
        <v>0</v>
      </c>
      <c r="AC477" s="20">
        <f>IF(AP477="7",BG477,0)</f>
        <v>0</v>
      </c>
      <c r="AD477" s="20">
        <f>IF(AP477="7",BH477,0)</f>
        <v>0</v>
      </c>
      <c r="AE477" s="20">
        <f>IF(AP477="2",BG477,0)</f>
        <v>0</v>
      </c>
      <c r="AF477" s="20">
        <f>IF(AP477="2",BH477,0)</f>
        <v>0</v>
      </c>
      <c r="AG477" s="20">
        <f>IF(AP477="0",BI477,0)</f>
        <v>0</v>
      </c>
      <c r="AH477" s="15" t="s">
        <v>136</v>
      </c>
      <c r="AI477" s="12">
        <f>IF(AM477=0,K477,0)</f>
        <v>0</v>
      </c>
      <c r="AJ477" s="12">
        <f>IF(AM477=15,K477,0)</f>
        <v>0</v>
      </c>
      <c r="AK477" s="12">
        <f>IF(AM477=21,K477,0)</f>
        <v>0</v>
      </c>
      <c r="AM477" s="20">
        <v>15</v>
      </c>
      <c r="AN477" s="20">
        <f>H477*0</f>
        <v>0</v>
      </c>
      <c r="AO477" s="20">
        <f>H477*(1-0)</f>
        <v>0</v>
      </c>
      <c r="AP477" s="16" t="s">
        <v>260</v>
      </c>
      <c r="AU477" s="20">
        <f>AV477+AW477</f>
        <v>0</v>
      </c>
      <c r="AV477" s="20">
        <f>G477*AN477</f>
        <v>0</v>
      </c>
      <c r="AW477" s="20">
        <f>G477*AO477</f>
        <v>0</v>
      </c>
      <c r="AX477" s="21" t="s">
        <v>152</v>
      </c>
      <c r="AY477" s="21" t="s">
        <v>184</v>
      </c>
      <c r="AZ477" s="15" t="s">
        <v>191</v>
      </c>
      <c r="BB477" s="20">
        <f>AV477+AW477</f>
        <v>0</v>
      </c>
      <c r="BC477" s="20">
        <f>H477/(100-BD477)*100</f>
        <v>0</v>
      </c>
      <c r="BD477" s="20">
        <v>0</v>
      </c>
      <c r="BE477" s="20">
        <f>477</f>
        <v>477</v>
      </c>
      <c r="BG477" s="12">
        <f>G477*AN477</f>
        <v>0</v>
      </c>
      <c r="BH477" s="12">
        <f>G477*AO477</f>
        <v>0</v>
      </c>
      <c r="BI477" s="12">
        <f>G477*H477</f>
        <v>0</v>
      </c>
    </row>
    <row r="478" spans="1:11" ht="12.75">
      <c r="A478" s="59"/>
      <c r="B478" s="59"/>
      <c r="C478" s="149" t="s">
        <v>43</v>
      </c>
      <c r="D478" s="150"/>
      <c r="E478" s="150"/>
      <c r="F478" s="59"/>
      <c r="G478" s="60">
        <v>0.027</v>
      </c>
      <c r="H478" s="59"/>
      <c r="I478" s="59"/>
      <c r="J478" s="59"/>
      <c r="K478" s="59"/>
    </row>
    <row r="479" spans="1:46" ht="12.75">
      <c r="A479" s="2"/>
      <c r="B479" s="8" t="s">
        <v>650</v>
      </c>
      <c r="C479" s="142" t="s">
        <v>44</v>
      </c>
      <c r="D479" s="143"/>
      <c r="E479" s="143"/>
      <c r="F479" s="2" t="s">
        <v>255</v>
      </c>
      <c r="G479" s="2" t="s">
        <v>255</v>
      </c>
      <c r="H479" s="2" t="s">
        <v>255</v>
      </c>
      <c r="I479" s="22">
        <f>SUM(I480:I507)</f>
        <v>0</v>
      </c>
      <c r="J479" s="22">
        <f>SUM(J480:J507)</f>
        <v>0</v>
      </c>
      <c r="K479" s="22">
        <f>SUM(K480:K507)</f>
        <v>0</v>
      </c>
      <c r="AH479" s="15" t="s">
        <v>136</v>
      </c>
      <c r="AR479" s="22">
        <f>SUM(AI480:AI507)</f>
        <v>0</v>
      </c>
      <c r="AS479" s="22">
        <f>SUM(AJ480:AJ507)</f>
        <v>0</v>
      </c>
      <c r="AT479" s="22">
        <f>SUM(AK480:AK507)</f>
        <v>0</v>
      </c>
    </row>
    <row r="480" spans="1:61" ht="12.75">
      <c r="A480" s="57" t="s">
        <v>440</v>
      </c>
      <c r="B480" s="57" t="s">
        <v>651</v>
      </c>
      <c r="C480" s="146" t="s">
        <v>45</v>
      </c>
      <c r="D480" s="145"/>
      <c r="E480" s="145"/>
      <c r="F480" s="57" t="s">
        <v>102</v>
      </c>
      <c r="G480" s="58">
        <v>5</v>
      </c>
      <c r="H480" s="58">
        <v>0</v>
      </c>
      <c r="I480" s="58">
        <f>G480*AN480</f>
        <v>0</v>
      </c>
      <c r="J480" s="58">
        <f>G480*AO480</f>
        <v>0</v>
      </c>
      <c r="K480" s="58">
        <f>G480*H480</f>
        <v>0</v>
      </c>
      <c r="Y480" s="20">
        <f>IF(AP480="5",BI480,0)</f>
        <v>0</v>
      </c>
      <c r="AA480" s="20">
        <f>IF(AP480="1",BG480,0)</f>
        <v>0</v>
      </c>
      <c r="AB480" s="20">
        <f>IF(AP480="1",BH480,0)</f>
        <v>0</v>
      </c>
      <c r="AC480" s="20">
        <f>IF(AP480="7",BG480,0)</f>
        <v>0</v>
      </c>
      <c r="AD480" s="20">
        <f>IF(AP480="7",BH480,0)</f>
        <v>0</v>
      </c>
      <c r="AE480" s="20">
        <f>IF(AP480="2",BG480,0)</f>
        <v>0</v>
      </c>
      <c r="AF480" s="20">
        <f>IF(AP480="2",BH480,0)</f>
        <v>0</v>
      </c>
      <c r="AG480" s="20">
        <f>IF(AP480="0",BI480,0)</f>
        <v>0</v>
      </c>
      <c r="AH480" s="15" t="s">
        <v>136</v>
      </c>
      <c r="AI480" s="12">
        <f>IF(AM480=0,K480,0)</f>
        <v>0</v>
      </c>
      <c r="AJ480" s="12">
        <f>IF(AM480=15,K480,0)</f>
        <v>0</v>
      </c>
      <c r="AK480" s="12">
        <f>IF(AM480=21,K480,0)</f>
        <v>0</v>
      </c>
      <c r="AM480" s="20">
        <v>15</v>
      </c>
      <c r="AN480" s="20">
        <f>H480*0.0579401993355482</f>
        <v>0</v>
      </c>
      <c r="AO480" s="20">
        <f>H480*(1-0.0579401993355482)</f>
        <v>0</v>
      </c>
      <c r="AP480" s="16" t="s">
        <v>262</v>
      </c>
      <c r="AU480" s="20">
        <f>AV480+AW480</f>
        <v>0</v>
      </c>
      <c r="AV480" s="20">
        <f>G480*AN480</f>
        <v>0</v>
      </c>
      <c r="AW480" s="20">
        <f>G480*AO480</f>
        <v>0</v>
      </c>
      <c r="AX480" s="21" t="s">
        <v>166</v>
      </c>
      <c r="AY480" s="21" t="s">
        <v>185</v>
      </c>
      <c r="AZ480" s="15" t="s">
        <v>191</v>
      </c>
      <c r="BB480" s="20">
        <f>AV480+AW480</f>
        <v>0</v>
      </c>
      <c r="BC480" s="20">
        <f>H480/(100-BD480)*100</f>
        <v>0</v>
      </c>
      <c r="BD480" s="20">
        <v>0</v>
      </c>
      <c r="BE480" s="20">
        <f>480</f>
        <v>480</v>
      </c>
      <c r="BG480" s="12">
        <f>G480*AN480</f>
        <v>0</v>
      </c>
      <c r="BH480" s="12">
        <f>G480*AO480</f>
        <v>0</v>
      </c>
      <c r="BI480" s="12">
        <f>G480*H480</f>
        <v>0</v>
      </c>
    </row>
    <row r="481" spans="1:11" ht="12.75">
      <c r="A481" s="59"/>
      <c r="B481" s="59"/>
      <c r="C481" s="149" t="s">
        <v>39</v>
      </c>
      <c r="D481" s="150"/>
      <c r="E481" s="150"/>
      <c r="F481" s="59"/>
      <c r="G481" s="60">
        <v>5</v>
      </c>
      <c r="H481" s="59"/>
      <c r="I481" s="59"/>
      <c r="J481" s="59"/>
      <c r="K481" s="59"/>
    </row>
    <row r="482" spans="1:61" ht="12.75">
      <c r="A482" s="67" t="s">
        <v>441</v>
      </c>
      <c r="B482" s="67" t="s">
        <v>652</v>
      </c>
      <c r="C482" s="155" t="s">
        <v>46</v>
      </c>
      <c r="D482" s="156"/>
      <c r="E482" s="156"/>
      <c r="F482" s="67" t="s">
        <v>102</v>
      </c>
      <c r="G482" s="68">
        <v>5</v>
      </c>
      <c r="H482" s="68">
        <v>0</v>
      </c>
      <c r="I482" s="68">
        <f>G482*AN482</f>
        <v>0</v>
      </c>
      <c r="J482" s="68">
        <f>G482*AO482</f>
        <v>0</v>
      </c>
      <c r="K482" s="68">
        <f>G482*H482</f>
        <v>0</v>
      </c>
      <c r="Y482" s="20">
        <f>IF(AP482="5",BI482,0)</f>
        <v>0</v>
      </c>
      <c r="AA482" s="20">
        <f>IF(AP482="1",BG482,0)</f>
        <v>0</v>
      </c>
      <c r="AB482" s="20">
        <f>IF(AP482="1",BH482,0)</f>
        <v>0</v>
      </c>
      <c r="AC482" s="20">
        <f>IF(AP482="7",BG482,0)</f>
        <v>0</v>
      </c>
      <c r="AD482" s="20">
        <f>IF(AP482="7",BH482,0)</f>
        <v>0</v>
      </c>
      <c r="AE482" s="20">
        <f>IF(AP482="2",BG482,0)</f>
        <v>0</v>
      </c>
      <c r="AF482" s="20">
        <f>IF(AP482="2",BH482,0)</f>
        <v>0</v>
      </c>
      <c r="AG482" s="20">
        <f>IF(AP482="0",BI482,0)</f>
        <v>0</v>
      </c>
      <c r="AH482" s="15" t="s">
        <v>136</v>
      </c>
      <c r="AI482" s="13">
        <f>IF(AM482=0,K482,0)</f>
        <v>0</v>
      </c>
      <c r="AJ482" s="13">
        <f>IF(AM482=15,K482,0)</f>
        <v>0</v>
      </c>
      <c r="AK482" s="13">
        <f>IF(AM482=21,K482,0)</f>
        <v>0</v>
      </c>
      <c r="AM482" s="20">
        <v>15</v>
      </c>
      <c r="AN482" s="20">
        <f>H482*1</f>
        <v>0</v>
      </c>
      <c r="AO482" s="20">
        <f>H482*(1-1)</f>
        <v>0</v>
      </c>
      <c r="AP482" s="17" t="s">
        <v>262</v>
      </c>
      <c r="AU482" s="20">
        <f>AV482+AW482</f>
        <v>0</v>
      </c>
      <c r="AV482" s="20">
        <f>G482*AN482</f>
        <v>0</v>
      </c>
      <c r="AW482" s="20">
        <f>G482*AO482</f>
        <v>0</v>
      </c>
      <c r="AX482" s="21" t="s">
        <v>166</v>
      </c>
      <c r="AY482" s="21" t="s">
        <v>185</v>
      </c>
      <c r="AZ482" s="15" t="s">
        <v>191</v>
      </c>
      <c r="BB482" s="20">
        <f>AV482+AW482</f>
        <v>0</v>
      </c>
      <c r="BC482" s="20">
        <f>H482/(100-BD482)*100</f>
        <v>0</v>
      </c>
      <c r="BD482" s="20">
        <v>0</v>
      </c>
      <c r="BE482" s="20">
        <f>482</f>
        <v>482</v>
      </c>
      <c r="BG482" s="13">
        <f>G482*AN482</f>
        <v>0</v>
      </c>
      <c r="BH482" s="13">
        <f>G482*AO482</f>
        <v>0</v>
      </c>
      <c r="BI482" s="13">
        <f>G482*H482</f>
        <v>0</v>
      </c>
    </row>
    <row r="483" spans="1:11" ht="12.75">
      <c r="A483" s="69"/>
      <c r="B483" s="69"/>
      <c r="C483" s="157" t="s">
        <v>39</v>
      </c>
      <c r="D483" s="150"/>
      <c r="E483" s="150"/>
      <c r="F483" s="69"/>
      <c r="G483" s="70">
        <v>5</v>
      </c>
      <c r="H483" s="69"/>
      <c r="I483" s="69"/>
      <c r="J483" s="69"/>
      <c r="K483" s="69"/>
    </row>
    <row r="484" spans="1:61" ht="12.75">
      <c r="A484" s="57" t="s">
        <v>442</v>
      </c>
      <c r="B484" s="57" t="s">
        <v>653</v>
      </c>
      <c r="C484" s="146" t="s">
        <v>47</v>
      </c>
      <c r="D484" s="145"/>
      <c r="E484" s="145"/>
      <c r="F484" s="57" t="s">
        <v>102</v>
      </c>
      <c r="G484" s="58">
        <v>32</v>
      </c>
      <c r="H484" s="58">
        <v>0</v>
      </c>
      <c r="I484" s="58">
        <f>G484*AN484</f>
        <v>0</v>
      </c>
      <c r="J484" s="58">
        <f>G484*AO484</f>
        <v>0</v>
      </c>
      <c r="K484" s="58">
        <f>G484*H484</f>
        <v>0</v>
      </c>
      <c r="Y484" s="20">
        <f>IF(AP484="5",BI484,0)</f>
        <v>0</v>
      </c>
      <c r="AA484" s="20">
        <f>IF(AP484="1",BG484,0)</f>
        <v>0</v>
      </c>
      <c r="AB484" s="20">
        <f>IF(AP484="1",BH484,0)</f>
        <v>0</v>
      </c>
      <c r="AC484" s="20">
        <f>IF(AP484="7",BG484,0)</f>
        <v>0</v>
      </c>
      <c r="AD484" s="20">
        <f>IF(AP484="7",BH484,0)</f>
        <v>0</v>
      </c>
      <c r="AE484" s="20">
        <f>IF(AP484="2",BG484,0)</f>
        <v>0</v>
      </c>
      <c r="AF484" s="20">
        <f>IF(AP484="2",BH484,0)</f>
        <v>0</v>
      </c>
      <c r="AG484" s="20">
        <f>IF(AP484="0",BI484,0)</f>
        <v>0</v>
      </c>
      <c r="AH484" s="15" t="s">
        <v>136</v>
      </c>
      <c r="AI484" s="12">
        <f>IF(AM484=0,K484,0)</f>
        <v>0</v>
      </c>
      <c r="AJ484" s="12">
        <f>IF(AM484=15,K484,0)</f>
        <v>0</v>
      </c>
      <c r="AK484" s="12">
        <f>IF(AM484=21,K484,0)</f>
        <v>0</v>
      </c>
      <c r="AM484" s="20">
        <v>15</v>
      </c>
      <c r="AN484" s="20">
        <f>H484*0.0931140350877193</f>
        <v>0</v>
      </c>
      <c r="AO484" s="20">
        <f>H484*(1-0.0931140350877193)</f>
        <v>0</v>
      </c>
      <c r="AP484" s="16" t="s">
        <v>262</v>
      </c>
      <c r="AU484" s="20">
        <f>AV484+AW484</f>
        <v>0</v>
      </c>
      <c r="AV484" s="20">
        <f>G484*AN484</f>
        <v>0</v>
      </c>
      <c r="AW484" s="20">
        <f>G484*AO484</f>
        <v>0</v>
      </c>
      <c r="AX484" s="21" t="s">
        <v>166</v>
      </c>
      <c r="AY484" s="21" t="s">
        <v>185</v>
      </c>
      <c r="AZ484" s="15" t="s">
        <v>191</v>
      </c>
      <c r="BB484" s="20">
        <f>AV484+AW484</f>
        <v>0</v>
      </c>
      <c r="BC484" s="20">
        <f>H484/(100-BD484)*100</f>
        <v>0</v>
      </c>
      <c r="BD484" s="20">
        <v>0</v>
      </c>
      <c r="BE484" s="20">
        <f>484</f>
        <v>484</v>
      </c>
      <c r="BG484" s="12">
        <f>G484*AN484</f>
        <v>0</v>
      </c>
      <c r="BH484" s="12">
        <f>G484*AO484</f>
        <v>0</v>
      </c>
      <c r="BI484" s="12">
        <f>G484*H484</f>
        <v>0</v>
      </c>
    </row>
    <row r="485" spans="1:11" ht="12.75">
      <c r="A485" s="59"/>
      <c r="B485" s="59"/>
      <c r="C485" s="149" t="s">
        <v>41</v>
      </c>
      <c r="D485" s="150"/>
      <c r="E485" s="150"/>
      <c r="F485" s="59"/>
      <c r="G485" s="60">
        <v>32</v>
      </c>
      <c r="H485" s="59"/>
      <c r="I485" s="59"/>
      <c r="J485" s="59"/>
      <c r="K485" s="59"/>
    </row>
    <row r="486" spans="1:61" ht="12.75">
      <c r="A486" s="67" t="s">
        <v>443</v>
      </c>
      <c r="B486" s="67" t="s">
        <v>654</v>
      </c>
      <c r="C486" s="155" t="s">
        <v>48</v>
      </c>
      <c r="D486" s="156"/>
      <c r="E486" s="156"/>
      <c r="F486" s="67" t="s">
        <v>102</v>
      </c>
      <c r="G486" s="68">
        <v>32</v>
      </c>
      <c r="H486" s="68">
        <v>0</v>
      </c>
      <c r="I486" s="68">
        <f>G486*AN486</f>
        <v>0</v>
      </c>
      <c r="J486" s="68">
        <f>G486*AO486</f>
        <v>0</v>
      </c>
      <c r="K486" s="68">
        <f>G486*H486</f>
        <v>0</v>
      </c>
      <c r="Y486" s="20">
        <f>IF(AP486="5",BI486,0)</f>
        <v>0</v>
      </c>
      <c r="AA486" s="20">
        <f>IF(AP486="1",BG486,0)</f>
        <v>0</v>
      </c>
      <c r="AB486" s="20">
        <f>IF(AP486="1",BH486,0)</f>
        <v>0</v>
      </c>
      <c r="AC486" s="20">
        <f>IF(AP486="7",BG486,0)</f>
        <v>0</v>
      </c>
      <c r="AD486" s="20">
        <f>IF(AP486="7",BH486,0)</f>
        <v>0</v>
      </c>
      <c r="AE486" s="20">
        <f>IF(AP486="2",BG486,0)</f>
        <v>0</v>
      </c>
      <c r="AF486" s="20">
        <f>IF(AP486="2",BH486,0)</f>
        <v>0</v>
      </c>
      <c r="AG486" s="20">
        <f>IF(AP486="0",BI486,0)</f>
        <v>0</v>
      </c>
      <c r="AH486" s="15" t="s">
        <v>136</v>
      </c>
      <c r="AI486" s="13">
        <f>IF(AM486=0,K486,0)</f>
        <v>0</v>
      </c>
      <c r="AJ486" s="13">
        <f>IF(AM486=15,K486,0)</f>
        <v>0</v>
      </c>
      <c r="AK486" s="13">
        <f>IF(AM486=21,K486,0)</f>
        <v>0</v>
      </c>
      <c r="AM486" s="20">
        <v>15</v>
      </c>
      <c r="AN486" s="20">
        <f>H486*1</f>
        <v>0</v>
      </c>
      <c r="AO486" s="20">
        <f>H486*(1-1)</f>
        <v>0</v>
      </c>
      <c r="AP486" s="17" t="s">
        <v>262</v>
      </c>
      <c r="AU486" s="20">
        <f>AV486+AW486</f>
        <v>0</v>
      </c>
      <c r="AV486" s="20">
        <f>G486*AN486</f>
        <v>0</v>
      </c>
      <c r="AW486" s="20">
        <f>G486*AO486</f>
        <v>0</v>
      </c>
      <c r="AX486" s="21" t="s">
        <v>166</v>
      </c>
      <c r="AY486" s="21" t="s">
        <v>185</v>
      </c>
      <c r="AZ486" s="15" t="s">
        <v>191</v>
      </c>
      <c r="BB486" s="20">
        <f>AV486+AW486</f>
        <v>0</v>
      </c>
      <c r="BC486" s="20">
        <f>H486/(100-BD486)*100</f>
        <v>0</v>
      </c>
      <c r="BD486" s="20">
        <v>0</v>
      </c>
      <c r="BE486" s="20">
        <f>486</f>
        <v>486</v>
      </c>
      <c r="BG486" s="13">
        <f>G486*AN486</f>
        <v>0</v>
      </c>
      <c r="BH486" s="13">
        <f>G486*AO486</f>
        <v>0</v>
      </c>
      <c r="BI486" s="13">
        <f>G486*H486</f>
        <v>0</v>
      </c>
    </row>
    <row r="487" spans="1:11" ht="12.75">
      <c r="A487" s="69"/>
      <c r="B487" s="69"/>
      <c r="C487" s="157" t="s">
        <v>41</v>
      </c>
      <c r="D487" s="150"/>
      <c r="E487" s="150"/>
      <c r="F487" s="69"/>
      <c r="G487" s="70">
        <v>32</v>
      </c>
      <c r="H487" s="69"/>
      <c r="I487" s="69"/>
      <c r="J487" s="69"/>
      <c r="K487" s="69"/>
    </row>
    <row r="488" spans="1:61" ht="12.75">
      <c r="A488" s="57" t="s">
        <v>444</v>
      </c>
      <c r="B488" s="57" t="s">
        <v>655</v>
      </c>
      <c r="C488" s="146" t="s">
        <v>49</v>
      </c>
      <c r="D488" s="145"/>
      <c r="E488" s="145"/>
      <c r="F488" s="57" t="s">
        <v>102</v>
      </c>
      <c r="G488" s="58">
        <v>3</v>
      </c>
      <c r="H488" s="58">
        <v>0</v>
      </c>
      <c r="I488" s="58">
        <f>G488*AN488</f>
        <v>0</v>
      </c>
      <c r="J488" s="58">
        <f>G488*AO488</f>
        <v>0</v>
      </c>
      <c r="K488" s="58">
        <f>G488*H488</f>
        <v>0</v>
      </c>
      <c r="Y488" s="20">
        <f>IF(AP488="5",BI488,0)</f>
        <v>0</v>
      </c>
      <c r="AA488" s="20">
        <f>IF(AP488="1",BG488,0)</f>
        <v>0</v>
      </c>
      <c r="AB488" s="20">
        <f>IF(AP488="1",BH488,0)</f>
        <v>0</v>
      </c>
      <c r="AC488" s="20">
        <f>IF(AP488="7",BG488,0)</f>
        <v>0</v>
      </c>
      <c r="AD488" s="20">
        <f>IF(AP488="7",BH488,0)</f>
        <v>0</v>
      </c>
      <c r="AE488" s="20">
        <f>IF(AP488="2",BG488,0)</f>
        <v>0</v>
      </c>
      <c r="AF488" s="20">
        <f>IF(AP488="2",BH488,0)</f>
        <v>0</v>
      </c>
      <c r="AG488" s="20">
        <f>IF(AP488="0",BI488,0)</f>
        <v>0</v>
      </c>
      <c r="AH488" s="15" t="s">
        <v>136</v>
      </c>
      <c r="AI488" s="12">
        <f>IF(AM488=0,K488,0)</f>
        <v>0</v>
      </c>
      <c r="AJ488" s="12">
        <f>IF(AM488=15,K488,0)</f>
        <v>0</v>
      </c>
      <c r="AK488" s="12">
        <f>IF(AM488=21,K488,0)</f>
        <v>0</v>
      </c>
      <c r="AM488" s="20">
        <v>15</v>
      </c>
      <c r="AN488" s="20">
        <f>H488*0.0636144578313253</f>
        <v>0</v>
      </c>
      <c r="AO488" s="20">
        <f>H488*(1-0.0636144578313253)</f>
        <v>0</v>
      </c>
      <c r="AP488" s="16" t="s">
        <v>262</v>
      </c>
      <c r="AU488" s="20">
        <f>AV488+AW488</f>
        <v>0</v>
      </c>
      <c r="AV488" s="20">
        <f>G488*AN488</f>
        <v>0</v>
      </c>
      <c r="AW488" s="20">
        <f>G488*AO488</f>
        <v>0</v>
      </c>
      <c r="AX488" s="21" t="s">
        <v>166</v>
      </c>
      <c r="AY488" s="21" t="s">
        <v>185</v>
      </c>
      <c r="AZ488" s="15" t="s">
        <v>191</v>
      </c>
      <c r="BB488" s="20">
        <f>AV488+AW488</f>
        <v>0</v>
      </c>
      <c r="BC488" s="20">
        <f>H488/(100-BD488)*100</f>
        <v>0</v>
      </c>
      <c r="BD488" s="20">
        <v>0</v>
      </c>
      <c r="BE488" s="20">
        <f>488</f>
        <v>488</v>
      </c>
      <c r="BG488" s="12">
        <f>G488*AN488</f>
        <v>0</v>
      </c>
      <c r="BH488" s="12">
        <f>G488*AO488</f>
        <v>0</v>
      </c>
      <c r="BI488" s="12">
        <f>G488*H488</f>
        <v>0</v>
      </c>
    </row>
    <row r="489" spans="1:11" ht="12.75">
      <c r="A489" s="59"/>
      <c r="B489" s="59"/>
      <c r="C489" s="149" t="s">
        <v>752</v>
      </c>
      <c r="D489" s="150"/>
      <c r="E489" s="150"/>
      <c r="F489" s="59"/>
      <c r="G489" s="60">
        <v>3</v>
      </c>
      <c r="H489" s="59"/>
      <c r="I489" s="59"/>
      <c r="J489" s="59"/>
      <c r="K489" s="59"/>
    </row>
    <row r="490" spans="1:61" ht="12.75">
      <c r="A490" s="67" t="s">
        <v>445</v>
      </c>
      <c r="B490" s="67" t="s">
        <v>656</v>
      </c>
      <c r="C490" s="155" t="s">
        <v>50</v>
      </c>
      <c r="D490" s="156"/>
      <c r="E490" s="156"/>
      <c r="F490" s="67" t="s">
        <v>102</v>
      </c>
      <c r="G490" s="68">
        <v>3</v>
      </c>
      <c r="H490" s="68">
        <v>0</v>
      </c>
      <c r="I490" s="68">
        <f>G490*AN490</f>
        <v>0</v>
      </c>
      <c r="J490" s="68">
        <f>G490*AO490</f>
        <v>0</v>
      </c>
      <c r="K490" s="68">
        <f>G490*H490</f>
        <v>0</v>
      </c>
      <c r="Y490" s="20">
        <f>IF(AP490="5",BI490,0)</f>
        <v>0</v>
      </c>
      <c r="AA490" s="20">
        <f>IF(AP490="1",BG490,0)</f>
        <v>0</v>
      </c>
      <c r="AB490" s="20">
        <f>IF(AP490="1",BH490,0)</f>
        <v>0</v>
      </c>
      <c r="AC490" s="20">
        <f>IF(AP490="7",BG490,0)</f>
        <v>0</v>
      </c>
      <c r="AD490" s="20">
        <f>IF(AP490="7",BH490,0)</f>
        <v>0</v>
      </c>
      <c r="AE490" s="20">
        <f>IF(AP490="2",BG490,0)</f>
        <v>0</v>
      </c>
      <c r="AF490" s="20">
        <f>IF(AP490="2",BH490,0)</f>
        <v>0</v>
      </c>
      <c r="AG490" s="20">
        <f>IF(AP490="0",BI490,0)</f>
        <v>0</v>
      </c>
      <c r="AH490" s="15" t="s">
        <v>136</v>
      </c>
      <c r="AI490" s="13">
        <f>IF(AM490=0,K490,0)</f>
        <v>0</v>
      </c>
      <c r="AJ490" s="13">
        <f>IF(AM490=15,K490,0)</f>
        <v>0</v>
      </c>
      <c r="AK490" s="13">
        <f>IF(AM490=21,K490,0)</f>
        <v>0</v>
      </c>
      <c r="AM490" s="20">
        <v>15</v>
      </c>
      <c r="AN490" s="20">
        <f>H490*1</f>
        <v>0</v>
      </c>
      <c r="AO490" s="20">
        <f>H490*(1-1)</f>
        <v>0</v>
      </c>
      <c r="AP490" s="17" t="s">
        <v>262</v>
      </c>
      <c r="AU490" s="20">
        <f>AV490+AW490</f>
        <v>0</v>
      </c>
      <c r="AV490" s="20">
        <f>G490*AN490</f>
        <v>0</v>
      </c>
      <c r="AW490" s="20">
        <f>G490*AO490</f>
        <v>0</v>
      </c>
      <c r="AX490" s="21" t="s">
        <v>166</v>
      </c>
      <c r="AY490" s="21" t="s">
        <v>185</v>
      </c>
      <c r="AZ490" s="15" t="s">
        <v>191</v>
      </c>
      <c r="BB490" s="20">
        <f>AV490+AW490</f>
        <v>0</v>
      </c>
      <c r="BC490" s="20">
        <f>H490/(100-BD490)*100</f>
        <v>0</v>
      </c>
      <c r="BD490" s="20">
        <v>0</v>
      </c>
      <c r="BE490" s="20">
        <f>490</f>
        <v>490</v>
      </c>
      <c r="BG490" s="13">
        <f>G490*AN490</f>
        <v>0</v>
      </c>
      <c r="BH490" s="13">
        <f>G490*AO490</f>
        <v>0</v>
      </c>
      <c r="BI490" s="13">
        <f>G490*H490</f>
        <v>0</v>
      </c>
    </row>
    <row r="491" spans="1:11" ht="12.75">
      <c r="A491" s="69"/>
      <c r="B491" s="69"/>
      <c r="C491" s="157" t="s">
        <v>752</v>
      </c>
      <c r="D491" s="150"/>
      <c r="E491" s="150"/>
      <c r="F491" s="69"/>
      <c r="G491" s="70">
        <v>3</v>
      </c>
      <c r="H491" s="69"/>
      <c r="I491" s="69"/>
      <c r="J491" s="69"/>
      <c r="K491" s="69"/>
    </row>
    <row r="492" spans="1:61" ht="12.75">
      <c r="A492" s="57" t="s">
        <v>446</v>
      </c>
      <c r="B492" s="57" t="s">
        <v>657</v>
      </c>
      <c r="C492" s="146" t="s">
        <v>51</v>
      </c>
      <c r="D492" s="145"/>
      <c r="E492" s="145"/>
      <c r="F492" s="57" t="s">
        <v>102</v>
      </c>
      <c r="G492" s="58">
        <v>40</v>
      </c>
      <c r="H492" s="58">
        <v>0</v>
      </c>
      <c r="I492" s="58">
        <f>G492*AN492</f>
        <v>0</v>
      </c>
      <c r="J492" s="58">
        <f>G492*AO492</f>
        <v>0</v>
      </c>
      <c r="K492" s="58">
        <f>G492*H492</f>
        <v>0</v>
      </c>
      <c r="Y492" s="20">
        <f>IF(AP492="5",BI492,0)</f>
        <v>0</v>
      </c>
      <c r="AA492" s="20">
        <f>IF(AP492="1",BG492,0)</f>
        <v>0</v>
      </c>
      <c r="AB492" s="20">
        <f>IF(AP492="1",BH492,0)</f>
        <v>0</v>
      </c>
      <c r="AC492" s="20">
        <f>IF(AP492="7",BG492,0)</f>
        <v>0</v>
      </c>
      <c r="AD492" s="20">
        <f>IF(AP492="7",BH492,0)</f>
        <v>0</v>
      </c>
      <c r="AE492" s="20">
        <f>IF(AP492="2",BG492,0)</f>
        <v>0</v>
      </c>
      <c r="AF492" s="20">
        <f>IF(AP492="2",BH492,0)</f>
        <v>0</v>
      </c>
      <c r="AG492" s="20">
        <f>IF(AP492="0",BI492,0)</f>
        <v>0</v>
      </c>
      <c r="AH492" s="15" t="s">
        <v>136</v>
      </c>
      <c r="AI492" s="12">
        <f>IF(AM492=0,K492,0)</f>
        <v>0</v>
      </c>
      <c r="AJ492" s="12">
        <f>IF(AM492=15,K492,0)</f>
        <v>0</v>
      </c>
      <c r="AK492" s="12">
        <f>IF(AM492=21,K492,0)</f>
        <v>0</v>
      </c>
      <c r="AM492" s="20">
        <v>15</v>
      </c>
      <c r="AN492" s="20">
        <f>H492*0.00833333333333333</f>
        <v>0</v>
      </c>
      <c r="AO492" s="20">
        <f>H492*(1-0.00833333333333333)</f>
        <v>0</v>
      </c>
      <c r="AP492" s="16" t="s">
        <v>262</v>
      </c>
      <c r="AU492" s="20">
        <f>AV492+AW492</f>
        <v>0</v>
      </c>
      <c r="AV492" s="20">
        <f>G492*AN492</f>
        <v>0</v>
      </c>
      <c r="AW492" s="20">
        <f>G492*AO492</f>
        <v>0</v>
      </c>
      <c r="AX492" s="21" t="s">
        <v>166</v>
      </c>
      <c r="AY492" s="21" t="s">
        <v>185</v>
      </c>
      <c r="AZ492" s="15" t="s">
        <v>191</v>
      </c>
      <c r="BB492" s="20">
        <f>AV492+AW492</f>
        <v>0</v>
      </c>
      <c r="BC492" s="20">
        <f>H492/(100-BD492)*100</f>
        <v>0</v>
      </c>
      <c r="BD492" s="20">
        <v>0</v>
      </c>
      <c r="BE492" s="20">
        <f>492</f>
        <v>492</v>
      </c>
      <c r="BG492" s="12">
        <f>G492*AN492</f>
        <v>0</v>
      </c>
      <c r="BH492" s="12">
        <f>G492*AO492</f>
        <v>0</v>
      </c>
      <c r="BI492" s="12">
        <f>G492*H492</f>
        <v>0</v>
      </c>
    </row>
    <row r="493" spans="1:11" ht="12.75">
      <c r="A493" s="59"/>
      <c r="B493" s="59"/>
      <c r="C493" s="149" t="s">
        <v>37</v>
      </c>
      <c r="D493" s="150"/>
      <c r="E493" s="150"/>
      <c r="F493" s="59"/>
      <c r="G493" s="60">
        <v>40</v>
      </c>
      <c r="H493" s="59"/>
      <c r="I493" s="59"/>
      <c r="J493" s="59"/>
      <c r="K493" s="59"/>
    </row>
    <row r="494" spans="1:61" ht="12.75">
      <c r="A494" s="57" t="s">
        <v>447</v>
      </c>
      <c r="B494" s="57" t="s">
        <v>658</v>
      </c>
      <c r="C494" s="146" t="s">
        <v>52</v>
      </c>
      <c r="D494" s="145"/>
      <c r="E494" s="145"/>
      <c r="F494" s="57" t="s">
        <v>104</v>
      </c>
      <c r="G494" s="58">
        <v>4</v>
      </c>
      <c r="H494" s="58">
        <v>0</v>
      </c>
      <c r="I494" s="58">
        <f>G494*AN494</f>
        <v>0</v>
      </c>
      <c r="J494" s="58">
        <f>G494*AO494</f>
        <v>0</v>
      </c>
      <c r="K494" s="58">
        <f>G494*H494</f>
        <v>0</v>
      </c>
      <c r="Y494" s="20">
        <f>IF(AP494="5",BI494,0)</f>
        <v>0</v>
      </c>
      <c r="AA494" s="20">
        <f>IF(AP494="1",BG494,0)</f>
        <v>0</v>
      </c>
      <c r="AB494" s="20">
        <f>IF(AP494="1",BH494,0)</f>
        <v>0</v>
      </c>
      <c r="AC494" s="20">
        <f>IF(AP494="7",BG494,0)</f>
        <v>0</v>
      </c>
      <c r="AD494" s="20">
        <f>IF(AP494="7",BH494,0)</f>
        <v>0</v>
      </c>
      <c r="AE494" s="20">
        <f>IF(AP494="2",BG494,0)</f>
        <v>0</v>
      </c>
      <c r="AF494" s="20">
        <f>IF(AP494="2",BH494,0)</f>
        <v>0</v>
      </c>
      <c r="AG494" s="20">
        <f>IF(AP494="0",BI494,0)</f>
        <v>0</v>
      </c>
      <c r="AH494" s="15" t="s">
        <v>136</v>
      </c>
      <c r="AI494" s="12">
        <f>IF(AM494=0,K494,0)</f>
        <v>0</v>
      </c>
      <c r="AJ494" s="12">
        <f>IF(AM494=15,K494,0)</f>
        <v>0</v>
      </c>
      <c r="AK494" s="12">
        <f>IF(AM494=21,K494,0)</f>
        <v>0</v>
      </c>
      <c r="AM494" s="20">
        <v>15</v>
      </c>
      <c r="AN494" s="20">
        <f>H494*0.3712890625</f>
        <v>0</v>
      </c>
      <c r="AO494" s="20">
        <f>H494*(1-0.3712890625)</f>
        <v>0</v>
      </c>
      <c r="AP494" s="16" t="s">
        <v>262</v>
      </c>
      <c r="AU494" s="20">
        <f>AV494+AW494</f>
        <v>0</v>
      </c>
      <c r="AV494" s="20">
        <f>G494*AN494</f>
        <v>0</v>
      </c>
      <c r="AW494" s="20">
        <f>G494*AO494</f>
        <v>0</v>
      </c>
      <c r="AX494" s="21" t="s">
        <v>166</v>
      </c>
      <c r="AY494" s="21" t="s">
        <v>185</v>
      </c>
      <c r="AZ494" s="15" t="s">
        <v>191</v>
      </c>
      <c r="BB494" s="20">
        <f>AV494+AW494</f>
        <v>0</v>
      </c>
      <c r="BC494" s="20">
        <f>H494/(100-BD494)*100</f>
        <v>0</v>
      </c>
      <c r="BD494" s="20">
        <v>0</v>
      </c>
      <c r="BE494" s="20">
        <f>494</f>
        <v>494</v>
      </c>
      <c r="BG494" s="12">
        <f>G494*AN494</f>
        <v>0</v>
      </c>
      <c r="BH494" s="12">
        <f>G494*AO494</f>
        <v>0</v>
      </c>
      <c r="BI494" s="12">
        <f>G494*H494</f>
        <v>0</v>
      </c>
    </row>
    <row r="495" spans="3:5" ht="12.75">
      <c r="C495" s="147" t="s">
        <v>53</v>
      </c>
      <c r="D495" s="148"/>
      <c r="E495" s="148"/>
    </row>
    <row r="496" spans="1:11" ht="12.75">
      <c r="A496" s="59"/>
      <c r="B496" s="59"/>
      <c r="C496" s="149" t="s">
        <v>812</v>
      </c>
      <c r="D496" s="150"/>
      <c r="E496" s="150"/>
      <c r="F496" s="59"/>
      <c r="G496" s="60">
        <v>4</v>
      </c>
      <c r="H496" s="59"/>
      <c r="I496" s="59"/>
      <c r="J496" s="59"/>
      <c r="K496" s="59"/>
    </row>
    <row r="497" spans="1:61" ht="12.75">
      <c r="A497" s="57" t="s">
        <v>448</v>
      </c>
      <c r="B497" s="57" t="s">
        <v>659</v>
      </c>
      <c r="C497" s="146" t="s">
        <v>54</v>
      </c>
      <c r="D497" s="145"/>
      <c r="E497" s="145"/>
      <c r="F497" s="57" t="s">
        <v>107</v>
      </c>
      <c r="G497" s="58">
        <v>15</v>
      </c>
      <c r="H497" s="58">
        <v>0</v>
      </c>
      <c r="I497" s="58">
        <f>G497*AN497</f>
        <v>0</v>
      </c>
      <c r="J497" s="58">
        <f>G497*AO497</f>
        <v>0</v>
      </c>
      <c r="K497" s="58">
        <f>G497*H497</f>
        <v>0</v>
      </c>
      <c r="Y497" s="20">
        <f>IF(AP497="5",BI497,0)</f>
        <v>0</v>
      </c>
      <c r="AA497" s="20">
        <f>IF(AP497="1",BG497,0)</f>
        <v>0</v>
      </c>
      <c r="AB497" s="20">
        <f>IF(AP497="1",BH497,0)</f>
        <v>0</v>
      </c>
      <c r="AC497" s="20">
        <f>IF(AP497="7",BG497,0)</f>
        <v>0</v>
      </c>
      <c r="AD497" s="20">
        <f>IF(AP497="7",BH497,0)</f>
        <v>0</v>
      </c>
      <c r="AE497" s="20">
        <f>IF(AP497="2",BG497,0)</f>
        <v>0</v>
      </c>
      <c r="AF497" s="20">
        <f>IF(AP497="2",BH497,0)</f>
        <v>0</v>
      </c>
      <c r="AG497" s="20">
        <f>IF(AP497="0",BI497,0)</f>
        <v>0</v>
      </c>
      <c r="AH497" s="15" t="s">
        <v>136</v>
      </c>
      <c r="AI497" s="12">
        <f>IF(AM497=0,K497,0)</f>
        <v>0</v>
      </c>
      <c r="AJ497" s="12">
        <f>IF(AM497=15,K497,0)</f>
        <v>0</v>
      </c>
      <c r="AK497" s="12">
        <f>IF(AM497=21,K497,0)</f>
        <v>0</v>
      </c>
      <c r="AM497" s="20">
        <v>15</v>
      </c>
      <c r="AN497" s="20">
        <f>H497*0</f>
        <v>0</v>
      </c>
      <c r="AO497" s="20">
        <f>H497*(1-0)</f>
        <v>0</v>
      </c>
      <c r="AP497" s="16" t="s">
        <v>262</v>
      </c>
      <c r="AU497" s="20">
        <f>AV497+AW497</f>
        <v>0</v>
      </c>
      <c r="AV497" s="20">
        <f>G497*AN497</f>
        <v>0</v>
      </c>
      <c r="AW497" s="20">
        <f>G497*AO497</f>
        <v>0</v>
      </c>
      <c r="AX497" s="21" t="s">
        <v>166</v>
      </c>
      <c r="AY497" s="21" t="s">
        <v>185</v>
      </c>
      <c r="AZ497" s="15" t="s">
        <v>191</v>
      </c>
      <c r="BB497" s="20">
        <f>AV497+AW497</f>
        <v>0</v>
      </c>
      <c r="BC497" s="20">
        <f>H497/(100-BD497)*100</f>
        <v>0</v>
      </c>
      <c r="BD497" s="20">
        <v>0</v>
      </c>
      <c r="BE497" s="20">
        <f>497</f>
        <v>497</v>
      </c>
      <c r="BG497" s="12">
        <f>G497*AN497</f>
        <v>0</v>
      </c>
      <c r="BH497" s="12">
        <f>G497*AO497</f>
        <v>0</v>
      </c>
      <c r="BI497" s="12">
        <f>G497*H497</f>
        <v>0</v>
      </c>
    </row>
    <row r="498" spans="1:11" ht="12.75">
      <c r="A498" s="59"/>
      <c r="B498" s="59"/>
      <c r="C498" s="149" t="s">
        <v>55</v>
      </c>
      <c r="D498" s="150"/>
      <c r="E498" s="150"/>
      <c r="F498" s="59"/>
      <c r="G498" s="60">
        <v>15</v>
      </c>
      <c r="H498" s="59"/>
      <c r="I498" s="59"/>
      <c r="J498" s="59"/>
      <c r="K498" s="59"/>
    </row>
    <row r="499" spans="1:61" ht="12.75">
      <c r="A499" s="57" t="s">
        <v>449</v>
      </c>
      <c r="B499" s="57" t="s">
        <v>660</v>
      </c>
      <c r="C499" s="146" t="s">
        <v>56</v>
      </c>
      <c r="D499" s="145"/>
      <c r="E499" s="145"/>
      <c r="F499" s="57" t="s">
        <v>106</v>
      </c>
      <c r="G499" s="58">
        <v>1</v>
      </c>
      <c r="H499" s="58">
        <v>0</v>
      </c>
      <c r="I499" s="58">
        <f>G499*AN499</f>
        <v>0</v>
      </c>
      <c r="J499" s="58">
        <f>G499*AO499</f>
        <v>0</v>
      </c>
      <c r="K499" s="58">
        <f>G499*H499</f>
        <v>0</v>
      </c>
      <c r="Y499" s="20">
        <f>IF(AP499="5",BI499,0)</f>
        <v>0</v>
      </c>
      <c r="AA499" s="20">
        <f>IF(AP499="1",BG499,0)</f>
        <v>0</v>
      </c>
      <c r="AB499" s="20">
        <f>IF(AP499="1",BH499,0)</f>
        <v>0</v>
      </c>
      <c r="AC499" s="20">
        <f>IF(AP499="7",BG499,0)</f>
        <v>0</v>
      </c>
      <c r="AD499" s="20">
        <f>IF(AP499="7",BH499,0)</f>
        <v>0</v>
      </c>
      <c r="AE499" s="20">
        <f>IF(AP499="2",BG499,0)</f>
        <v>0</v>
      </c>
      <c r="AF499" s="20">
        <f>IF(AP499="2",BH499,0)</f>
        <v>0</v>
      </c>
      <c r="AG499" s="20">
        <f>IF(AP499="0",BI499,0)</f>
        <v>0</v>
      </c>
      <c r="AH499" s="15" t="s">
        <v>136</v>
      </c>
      <c r="AI499" s="12">
        <f>IF(AM499=0,K499,0)</f>
        <v>0</v>
      </c>
      <c r="AJ499" s="12">
        <f>IF(AM499=15,K499,0)</f>
        <v>0</v>
      </c>
      <c r="AK499" s="12">
        <f>IF(AM499=21,K499,0)</f>
        <v>0</v>
      </c>
      <c r="AM499" s="20">
        <v>15</v>
      </c>
      <c r="AN499" s="20">
        <f>H499*0</f>
        <v>0</v>
      </c>
      <c r="AO499" s="20">
        <f>H499*(1-0)</f>
        <v>0</v>
      </c>
      <c r="AP499" s="16" t="s">
        <v>262</v>
      </c>
      <c r="AU499" s="20">
        <f>AV499+AW499</f>
        <v>0</v>
      </c>
      <c r="AV499" s="20">
        <f>G499*AN499</f>
        <v>0</v>
      </c>
      <c r="AW499" s="20">
        <f>G499*AO499</f>
        <v>0</v>
      </c>
      <c r="AX499" s="21" t="s">
        <v>166</v>
      </c>
      <c r="AY499" s="21" t="s">
        <v>185</v>
      </c>
      <c r="AZ499" s="15" t="s">
        <v>191</v>
      </c>
      <c r="BB499" s="20">
        <f>AV499+AW499</f>
        <v>0</v>
      </c>
      <c r="BC499" s="20">
        <f>H499/(100-BD499)*100</f>
        <v>0</v>
      </c>
      <c r="BD499" s="20">
        <v>0</v>
      </c>
      <c r="BE499" s="20">
        <f>499</f>
        <v>499</v>
      </c>
      <c r="BG499" s="12">
        <f>G499*AN499</f>
        <v>0</v>
      </c>
      <c r="BH499" s="12">
        <f>G499*AO499</f>
        <v>0</v>
      </c>
      <c r="BI499" s="12">
        <f>G499*H499</f>
        <v>0</v>
      </c>
    </row>
    <row r="500" spans="1:11" ht="12.75">
      <c r="A500" s="59"/>
      <c r="B500" s="59"/>
      <c r="C500" s="149" t="s">
        <v>816</v>
      </c>
      <c r="D500" s="150"/>
      <c r="E500" s="150"/>
      <c r="F500" s="59"/>
      <c r="G500" s="60">
        <v>1</v>
      </c>
      <c r="H500" s="59"/>
      <c r="I500" s="59"/>
      <c r="J500" s="59"/>
      <c r="K500" s="59"/>
    </row>
    <row r="501" spans="1:61" ht="12.75">
      <c r="A501" s="57" t="s">
        <v>450</v>
      </c>
      <c r="B501" s="57" t="s">
        <v>661</v>
      </c>
      <c r="C501" s="146" t="s">
        <v>57</v>
      </c>
      <c r="D501" s="145"/>
      <c r="E501" s="145"/>
      <c r="F501" s="57" t="s">
        <v>107</v>
      </c>
      <c r="G501" s="58">
        <v>24</v>
      </c>
      <c r="H501" s="58">
        <v>0</v>
      </c>
      <c r="I501" s="58">
        <f>G501*AN501</f>
        <v>0</v>
      </c>
      <c r="J501" s="58">
        <f>G501*AO501</f>
        <v>0</v>
      </c>
      <c r="K501" s="58">
        <f>G501*H501</f>
        <v>0</v>
      </c>
      <c r="Y501" s="20">
        <f>IF(AP501="5",BI501,0)</f>
        <v>0</v>
      </c>
      <c r="AA501" s="20">
        <f>IF(AP501="1",BG501,0)</f>
        <v>0</v>
      </c>
      <c r="AB501" s="20">
        <f>IF(AP501="1",BH501,0)</f>
        <v>0</v>
      </c>
      <c r="AC501" s="20">
        <f>IF(AP501="7",BG501,0)</f>
        <v>0</v>
      </c>
      <c r="AD501" s="20">
        <f>IF(AP501="7",BH501,0)</f>
        <v>0</v>
      </c>
      <c r="AE501" s="20">
        <f>IF(AP501="2",BG501,0)</f>
        <v>0</v>
      </c>
      <c r="AF501" s="20">
        <f>IF(AP501="2",BH501,0)</f>
        <v>0</v>
      </c>
      <c r="AG501" s="20">
        <f>IF(AP501="0",BI501,0)</f>
        <v>0</v>
      </c>
      <c r="AH501" s="15" t="s">
        <v>136</v>
      </c>
      <c r="AI501" s="12">
        <f>IF(AM501=0,K501,0)</f>
        <v>0</v>
      </c>
      <c r="AJ501" s="12">
        <f>IF(AM501=15,K501,0)</f>
        <v>0</v>
      </c>
      <c r="AK501" s="12">
        <f>IF(AM501=21,K501,0)</f>
        <v>0</v>
      </c>
      <c r="AM501" s="20">
        <v>15</v>
      </c>
      <c r="AN501" s="20">
        <f>H501*0</f>
        <v>0</v>
      </c>
      <c r="AO501" s="20">
        <f>H501*(1-0)</f>
        <v>0</v>
      </c>
      <c r="AP501" s="16" t="s">
        <v>257</v>
      </c>
      <c r="AU501" s="20">
        <f>AV501+AW501</f>
        <v>0</v>
      </c>
      <c r="AV501" s="20">
        <f>G501*AN501</f>
        <v>0</v>
      </c>
      <c r="AW501" s="20">
        <f>G501*AO501</f>
        <v>0</v>
      </c>
      <c r="AX501" s="21" t="s">
        <v>166</v>
      </c>
      <c r="AY501" s="21" t="s">
        <v>185</v>
      </c>
      <c r="AZ501" s="15" t="s">
        <v>191</v>
      </c>
      <c r="BB501" s="20">
        <f>AV501+AW501</f>
        <v>0</v>
      </c>
      <c r="BC501" s="20">
        <f>H501/(100-BD501)*100</f>
        <v>0</v>
      </c>
      <c r="BD501" s="20">
        <v>0</v>
      </c>
      <c r="BE501" s="20">
        <f>501</f>
        <v>501</v>
      </c>
      <c r="BG501" s="12">
        <f>G501*AN501</f>
        <v>0</v>
      </c>
      <c r="BH501" s="12">
        <f>G501*AO501</f>
        <v>0</v>
      </c>
      <c r="BI501" s="12">
        <f>G501*H501</f>
        <v>0</v>
      </c>
    </row>
    <row r="502" spans="1:11" ht="12.75">
      <c r="A502" s="59"/>
      <c r="B502" s="59"/>
      <c r="C502" s="149" t="s">
        <v>58</v>
      </c>
      <c r="D502" s="150"/>
      <c r="E502" s="150"/>
      <c r="F502" s="59"/>
      <c r="G502" s="60">
        <v>24</v>
      </c>
      <c r="H502" s="59"/>
      <c r="I502" s="59"/>
      <c r="J502" s="59"/>
      <c r="K502" s="59"/>
    </row>
    <row r="503" spans="1:61" ht="12.75">
      <c r="A503" s="57" t="s">
        <v>451</v>
      </c>
      <c r="B503" s="57" t="s">
        <v>662</v>
      </c>
      <c r="C503" s="146" t="s">
        <v>59</v>
      </c>
      <c r="D503" s="145"/>
      <c r="E503" s="145"/>
      <c r="F503" s="57" t="s">
        <v>107</v>
      </c>
      <c r="G503" s="58">
        <v>18</v>
      </c>
      <c r="H503" s="58">
        <v>0</v>
      </c>
      <c r="I503" s="58">
        <f>G503*AN503</f>
        <v>0</v>
      </c>
      <c r="J503" s="58">
        <f>G503*AO503</f>
        <v>0</v>
      </c>
      <c r="K503" s="58">
        <f>G503*H503</f>
        <v>0</v>
      </c>
      <c r="Y503" s="20">
        <f>IF(AP503="5",BI503,0)</f>
        <v>0</v>
      </c>
      <c r="AA503" s="20">
        <f>IF(AP503="1",BG503,0)</f>
        <v>0</v>
      </c>
      <c r="AB503" s="20">
        <f>IF(AP503="1",BH503,0)</f>
        <v>0</v>
      </c>
      <c r="AC503" s="20">
        <f>IF(AP503="7",BG503,0)</f>
        <v>0</v>
      </c>
      <c r="AD503" s="20">
        <f>IF(AP503="7",BH503,0)</f>
        <v>0</v>
      </c>
      <c r="AE503" s="20">
        <f>IF(AP503="2",BG503,0)</f>
        <v>0</v>
      </c>
      <c r="AF503" s="20">
        <f>IF(AP503="2",BH503,0)</f>
        <v>0</v>
      </c>
      <c r="AG503" s="20">
        <f>IF(AP503="0",BI503,0)</f>
        <v>0</v>
      </c>
      <c r="AH503" s="15" t="s">
        <v>136</v>
      </c>
      <c r="AI503" s="12">
        <f>IF(AM503=0,K503,0)</f>
        <v>0</v>
      </c>
      <c r="AJ503" s="12">
        <f>IF(AM503=15,K503,0)</f>
        <v>0</v>
      </c>
      <c r="AK503" s="12">
        <f>IF(AM503=21,K503,0)</f>
        <v>0</v>
      </c>
      <c r="AM503" s="20">
        <v>15</v>
      </c>
      <c r="AN503" s="20">
        <f>H503*0</f>
        <v>0</v>
      </c>
      <c r="AO503" s="20">
        <f>H503*(1-0)</f>
        <v>0</v>
      </c>
      <c r="AP503" s="16" t="s">
        <v>257</v>
      </c>
      <c r="AU503" s="20">
        <f>AV503+AW503</f>
        <v>0</v>
      </c>
      <c r="AV503" s="20">
        <f>G503*AN503</f>
        <v>0</v>
      </c>
      <c r="AW503" s="20">
        <f>G503*AO503</f>
        <v>0</v>
      </c>
      <c r="AX503" s="21" t="s">
        <v>166</v>
      </c>
      <c r="AY503" s="21" t="s">
        <v>185</v>
      </c>
      <c r="AZ503" s="15" t="s">
        <v>191</v>
      </c>
      <c r="BB503" s="20">
        <f>AV503+AW503</f>
        <v>0</v>
      </c>
      <c r="BC503" s="20">
        <f>H503/(100-BD503)*100</f>
        <v>0</v>
      </c>
      <c r="BD503" s="20">
        <v>0</v>
      </c>
      <c r="BE503" s="20">
        <f>503</f>
        <v>503</v>
      </c>
      <c r="BG503" s="12">
        <f>G503*AN503</f>
        <v>0</v>
      </c>
      <c r="BH503" s="12">
        <f>G503*AO503</f>
        <v>0</v>
      </c>
      <c r="BI503" s="12">
        <f>G503*H503</f>
        <v>0</v>
      </c>
    </row>
    <row r="504" spans="1:11" ht="12.75">
      <c r="A504" s="59"/>
      <c r="B504" s="59"/>
      <c r="C504" s="149" t="s">
        <v>60</v>
      </c>
      <c r="D504" s="150"/>
      <c r="E504" s="150"/>
      <c r="F504" s="59"/>
      <c r="G504" s="60">
        <v>18</v>
      </c>
      <c r="H504" s="59"/>
      <c r="I504" s="59"/>
      <c r="J504" s="59"/>
      <c r="K504" s="59"/>
    </row>
    <row r="505" spans="1:61" ht="12.75">
      <c r="A505" s="57" t="s">
        <v>452</v>
      </c>
      <c r="B505" s="57" t="s">
        <v>663</v>
      </c>
      <c r="C505" s="146" t="s">
        <v>61</v>
      </c>
      <c r="D505" s="145"/>
      <c r="E505" s="145"/>
      <c r="F505" s="57" t="s">
        <v>106</v>
      </c>
      <c r="G505" s="58">
        <v>1</v>
      </c>
      <c r="H505" s="58">
        <v>0</v>
      </c>
      <c r="I505" s="58">
        <f>G505*AN505</f>
        <v>0</v>
      </c>
      <c r="J505" s="58">
        <f>G505*AO505</f>
        <v>0</v>
      </c>
      <c r="K505" s="58">
        <f>G505*H505</f>
        <v>0</v>
      </c>
      <c r="Y505" s="20">
        <f>IF(AP505="5",BI505,0)</f>
        <v>0</v>
      </c>
      <c r="AA505" s="20">
        <f>IF(AP505="1",BG505,0)</f>
        <v>0</v>
      </c>
      <c r="AB505" s="20">
        <f>IF(AP505="1",BH505,0)</f>
        <v>0</v>
      </c>
      <c r="AC505" s="20">
        <f>IF(AP505="7",BG505,0)</f>
        <v>0</v>
      </c>
      <c r="AD505" s="20">
        <f>IF(AP505="7",BH505,0)</f>
        <v>0</v>
      </c>
      <c r="AE505" s="20">
        <f>IF(AP505="2",BG505,0)</f>
        <v>0</v>
      </c>
      <c r="AF505" s="20">
        <f>IF(AP505="2",BH505,0)</f>
        <v>0</v>
      </c>
      <c r="AG505" s="20">
        <f>IF(AP505="0",BI505,0)</f>
        <v>0</v>
      </c>
      <c r="AH505" s="15" t="s">
        <v>136</v>
      </c>
      <c r="AI505" s="12">
        <f>IF(AM505=0,K505,0)</f>
        <v>0</v>
      </c>
      <c r="AJ505" s="12">
        <f>IF(AM505=15,K505,0)</f>
        <v>0</v>
      </c>
      <c r="AK505" s="12">
        <f>IF(AM505=21,K505,0)</f>
        <v>0</v>
      </c>
      <c r="AM505" s="20">
        <v>15</v>
      </c>
      <c r="AN505" s="20">
        <f>H505*0.174308270676692</f>
        <v>0</v>
      </c>
      <c r="AO505" s="20">
        <f>H505*(1-0.174308270676692)</f>
        <v>0</v>
      </c>
      <c r="AP505" s="16" t="s">
        <v>262</v>
      </c>
      <c r="AU505" s="20">
        <f>AV505+AW505</f>
        <v>0</v>
      </c>
      <c r="AV505" s="20">
        <f>G505*AN505</f>
        <v>0</v>
      </c>
      <c r="AW505" s="20">
        <f>G505*AO505</f>
        <v>0</v>
      </c>
      <c r="AX505" s="21" t="s">
        <v>166</v>
      </c>
      <c r="AY505" s="21" t="s">
        <v>185</v>
      </c>
      <c r="AZ505" s="15" t="s">
        <v>191</v>
      </c>
      <c r="BB505" s="20">
        <f>AV505+AW505</f>
        <v>0</v>
      </c>
      <c r="BC505" s="20">
        <f>H505/(100-BD505)*100</f>
        <v>0</v>
      </c>
      <c r="BD505" s="20">
        <v>0</v>
      </c>
      <c r="BE505" s="20">
        <f>505</f>
        <v>505</v>
      </c>
      <c r="BG505" s="12">
        <f>G505*AN505</f>
        <v>0</v>
      </c>
      <c r="BH505" s="12">
        <f>G505*AO505</f>
        <v>0</v>
      </c>
      <c r="BI505" s="12">
        <f>G505*H505</f>
        <v>0</v>
      </c>
    </row>
    <row r="506" spans="1:11" ht="12.75">
      <c r="A506" s="59"/>
      <c r="B506" s="59"/>
      <c r="C506" s="149" t="s">
        <v>816</v>
      </c>
      <c r="D506" s="150"/>
      <c r="E506" s="150"/>
      <c r="F506" s="59"/>
      <c r="G506" s="60">
        <v>1</v>
      </c>
      <c r="H506" s="59"/>
      <c r="I506" s="59"/>
      <c r="J506" s="59"/>
      <c r="K506" s="59"/>
    </row>
    <row r="507" spans="1:61" ht="12.75">
      <c r="A507" s="57" t="s">
        <v>453</v>
      </c>
      <c r="B507" s="57" t="s">
        <v>664</v>
      </c>
      <c r="C507" s="146" t="s">
        <v>62</v>
      </c>
      <c r="D507" s="145"/>
      <c r="E507" s="145"/>
      <c r="F507" s="57" t="s">
        <v>103</v>
      </c>
      <c r="G507" s="58">
        <v>0.215</v>
      </c>
      <c r="H507" s="58">
        <v>0</v>
      </c>
      <c r="I507" s="58">
        <f>G507*AN507</f>
        <v>0</v>
      </c>
      <c r="J507" s="58">
        <f>G507*AO507</f>
        <v>0</v>
      </c>
      <c r="K507" s="58">
        <f>G507*H507</f>
        <v>0</v>
      </c>
      <c r="Y507" s="20">
        <f>IF(AP507="5",BI507,0)</f>
        <v>0</v>
      </c>
      <c r="AA507" s="20">
        <f>IF(AP507="1",BG507,0)</f>
        <v>0</v>
      </c>
      <c r="AB507" s="20">
        <f>IF(AP507="1",BH507,0)</f>
        <v>0</v>
      </c>
      <c r="AC507" s="20">
        <f>IF(AP507="7",BG507,0)</f>
        <v>0</v>
      </c>
      <c r="AD507" s="20">
        <f>IF(AP507="7",BH507,0)</f>
        <v>0</v>
      </c>
      <c r="AE507" s="20">
        <f>IF(AP507="2",BG507,0)</f>
        <v>0</v>
      </c>
      <c r="AF507" s="20">
        <f>IF(AP507="2",BH507,0)</f>
        <v>0</v>
      </c>
      <c r="AG507" s="20">
        <f>IF(AP507="0",BI507,0)</f>
        <v>0</v>
      </c>
      <c r="AH507" s="15" t="s">
        <v>136</v>
      </c>
      <c r="AI507" s="12">
        <f>IF(AM507=0,K507,0)</f>
        <v>0</v>
      </c>
      <c r="AJ507" s="12">
        <f>IF(AM507=15,K507,0)</f>
        <v>0</v>
      </c>
      <c r="AK507" s="12">
        <f>IF(AM507=21,K507,0)</f>
        <v>0</v>
      </c>
      <c r="AM507" s="20">
        <v>15</v>
      </c>
      <c r="AN507" s="20">
        <f>H507*0</f>
        <v>0</v>
      </c>
      <c r="AO507" s="20">
        <f>H507*(1-0)</f>
        <v>0</v>
      </c>
      <c r="AP507" s="16" t="s">
        <v>260</v>
      </c>
      <c r="AU507" s="20">
        <f>AV507+AW507</f>
        <v>0</v>
      </c>
      <c r="AV507" s="20">
        <f>G507*AN507</f>
        <v>0</v>
      </c>
      <c r="AW507" s="20">
        <f>G507*AO507</f>
        <v>0</v>
      </c>
      <c r="AX507" s="21" t="s">
        <v>166</v>
      </c>
      <c r="AY507" s="21" t="s">
        <v>185</v>
      </c>
      <c r="AZ507" s="15" t="s">
        <v>191</v>
      </c>
      <c r="BB507" s="20">
        <f>AV507+AW507</f>
        <v>0</v>
      </c>
      <c r="BC507" s="20">
        <f>H507/(100-BD507)*100</f>
        <v>0</v>
      </c>
      <c r="BD507" s="20">
        <v>0</v>
      </c>
      <c r="BE507" s="20">
        <f>507</f>
        <v>507</v>
      </c>
      <c r="BG507" s="12">
        <f>G507*AN507</f>
        <v>0</v>
      </c>
      <c r="BH507" s="12">
        <f>G507*AO507</f>
        <v>0</v>
      </c>
      <c r="BI507" s="12">
        <f>G507*H507</f>
        <v>0</v>
      </c>
    </row>
    <row r="508" spans="1:11" ht="12.75">
      <c r="A508" s="59"/>
      <c r="B508" s="59"/>
      <c r="C508" s="149" t="s">
        <v>63</v>
      </c>
      <c r="D508" s="150"/>
      <c r="E508" s="150"/>
      <c r="F508" s="59"/>
      <c r="G508" s="60">
        <v>0.215</v>
      </c>
      <c r="H508" s="59"/>
      <c r="I508" s="59"/>
      <c r="J508" s="59"/>
      <c r="K508" s="59"/>
    </row>
    <row r="509" spans="1:46" ht="12.75">
      <c r="A509" s="2"/>
      <c r="B509" s="8" t="s">
        <v>665</v>
      </c>
      <c r="C509" s="142" t="s">
        <v>64</v>
      </c>
      <c r="D509" s="143"/>
      <c r="E509" s="143"/>
      <c r="F509" s="2" t="s">
        <v>255</v>
      </c>
      <c r="G509" s="2" t="s">
        <v>255</v>
      </c>
      <c r="H509" s="2" t="s">
        <v>255</v>
      </c>
      <c r="I509" s="22">
        <f>SUM(I510:I530)</f>
        <v>0</v>
      </c>
      <c r="J509" s="22">
        <f>SUM(J510:J530)</f>
        <v>0</v>
      </c>
      <c r="K509" s="22">
        <f>SUM(K510:K530)</f>
        <v>0</v>
      </c>
      <c r="AH509" s="15" t="s">
        <v>136</v>
      </c>
      <c r="AR509" s="22">
        <f>SUM(AI510:AI530)</f>
        <v>0</v>
      </c>
      <c r="AS509" s="22">
        <f>SUM(AJ510:AJ530)</f>
        <v>0</v>
      </c>
      <c r="AT509" s="22">
        <f>SUM(AK510:AK530)</f>
        <v>0</v>
      </c>
    </row>
    <row r="510" spans="1:61" ht="12.75">
      <c r="A510" s="57" t="s">
        <v>454</v>
      </c>
      <c r="B510" s="57" t="s">
        <v>666</v>
      </c>
      <c r="C510" s="146" t="s">
        <v>65</v>
      </c>
      <c r="D510" s="145"/>
      <c r="E510" s="145"/>
      <c r="F510" s="57" t="s">
        <v>104</v>
      </c>
      <c r="G510" s="58">
        <v>2</v>
      </c>
      <c r="H510" s="58">
        <v>0</v>
      </c>
      <c r="I510" s="58">
        <f>G510*AN510</f>
        <v>0</v>
      </c>
      <c r="J510" s="58">
        <f>G510*AO510</f>
        <v>0</v>
      </c>
      <c r="K510" s="58">
        <f>G510*H510</f>
        <v>0</v>
      </c>
      <c r="Y510" s="20">
        <f>IF(AP510="5",BI510,0)</f>
        <v>0</v>
      </c>
      <c r="AA510" s="20">
        <f>IF(AP510="1",BG510,0)</f>
        <v>0</v>
      </c>
      <c r="AB510" s="20">
        <f>IF(AP510="1",BH510,0)</f>
        <v>0</v>
      </c>
      <c r="AC510" s="20">
        <f>IF(AP510="7",BG510,0)</f>
        <v>0</v>
      </c>
      <c r="AD510" s="20">
        <f>IF(AP510="7",BH510,0)</f>
        <v>0</v>
      </c>
      <c r="AE510" s="20">
        <f>IF(AP510="2",BG510,0)</f>
        <v>0</v>
      </c>
      <c r="AF510" s="20">
        <f>IF(AP510="2",BH510,0)</f>
        <v>0</v>
      </c>
      <c r="AG510" s="20">
        <f>IF(AP510="0",BI510,0)</f>
        <v>0</v>
      </c>
      <c r="AH510" s="15" t="s">
        <v>136</v>
      </c>
      <c r="AI510" s="12">
        <f>IF(AM510=0,K510,0)</f>
        <v>0</v>
      </c>
      <c r="AJ510" s="12">
        <f>IF(AM510=15,K510,0)</f>
        <v>0</v>
      </c>
      <c r="AK510" s="12">
        <f>IF(AM510=21,K510,0)</f>
        <v>0</v>
      </c>
      <c r="AM510" s="20">
        <v>15</v>
      </c>
      <c r="AN510" s="20">
        <f>H510*0.823290640394089</f>
        <v>0</v>
      </c>
      <c r="AO510" s="20">
        <f>H510*(1-0.823290640394089)</f>
        <v>0</v>
      </c>
      <c r="AP510" s="16" t="s">
        <v>262</v>
      </c>
      <c r="AU510" s="20">
        <f>AV510+AW510</f>
        <v>0</v>
      </c>
      <c r="AV510" s="20">
        <f>G510*AN510</f>
        <v>0</v>
      </c>
      <c r="AW510" s="20">
        <f>G510*AO510</f>
        <v>0</v>
      </c>
      <c r="AX510" s="21" t="s">
        <v>167</v>
      </c>
      <c r="AY510" s="21" t="s">
        <v>185</v>
      </c>
      <c r="AZ510" s="15" t="s">
        <v>191</v>
      </c>
      <c r="BB510" s="20">
        <f>AV510+AW510</f>
        <v>0</v>
      </c>
      <c r="BC510" s="20">
        <f>H510/(100-BD510)*100</f>
        <v>0</v>
      </c>
      <c r="BD510" s="20">
        <v>0</v>
      </c>
      <c r="BE510" s="20">
        <f>510</f>
        <v>510</v>
      </c>
      <c r="BG510" s="12">
        <f>G510*AN510</f>
        <v>0</v>
      </c>
      <c r="BH510" s="12">
        <f>G510*AO510</f>
        <v>0</v>
      </c>
      <c r="BI510" s="12">
        <f>G510*H510</f>
        <v>0</v>
      </c>
    </row>
    <row r="511" spans="3:5" ht="12.75">
      <c r="C511" s="147" t="s">
        <v>53</v>
      </c>
      <c r="D511" s="148"/>
      <c r="E511" s="148"/>
    </row>
    <row r="512" spans="1:11" ht="12.75">
      <c r="A512" s="59"/>
      <c r="B512" s="59"/>
      <c r="C512" s="149" t="s">
        <v>954</v>
      </c>
      <c r="D512" s="150"/>
      <c r="E512" s="150"/>
      <c r="F512" s="59"/>
      <c r="G512" s="60">
        <v>2</v>
      </c>
      <c r="H512" s="59"/>
      <c r="I512" s="59"/>
      <c r="J512" s="59"/>
      <c r="K512" s="59"/>
    </row>
    <row r="513" spans="1:61" ht="12.75">
      <c r="A513" s="57" t="s">
        <v>455</v>
      </c>
      <c r="B513" s="57" t="s">
        <v>667</v>
      </c>
      <c r="C513" s="146" t="s">
        <v>66</v>
      </c>
      <c r="D513" s="145"/>
      <c r="E513" s="145"/>
      <c r="F513" s="57" t="s">
        <v>104</v>
      </c>
      <c r="G513" s="58">
        <v>4</v>
      </c>
      <c r="H513" s="58">
        <v>0</v>
      </c>
      <c r="I513" s="58">
        <f>G513*AN513</f>
        <v>0</v>
      </c>
      <c r="J513" s="58">
        <f>G513*AO513</f>
        <v>0</v>
      </c>
      <c r="K513" s="58">
        <f>G513*H513</f>
        <v>0</v>
      </c>
      <c r="Y513" s="20">
        <f>IF(AP513="5",BI513,0)</f>
        <v>0</v>
      </c>
      <c r="AA513" s="20">
        <f>IF(AP513="1",BG513,0)</f>
        <v>0</v>
      </c>
      <c r="AB513" s="20">
        <f>IF(AP513="1",BH513,0)</f>
        <v>0</v>
      </c>
      <c r="AC513" s="20">
        <f>IF(AP513="7",BG513,0)</f>
        <v>0</v>
      </c>
      <c r="AD513" s="20">
        <f>IF(AP513="7",BH513,0)</f>
        <v>0</v>
      </c>
      <c r="AE513" s="20">
        <f>IF(AP513="2",BG513,0)</f>
        <v>0</v>
      </c>
      <c r="AF513" s="20">
        <f>IF(AP513="2",BH513,0)</f>
        <v>0</v>
      </c>
      <c r="AG513" s="20">
        <f>IF(AP513="0",BI513,0)</f>
        <v>0</v>
      </c>
      <c r="AH513" s="15" t="s">
        <v>136</v>
      </c>
      <c r="AI513" s="12">
        <f>IF(AM513=0,K513,0)</f>
        <v>0</v>
      </c>
      <c r="AJ513" s="12">
        <f>IF(AM513=15,K513,0)</f>
        <v>0</v>
      </c>
      <c r="AK513" s="12">
        <f>IF(AM513=21,K513,0)</f>
        <v>0</v>
      </c>
      <c r="AM513" s="20">
        <v>15</v>
      </c>
      <c r="AN513" s="20">
        <f>H513*0.891560975609756</f>
        <v>0</v>
      </c>
      <c r="AO513" s="20">
        <f>H513*(1-0.891560975609756)</f>
        <v>0</v>
      </c>
      <c r="AP513" s="16" t="s">
        <v>262</v>
      </c>
      <c r="AU513" s="20">
        <f>AV513+AW513</f>
        <v>0</v>
      </c>
      <c r="AV513" s="20">
        <f>G513*AN513</f>
        <v>0</v>
      </c>
      <c r="AW513" s="20">
        <f>G513*AO513</f>
        <v>0</v>
      </c>
      <c r="AX513" s="21" t="s">
        <v>167</v>
      </c>
      <c r="AY513" s="21" t="s">
        <v>185</v>
      </c>
      <c r="AZ513" s="15" t="s">
        <v>191</v>
      </c>
      <c r="BB513" s="20">
        <f>AV513+AW513</f>
        <v>0</v>
      </c>
      <c r="BC513" s="20">
        <f>H513/(100-BD513)*100</f>
        <v>0</v>
      </c>
      <c r="BD513" s="20">
        <v>0</v>
      </c>
      <c r="BE513" s="20">
        <f>513</f>
        <v>513</v>
      </c>
      <c r="BG513" s="12">
        <f>G513*AN513</f>
        <v>0</v>
      </c>
      <c r="BH513" s="12">
        <f>G513*AO513</f>
        <v>0</v>
      </c>
      <c r="BI513" s="12">
        <f>G513*H513</f>
        <v>0</v>
      </c>
    </row>
    <row r="514" spans="3:5" ht="12.75">
      <c r="C514" s="147" t="s">
        <v>53</v>
      </c>
      <c r="D514" s="148"/>
      <c r="E514" s="148"/>
    </row>
    <row r="515" spans="1:11" ht="12.75">
      <c r="A515" s="59"/>
      <c r="B515" s="59"/>
      <c r="C515" s="149" t="s">
        <v>812</v>
      </c>
      <c r="D515" s="150"/>
      <c r="E515" s="150"/>
      <c r="F515" s="59"/>
      <c r="G515" s="60">
        <v>4</v>
      </c>
      <c r="H515" s="59"/>
      <c r="I515" s="59"/>
      <c r="J515" s="59"/>
      <c r="K515" s="59"/>
    </row>
    <row r="516" spans="1:61" ht="12.75">
      <c r="A516" s="57" t="s">
        <v>456</v>
      </c>
      <c r="B516" s="57" t="s">
        <v>667</v>
      </c>
      <c r="C516" s="146" t="s">
        <v>67</v>
      </c>
      <c r="D516" s="145"/>
      <c r="E516" s="145"/>
      <c r="F516" s="57" t="s">
        <v>104</v>
      </c>
      <c r="G516" s="58">
        <v>1</v>
      </c>
      <c r="H516" s="58">
        <v>0</v>
      </c>
      <c r="I516" s="58">
        <f>G516*AN516</f>
        <v>0</v>
      </c>
      <c r="J516" s="58">
        <f>G516*AO516</f>
        <v>0</v>
      </c>
      <c r="K516" s="58">
        <f>G516*H516</f>
        <v>0</v>
      </c>
      <c r="Y516" s="20">
        <f>IF(AP516="5",BI516,0)</f>
        <v>0</v>
      </c>
      <c r="AA516" s="20">
        <f>IF(AP516="1",BG516,0)</f>
        <v>0</v>
      </c>
      <c r="AB516" s="20">
        <f>IF(AP516="1",BH516,0)</f>
        <v>0</v>
      </c>
      <c r="AC516" s="20">
        <f>IF(AP516="7",BG516,0)</f>
        <v>0</v>
      </c>
      <c r="AD516" s="20">
        <f>IF(AP516="7",BH516,0)</f>
        <v>0</v>
      </c>
      <c r="AE516" s="20">
        <f>IF(AP516="2",BG516,0)</f>
        <v>0</v>
      </c>
      <c r="AF516" s="20">
        <f>IF(AP516="2",BH516,0)</f>
        <v>0</v>
      </c>
      <c r="AG516" s="20">
        <f>IF(AP516="0",BI516,0)</f>
        <v>0</v>
      </c>
      <c r="AH516" s="15" t="s">
        <v>136</v>
      </c>
      <c r="AI516" s="12">
        <f>IF(AM516=0,K516,0)</f>
        <v>0</v>
      </c>
      <c r="AJ516" s="12">
        <f>IF(AM516=15,K516,0)</f>
        <v>0</v>
      </c>
      <c r="AK516" s="12">
        <f>IF(AM516=21,K516,0)</f>
        <v>0</v>
      </c>
      <c r="AM516" s="20">
        <v>15</v>
      </c>
      <c r="AN516" s="20">
        <f>H516*0.788585680751174</f>
        <v>0</v>
      </c>
      <c r="AO516" s="20">
        <f>H516*(1-0.788585680751174)</f>
        <v>0</v>
      </c>
      <c r="AP516" s="16" t="s">
        <v>262</v>
      </c>
      <c r="AU516" s="20">
        <f>AV516+AW516</f>
        <v>0</v>
      </c>
      <c r="AV516" s="20">
        <f>G516*AN516</f>
        <v>0</v>
      </c>
      <c r="AW516" s="20">
        <f>G516*AO516</f>
        <v>0</v>
      </c>
      <c r="AX516" s="21" t="s">
        <v>167</v>
      </c>
      <c r="AY516" s="21" t="s">
        <v>185</v>
      </c>
      <c r="AZ516" s="15" t="s">
        <v>191</v>
      </c>
      <c r="BB516" s="20">
        <f>AV516+AW516</f>
        <v>0</v>
      </c>
      <c r="BC516" s="20">
        <f>H516/(100-BD516)*100</f>
        <v>0</v>
      </c>
      <c r="BD516" s="20">
        <v>0</v>
      </c>
      <c r="BE516" s="20">
        <f>516</f>
        <v>516</v>
      </c>
      <c r="BG516" s="12">
        <f>G516*AN516</f>
        <v>0</v>
      </c>
      <c r="BH516" s="12">
        <f>G516*AO516</f>
        <v>0</v>
      </c>
      <c r="BI516" s="12">
        <f>G516*H516</f>
        <v>0</v>
      </c>
    </row>
    <row r="517" spans="1:11" ht="12.75">
      <c r="A517" s="59"/>
      <c r="B517" s="59"/>
      <c r="C517" s="149" t="s">
        <v>816</v>
      </c>
      <c r="D517" s="150"/>
      <c r="E517" s="150"/>
      <c r="F517" s="59"/>
      <c r="G517" s="60">
        <v>1</v>
      </c>
      <c r="H517" s="59"/>
      <c r="I517" s="59"/>
      <c r="J517" s="59"/>
      <c r="K517" s="59"/>
    </row>
    <row r="518" spans="1:61" ht="12.75">
      <c r="A518" s="57" t="s">
        <v>457</v>
      </c>
      <c r="B518" s="57" t="s">
        <v>668</v>
      </c>
      <c r="C518" s="146" t="s">
        <v>68</v>
      </c>
      <c r="D518" s="145"/>
      <c r="E518" s="145"/>
      <c r="F518" s="57" t="s">
        <v>104</v>
      </c>
      <c r="G518" s="58">
        <v>2</v>
      </c>
      <c r="H518" s="58">
        <v>0</v>
      </c>
      <c r="I518" s="58">
        <f>G518*AN518</f>
        <v>0</v>
      </c>
      <c r="J518" s="58">
        <f>G518*AO518</f>
        <v>0</v>
      </c>
      <c r="K518" s="58">
        <f>G518*H518</f>
        <v>0</v>
      </c>
      <c r="Y518" s="20">
        <f>IF(AP518="5",BI518,0)</f>
        <v>0</v>
      </c>
      <c r="AA518" s="20">
        <f>IF(AP518="1",BG518,0)</f>
        <v>0</v>
      </c>
      <c r="AB518" s="20">
        <f>IF(AP518="1",BH518,0)</f>
        <v>0</v>
      </c>
      <c r="AC518" s="20">
        <f>IF(AP518="7",BG518,0)</f>
        <v>0</v>
      </c>
      <c r="AD518" s="20">
        <f>IF(AP518="7",BH518,0)</f>
        <v>0</v>
      </c>
      <c r="AE518" s="20">
        <f>IF(AP518="2",BG518,0)</f>
        <v>0</v>
      </c>
      <c r="AF518" s="20">
        <f>IF(AP518="2",BH518,0)</f>
        <v>0</v>
      </c>
      <c r="AG518" s="20">
        <f>IF(AP518="0",BI518,0)</f>
        <v>0</v>
      </c>
      <c r="AH518" s="15" t="s">
        <v>136</v>
      </c>
      <c r="AI518" s="12">
        <f>IF(AM518=0,K518,0)</f>
        <v>0</v>
      </c>
      <c r="AJ518" s="12">
        <f>IF(AM518=15,K518,0)</f>
        <v>0</v>
      </c>
      <c r="AK518" s="12">
        <f>IF(AM518=21,K518,0)</f>
        <v>0</v>
      </c>
      <c r="AM518" s="20">
        <v>15</v>
      </c>
      <c r="AN518" s="20">
        <f>H518*0.096011396011396</f>
        <v>0</v>
      </c>
      <c r="AO518" s="20">
        <f>H518*(1-0.096011396011396)</f>
        <v>0</v>
      </c>
      <c r="AP518" s="16" t="s">
        <v>262</v>
      </c>
      <c r="AU518" s="20">
        <f>AV518+AW518</f>
        <v>0</v>
      </c>
      <c r="AV518" s="20">
        <f>G518*AN518</f>
        <v>0</v>
      </c>
      <c r="AW518" s="20">
        <f>G518*AO518</f>
        <v>0</v>
      </c>
      <c r="AX518" s="21" t="s">
        <v>167</v>
      </c>
      <c r="AY518" s="21" t="s">
        <v>185</v>
      </c>
      <c r="AZ518" s="15" t="s">
        <v>191</v>
      </c>
      <c r="BB518" s="20">
        <f>AV518+AW518</f>
        <v>0</v>
      </c>
      <c r="BC518" s="20">
        <f>H518/(100-BD518)*100</f>
        <v>0</v>
      </c>
      <c r="BD518" s="20">
        <v>0</v>
      </c>
      <c r="BE518" s="20">
        <f>518</f>
        <v>518</v>
      </c>
      <c r="BG518" s="12">
        <f>G518*AN518</f>
        <v>0</v>
      </c>
      <c r="BH518" s="12">
        <f>G518*AO518</f>
        <v>0</v>
      </c>
      <c r="BI518" s="12">
        <f>G518*H518</f>
        <v>0</v>
      </c>
    </row>
    <row r="519" spans="1:11" ht="12.75">
      <c r="A519" s="59"/>
      <c r="B519" s="59"/>
      <c r="C519" s="149" t="s">
        <v>954</v>
      </c>
      <c r="D519" s="150"/>
      <c r="E519" s="150"/>
      <c r="F519" s="59"/>
      <c r="G519" s="60">
        <v>2</v>
      </c>
      <c r="H519" s="59"/>
      <c r="I519" s="59"/>
      <c r="J519" s="59"/>
      <c r="K519" s="59"/>
    </row>
    <row r="520" spans="1:61" ht="12.75">
      <c r="A520" s="67" t="s">
        <v>458</v>
      </c>
      <c r="B520" s="67" t="s">
        <v>669</v>
      </c>
      <c r="C520" s="155" t="s">
        <v>69</v>
      </c>
      <c r="D520" s="156"/>
      <c r="E520" s="156"/>
      <c r="F520" s="67" t="s">
        <v>104</v>
      </c>
      <c r="G520" s="68">
        <v>2</v>
      </c>
      <c r="H520" s="68">
        <v>0</v>
      </c>
      <c r="I520" s="68">
        <f>G520*AN520</f>
        <v>0</v>
      </c>
      <c r="J520" s="68">
        <f>G520*AO520</f>
        <v>0</v>
      </c>
      <c r="K520" s="68">
        <f>G520*H520</f>
        <v>0</v>
      </c>
      <c r="Y520" s="20">
        <f>IF(AP520="5",BI520,0)</f>
        <v>0</v>
      </c>
      <c r="AA520" s="20">
        <f>IF(AP520="1",BG520,0)</f>
        <v>0</v>
      </c>
      <c r="AB520" s="20">
        <f>IF(AP520="1",BH520,0)</f>
        <v>0</v>
      </c>
      <c r="AC520" s="20">
        <f>IF(AP520="7",BG520,0)</f>
        <v>0</v>
      </c>
      <c r="AD520" s="20">
        <f>IF(AP520="7",BH520,0)</f>
        <v>0</v>
      </c>
      <c r="AE520" s="20">
        <f>IF(AP520="2",BG520,0)</f>
        <v>0</v>
      </c>
      <c r="AF520" s="20">
        <f>IF(AP520="2",BH520,0)</f>
        <v>0</v>
      </c>
      <c r="AG520" s="20">
        <f>IF(AP520="0",BI520,0)</f>
        <v>0</v>
      </c>
      <c r="AH520" s="15" t="s">
        <v>136</v>
      </c>
      <c r="AI520" s="13">
        <f>IF(AM520=0,K520,0)</f>
        <v>0</v>
      </c>
      <c r="AJ520" s="13">
        <f>IF(AM520=15,K520,0)</f>
        <v>0</v>
      </c>
      <c r="AK520" s="13">
        <f>IF(AM520=21,K520,0)</f>
        <v>0</v>
      </c>
      <c r="AM520" s="20">
        <v>15</v>
      </c>
      <c r="AN520" s="20">
        <f>H520*1</f>
        <v>0</v>
      </c>
      <c r="AO520" s="20">
        <f>H520*(1-1)</f>
        <v>0</v>
      </c>
      <c r="AP520" s="17" t="s">
        <v>262</v>
      </c>
      <c r="AU520" s="20">
        <f>AV520+AW520</f>
        <v>0</v>
      </c>
      <c r="AV520" s="20">
        <f>G520*AN520</f>
        <v>0</v>
      </c>
      <c r="AW520" s="20">
        <f>G520*AO520</f>
        <v>0</v>
      </c>
      <c r="AX520" s="21" t="s">
        <v>167</v>
      </c>
      <c r="AY520" s="21" t="s">
        <v>185</v>
      </c>
      <c r="AZ520" s="15" t="s">
        <v>191</v>
      </c>
      <c r="BB520" s="20">
        <f>AV520+AW520</f>
        <v>0</v>
      </c>
      <c r="BC520" s="20">
        <f>H520/(100-BD520)*100</f>
        <v>0</v>
      </c>
      <c r="BD520" s="20">
        <v>0</v>
      </c>
      <c r="BE520" s="20">
        <f>520</f>
        <v>520</v>
      </c>
      <c r="BG520" s="13">
        <f>G520*AN520</f>
        <v>0</v>
      </c>
      <c r="BH520" s="13">
        <f>G520*AO520</f>
        <v>0</v>
      </c>
      <c r="BI520" s="13">
        <f>G520*H520</f>
        <v>0</v>
      </c>
    </row>
    <row r="521" spans="1:11" ht="12.75">
      <c r="A521" s="69"/>
      <c r="B521" s="69"/>
      <c r="C521" s="157" t="s">
        <v>954</v>
      </c>
      <c r="D521" s="150"/>
      <c r="E521" s="150"/>
      <c r="F521" s="69"/>
      <c r="G521" s="70">
        <v>2</v>
      </c>
      <c r="H521" s="69"/>
      <c r="I521" s="69"/>
      <c r="J521" s="69"/>
      <c r="K521" s="69"/>
    </row>
    <row r="522" spans="1:61" ht="12.75">
      <c r="A522" s="57" t="s">
        <v>459</v>
      </c>
      <c r="B522" s="57" t="s">
        <v>670</v>
      </c>
      <c r="C522" s="146" t="s">
        <v>70</v>
      </c>
      <c r="D522" s="145"/>
      <c r="E522" s="145"/>
      <c r="F522" s="57" t="s">
        <v>106</v>
      </c>
      <c r="G522" s="58">
        <v>1</v>
      </c>
      <c r="H522" s="58">
        <v>0</v>
      </c>
      <c r="I522" s="58">
        <f>G522*AN522</f>
        <v>0</v>
      </c>
      <c r="J522" s="58">
        <f>G522*AO522</f>
        <v>0</v>
      </c>
      <c r="K522" s="58">
        <f>G522*H522</f>
        <v>0</v>
      </c>
      <c r="Y522" s="20">
        <f>IF(AP522="5",BI522,0)</f>
        <v>0</v>
      </c>
      <c r="AA522" s="20">
        <f>IF(AP522="1",BG522,0)</f>
        <v>0</v>
      </c>
      <c r="AB522" s="20">
        <f>IF(AP522="1",BH522,0)</f>
        <v>0</v>
      </c>
      <c r="AC522" s="20">
        <f>IF(AP522="7",BG522,0)</f>
        <v>0</v>
      </c>
      <c r="AD522" s="20">
        <f>IF(AP522="7",BH522,0)</f>
        <v>0</v>
      </c>
      <c r="AE522" s="20">
        <f>IF(AP522="2",BG522,0)</f>
        <v>0</v>
      </c>
      <c r="AF522" s="20">
        <f>IF(AP522="2",BH522,0)</f>
        <v>0</v>
      </c>
      <c r="AG522" s="20">
        <f>IF(AP522="0",BI522,0)</f>
        <v>0</v>
      </c>
      <c r="AH522" s="15" t="s">
        <v>136</v>
      </c>
      <c r="AI522" s="12">
        <f>IF(AM522=0,K522,0)</f>
        <v>0</v>
      </c>
      <c r="AJ522" s="12">
        <f>IF(AM522=15,K522,0)</f>
        <v>0</v>
      </c>
      <c r="AK522" s="12">
        <f>IF(AM522=21,K522,0)</f>
        <v>0</v>
      </c>
      <c r="AM522" s="20">
        <v>15</v>
      </c>
      <c r="AN522" s="20">
        <f>H522*0.56290238748969</f>
        <v>0</v>
      </c>
      <c r="AO522" s="20">
        <f>H522*(1-0.56290238748969)</f>
        <v>0</v>
      </c>
      <c r="AP522" s="16" t="s">
        <v>262</v>
      </c>
      <c r="AU522" s="20">
        <f>AV522+AW522</f>
        <v>0</v>
      </c>
      <c r="AV522" s="20">
        <f>G522*AN522</f>
        <v>0</v>
      </c>
      <c r="AW522" s="20">
        <f>G522*AO522</f>
        <v>0</v>
      </c>
      <c r="AX522" s="21" t="s">
        <v>167</v>
      </c>
      <c r="AY522" s="21" t="s">
        <v>185</v>
      </c>
      <c r="AZ522" s="15" t="s">
        <v>191</v>
      </c>
      <c r="BB522" s="20">
        <f>AV522+AW522</f>
        <v>0</v>
      </c>
      <c r="BC522" s="20">
        <f>H522/(100-BD522)*100</f>
        <v>0</v>
      </c>
      <c r="BD522" s="20">
        <v>0</v>
      </c>
      <c r="BE522" s="20">
        <f>522</f>
        <v>522</v>
      </c>
      <c r="BG522" s="12">
        <f>G522*AN522</f>
        <v>0</v>
      </c>
      <c r="BH522" s="12">
        <f>G522*AO522</f>
        <v>0</v>
      </c>
      <c r="BI522" s="12">
        <f>G522*H522</f>
        <v>0</v>
      </c>
    </row>
    <row r="523" spans="1:11" ht="12.75">
      <c r="A523" s="59"/>
      <c r="B523" s="59"/>
      <c r="C523" s="149" t="s">
        <v>816</v>
      </c>
      <c r="D523" s="150"/>
      <c r="E523" s="150"/>
      <c r="F523" s="59"/>
      <c r="G523" s="60">
        <v>1</v>
      </c>
      <c r="H523" s="59"/>
      <c r="I523" s="59"/>
      <c r="J523" s="59"/>
      <c r="K523" s="59"/>
    </row>
    <row r="524" spans="1:61" ht="12.75">
      <c r="A524" s="57" t="s">
        <v>460</v>
      </c>
      <c r="B524" s="57" t="s">
        <v>668</v>
      </c>
      <c r="C524" s="146" t="s">
        <v>68</v>
      </c>
      <c r="D524" s="145"/>
      <c r="E524" s="145"/>
      <c r="F524" s="57" t="s">
        <v>104</v>
      </c>
      <c r="G524" s="58">
        <v>1</v>
      </c>
      <c r="H524" s="58">
        <v>0</v>
      </c>
      <c r="I524" s="58">
        <f>G524*AN524</f>
        <v>0</v>
      </c>
      <c r="J524" s="58">
        <f>G524*AO524</f>
        <v>0</v>
      </c>
      <c r="K524" s="58">
        <f>G524*H524</f>
        <v>0</v>
      </c>
      <c r="Y524" s="20">
        <f>IF(AP524="5",BI524,0)</f>
        <v>0</v>
      </c>
      <c r="AA524" s="20">
        <f>IF(AP524="1",BG524,0)</f>
        <v>0</v>
      </c>
      <c r="AB524" s="20">
        <f>IF(AP524="1",BH524,0)</f>
        <v>0</v>
      </c>
      <c r="AC524" s="20">
        <f>IF(AP524="7",BG524,0)</f>
        <v>0</v>
      </c>
      <c r="AD524" s="20">
        <f>IF(AP524="7",BH524,0)</f>
        <v>0</v>
      </c>
      <c r="AE524" s="20">
        <f>IF(AP524="2",BG524,0)</f>
        <v>0</v>
      </c>
      <c r="AF524" s="20">
        <f>IF(AP524="2",BH524,0)</f>
        <v>0</v>
      </c>
      <c r="AG524" s="20">
        <f>IF(AP524="0",BI524,0)</f>
        <v>0</v>
      </c>
      <c r="AH524" s="15" t="s">
        <v>136</v>
      </c>
      <c r="AI524" s="12">
        <f>IF(AM524=0,K524,0)</f>
        <v>0</v>
      </c>
      <c r="AJ524" s="12">
        <f>IF(AM524=15,K524,0)</f>
        <v>0</v>
      </c>
      <c r="AK524" s="12">
        <f>IF(AM524=21,K524,0)</f>
        <v>0</v>
      </c>
      <c r="AM524" s="20">
        <v>15</v>
      </c>
      <c r="AN524" s="20">
        <f>H524*0.096011396011396</f>
        <v>0</v>
      </c>
      <c r="AO524" s="20">
        <f>H524*(1-0.096011396011396)</f>
        <v>0</v>
      </c>
      <c r="AP524" s="16" t="s">
        <v>262</v>
      </c>
      <c r="AU524" s="20">
        <f>AV524+AW524</f>
        <v>0</v>
      </c>
      <c r="AV524" s="20">
        <f>G524*AN524</f>
        <v>0</v>
      </c>
      <c r="AW524" s="20">
        <f>G524*AO524</f>
        <v>0</v>
      </c>
      <c r="AX524" s="21" t="s">
        <v>167</v>
      </c>
      <c r="AY524" s="21" t="s">
        <v>185</v>
      </c>
      <c r="AZ524" s="15" t="s">
        <v>191</v>
      </c>
      <c r="BB524" s="20">
        <f>AV524+AW524</f>
        <v>0</v>
      </c>
      <c r="BC524" s="20">
        <f>H524/(100-BD524)*100</f>
        <v>0</v>
      </c>
      <c r="BD524" s="20">
        <v>0</v>
      </c>
      <c r="BE524" s="20">
        <f>524</f>
        <v>524</v>
      </c>
      <c r="BG524" s="12">
        <f>G524*AN524</f>
        <v>0</v>
      </c>
      <c r="BH524" s="12">
        <f>G524*AO524</f>
        <v>0</v>
      </c>
      <c r="BI524" s="12">
        <f>G524*H524</f>
        <v>0</v>
      </c>
    </row>
    <row r="525" spans="1:11" ht="12.75">
      <c r="A525" s="59"/>
      <c r="B525" s="59"/>
      <c r="C525" s="149" t="s">
        <v>816</v>
      </c>
      <c r="D525" s="150"/>
      <c r="E525" s="150"/>
      <c r="F525" s="59"/>
      <c r="G525" s="60">
        <v>1</v>
      </c>
      <c r="H525" s="59"/>
      <c r="I525" s="59"/>
      <c r="J525" s="59"/>
      <c r="K525" s="59"/>
    </row>
    <row r="526" spans="1:61" ht="12.75">
      <c r="A526" s="67" t="s">
        <v>461</v>
      </c>
      <c r="B526" s="67" t="s">
        <v>671</v>
      </c>
      <c r="C526" s="155" t="s">
        <v>71</v>
      </c>
      <c r="D526" s="156"/>
      <c r="E526" s="156"/>
      <c r="F526" s="67" t="s">
        <v>104</v>
      </c>
      <c r="G526" s="68">
        <v>1</v>
      </c>
      <c r="H526" s="68">
        <v>0</v>
      </c>
      <c r="I526" s="68">
        <f>G526*AN526</f>
        <v>0</v>
      </c>
      <c r="J526" s="68">
        <f>G526*AO526</f>
        <v>0</v>
      </c>
      <c r="K526" s="68">
        <f>G526*H526</f>
        <v>0</v>
      </c>
      <c r="Y526" s="20">
        <f>IF(AP526="5",BI526,0)</f>
        <v>0</v>
      </c>
      <c r="AA526" s="20">
        <f>IF(AP526="1",BG526,0)</f>
        <v>0</v>
      </c>
      <c r="AB526" s="20">
        <f>IF(AP526="1",BH526,0)</f>
        <v>0</v>
      </c>
      <c r="AC526" s="20">
        <f>IF(AP526="7",BG526,0)</f>
        <v>0</v>
      </c>
      <c r="AD526" s="20">
        <f>IF(AP526="7",BH526,0)</f>
        <v>0</v>
      </c>
      <c r="AE526" s="20">
        <f>IF(AP526="2",BG526,0)</f>
        <v>0</v>
      </c>
      <c r="AF526" s="20">
        <f>IF(AP526="2",BH526,0)</f>
        <v>0</v>
      </c>
      <c r="AG526" s="20">
        <f>IF(AP526="0",BI526,0)</f>
        <v>0</v>
      </c>
      <c r="AH526" s="15" t="s">
        <v>136</v>
      </c>
      <c r="AI526" s="13">
        <f>IF(AM526=0,K526,0)</f>
        <v>0</v>
      </c>
      <c r="AJ526" s="13">
        <f>IF(AM526=15,K526,0)</f>
        <v>0</v>
      </c>
      <c r="AK526" s="13">
        <f>IF(AM526=21,K526,0)</f>
        <v>0</v>
      </c>
      <c r="AM526" s="20">
        <v>15</v>
      </c>
      <c r="AN526" s="20">
        <f>H526*1</f>
        <v>0</v>
      </c>
      <c r="AO526" s="20">
        <f>H526*(1-1)</f>
        <v>0</v>
      </c>
      <c r="AP526" s="17" t="s">
        <v>262</v>
      </c>
      <c r="AU526" s="20">
        <f>AV526+AW526</f>
        <v>0</v>
      </c>
      <c r="AV526" s="20">
        <f>G526*AN526</f>
        <v>0</v>
      </c>
      <c r="AW526" s="20">
        <f>G526*AO526</f>
        <v>0</v>
      </c>
      <c r="AX526" s="21" t="s">
        <v>167</v>
      </c>
      <c r="AY526" s="21" t="s">
        <v>185</v>
      </c>
      <c r="AZ526" s="15" t="s">
        <v>191</v>
      </c>
      <c r="BB526" s="20">
        <f>AV526+AW526</f>
        <v>0</v>
      </c>
      <c r="BC526" s="20">
        <f>H526/(100-BD526)*100</f>
        <v>0</v>
      </c>
      <c r="BD526" s="20">
        <v>0</v>
      </c>
      <c r="BE526" s="20">
        <f>526</f>
        <v>526</v>
      </c>
      <c r="BG526" s="13">
        <f>G526*AN526</f>
        <v>0</v>
      </c>
      <c r="BH526" s="13">
        <f>G526*AO526</f>
        <v>0</v>
      </c>
      <c r="BI526" s="13">
        <f>G526*H526</f>
        <v>0</v>
      </c>
    </row>
    <row r="527" spans="1:11" ht="12.75">
      <c r="A527" s="69"/>
      <c r="B527" s="69"/>
      <c r="C527" s="157" t="s">
        <v>816</v>
      </c>
      <c r="D527" s="150"/>
      <c r="E527" s="150"/>
      <c r="F527" s="69"/>
      <c r="G527" s="70">
        <v>1</v>
      </c>
      <c r="H527" s="69"/>
      <c r="I527" s="69"/>
      <c r="J527" s="69"/>
      <c r="K527" s="69"/>
    </row>
    <row r="528" spans="1:61" ht="12.75">
      <c r="A528" s="57" t="s">
        <v>462</v>
      </c>
      <c r="B528" s="57" t="s">
        <v>672</v>
      </c>
      <c r="C528" s="146" t="s">
        <v>72</v>
      </c>
      <c r="D528" s="145"/>
      <c r="E528" s="145"/>
      <c r="F528" s="57" t="s">
        <v>104</v>
      </c>
      <c r="G528" s="58">
        <v>1</v>
      </c>
      <c r="H528" s="58">
        <v>0</v>
      </c>
      <c r="I528" s="58">
        <f>G528*AN528</f>
        <v>0</v>
      </c>
      <c r="J528" s="58">
        <f>G528*AO528</f>
        <v>0</v>
      </c>
      <c r="K528" s="58">
        <f>G528*H528</f>
        <v>0</v>
      </c>
      <c r="Y528" s="20">
        <f>IF(AP528="5",BI528,0)</f>
        <v>0</v>
      </c>
      <c r="AA528" s="20">
        <f>IF(AP528="1",BG528,0)</f>
        <v>0</v>
      </c>
      <c r="AB528" s="20">
        <f>IF(AP528="1",BH528,0)</f>
        <v>0</v>
      </c>
      <c r="AC528" s="20">
        <f>IF(AP528="7",BG528,0)</f>
        <v>0</v>
      </c>
      <c r="AD528" s="20">
        <f>IF(AP528="7",BH528,0)</f>
        <v>0</v>
      </c>
      <c r="AE528" s="20">
        <f>IF(AP528="2",BG528,0)</f>
        <v>0</v>
      </c>
      <c r="AF528" s="20">
        <f>IF(AP528="2",BH528,0)</f>
        <v>0</v>
      </c>
      <c r="AG528" s="20">
        <f>IF(AP528="0",BI528,0)</f>
        <v>0</v>
      </c>
      <c r="AH528" s="15" t="s">
        <v>136</v>
      </c>
      <c r="AI528" s="12">
        <f>IF(AM528=0,K528,0)</f>
        <v>0</v>
      </c>
      <c r="AJ528" s="12">
        <f>IF(AM528=15,K528,0)</f>
        <v>0</v>
      </c>
      <c r="AK528" s="12">
        <f>IF(AM528=21,K528,0)</f>
        <v>0</v>
      </c>
      <c r="AM528" s="20">
        <v>15</v>
      </c>
      <c r="AN528" s="20">
        <f>H528*0.162797335870599</f>
        <v>0</v>
      </c>
      <c r="AO528" s="20">
        <f>H528*(1-0.162797335870599)</f>
        <v>0</v>
      </c>
      <c r="AP528" s="16" t="s">
        <v>262</v>
      </c>
      <c r="AU528" s="20">
        <f>AV528+AW528</f>
        <v>0</v>
      </c>
      <c r="AV528" s="20">
        <f>G528*AN528</f>
        <v>0</v>
      </c>
      <c r="AW528" s="20">
        <f>G528*AO528</f>
        <v>0</v>
      </c>
      <c r="AX528" s="21" t="s">
        <v>167</v>
      </c>
      <c r="AY528" s="21" t="s">
        <v>185</v>
      </c>
      <c r="AZ528" s="15" t="s">
        <v>191</v>
      </c>
      <c r="BB528" s="20">
        <f>AV528+AW528</f>
        <v>0</v>
      </c>
      <c r="BC528" s="20">
        <f>H528/(100-BD528)*100</f>
        <v>0</v>
      </c>
      <c r="BD528" s="20">
        <v>0</v>
      </c>
      <c r="BE528" s="20">
        <f>528</f>
        <v>528</v>
      </c>
      <c r="BG528" s="12">
        <f>G528*AN528</f>
        <v>0</v>
      </c>
      <c r="BH528" s="12">
        <f>G528*AO528</f>
        <v>0</v>
      </c>
      <c r="BI528" s="12">
        <f>G528*H528</f>
        <v>0</v>
      </c>
    </row>
    <row r="529" spans="1:11" ht="12.75">
      <c r="A529" s="59"/>
      <c r="B529" s="59"/>
      <c r="C529" s="149" t="s">
        <v>816</v>
      </c>
      <c r="D529" s="150"/>
      <c r="E529" s="150"/>
      <c r="F529" s="59"/>
      <c r="G529" s="60">
        <v>1</v>
      </c>
      <c r="H529" s="59"/>
      <c r="I529" s="59"/>
      <c r="J529" s="59"/>
      <c r="K529" s="59"/>
    </row>
    <row r="530" spans="1:61" ht="12.75">
      <c r="A530" s="57" t="s">
        <v>463</v>
      </c>
      <c r="B530" s="57" t="s">
        <v>673</v>
      </c>
      <c r="C530" s="146" t="s">
        <v>73</v>
      </c>
      <c r="D530" s="145"/>
      <c r="E530" s="145"/>
      <c r="F530" s="57" t="s">
        <v>103</v>
      </c>
      <c r="G530" s="58">
        <v>0.0083</v>
      </c>
      <c r="H530" s="58">
        <v>0</v>
      </c>
      <c r="I530" s="58">
        <f>G530*AN530</f>
        <v>0</v>
      </c>
      <c r="J530" s="58">
        <f>G530*AO530</f>
        <v>0</v>
      </c>
      <c r="K530" s="58">
        <f>G530*H530</f>
        <v>0</v>
      </c>
      <c r="Y530" s="20">
        <f>IF(AP530="5",BI530,0)</f>
        <v>0</v>
      </c>
      <c r="AA530" s="20">
        <f>IF(AP530="1",BG530,0)</f>
        <v>0</v>
      </c>
      <c r="AB530" s="20">
        <f>IF(AP530="1",BH530,0)</f>
        <v>0</v>
      </c>
      <c r="AC530" s="20">
        <f>IF(AP530="7",BG530,0)</f>
        <v>0</v>
      </c>
      <c r="AD530" s="20">
        <f>IF(AP530="7",BH530,0)</f>
        <v>0</v>
      </c>
      <c r="AE530" s="20">
        <f>IF(AP530="2",BG530,0)</f>
        <v>0</v>
      </c>
      <c r="AF530" s="20">
        <f>IF(AP530="2",BH530,0)</f>
        <v>0</v>
      </c>
      <c r="AG530" s="20">
        <f>IF(AP530="0",BI530,0)</f>
        <v>0</v>
      </c>
      <c r="AH530" s="15" t="s">
        <v>136</v>
      </c>
      <c r="AI530" s="12">
        <f>IF(AM530=0,K530,0)</f>
        <v>0</v>
      </c>
      <c r="AJ530" s="12">
        <f>IF(AM530=15,K530,0)</f>
        <v>0</v>
      </c>
      <c r="AK530" s="12">
        <f>IF(AM530=21,K530,0)</f>
        <v>0</v>
      </c>
      <c r="AM530" s="20">
        <v>15</v>
      </c>
      <c r="AN530" s="20">
        <f>H530*0</f>
        <v>0</v>
      </c>
      <c r="AO530" s="20">
        <f>H530*(1-0)</f>
        <v>0</v>
      </c>
      <c r="AP530" s="16" t="s">
        <v>260</v>
      </c>
      <c r="AU530" s="20">
        <f>AV530+AW530</f>
        <v>0</v>
      </c>
      <c r="AV530" s="20">
        <f>G530*AN530</f>
        <v>0</v>
      </c>
      <c r="AW530" s="20">
        <f>G530*AO530</f>
        <v>0</v>
      </c>
      <c r="AX530" s="21" t="s">
        <v>167</v>
      </c>
      <c r="AY530" s="21" t="s">
        <v>185</v>
      </c>
      <c r="AZ530" s="15" t="s">
        <v>191</v>
      </c>
      <c r="BB530" s="20">
        <f>AV530+AW530</f>
        <v>0</v>
      </c>
      <c r="BC530" s="20">
        <f>H530/(100-BD530)*100</f>
        <v>0</v>
      </c>
      <c r="BD530" s="20">
        <v>0</v>
      </c>
      <c r="BE530" s="20">
        <f>530</f>
        <v>530</v>
      </c>
      <c r="BG530" s="12">
        <f>G530*AN530</f>
        <v>0</v>
      </c>
      <c r="BH530" s="12">
        <f>G530*AO530</f>
        <v>0</v>
      </c>
      <c r="BI530" s="12">
        <f>G530*H530</f>
        <v>0</v>
      </c>
    </row>
    <row r="531" spans="1:11" ht="12.75">
      <c r="A531" s="59"/>
      <c r="B531" s="59"/>
      <c r="C531" s="149" t="s">
        <v>74</v>
      </c>
      <c r="D531" s="150"/>
      <c r="E531" s="150"/>
      <c r="F531" s="59"/>
      <c r="G531" s="60">
        <v>0.0083</v>
      </c>
      <c r="H531" s="59"/>
      <c r="I531" s="59"/>
      <c r="J531" s="59"/>
      <c r="K531" s="59"/>
    </row>
    <row r="532" spans="1:46" ht="12.75">
      <c r="A532" s="2"/>
      <c r="B532" s="8" t="s">
        <v>674</v>
      </c>
      <c r="C532" s="142" t="s">
        <v>75</v>
      </c>
      <c r="D532" s="143"/>
      <c r="E532" s="143"/>
      <c r="F532" s="2" t="s">
        <v>255</v>
      </c>
      <c r="G532" s="2" t="s">
        <v>255</v>
      </c>
      <c r="H532" s="2" t="s">
        <v>255</v>
      </c>
      <c r="I532" s="22">
        <f>SUM(I533:I540)</f>
        <v>0</v>
      </c>
      <c r="J532" s="22">
        <f>SUM(J533:J540)</f>
        <v>0</v>
      </c>
      <c r="K532" s="22">
        <f>SUM(K533:K540)</f>
        <v>0</v>
      </c>
      <c r="AH532" s="15" t="s">
        <v>136</v>
      </c>
      <c r="AR532" s="22">
        <f>SUM(AI533:AI540)</f>
        <v>0</v>
      </c>
      <c r="AS532" s="22">
        <f>SUM(AJ533:AJ540)</f>
        <v>0</v>
      </c>
      <c r="AT532" s="22">
        <f>SUM(AK533:AK540)</f>
        <v>0</v>
      </c>
    </row>
    <row r="533" spans="1:61" ht="12.75">
      <c r="A533" s="57" t="s">
        <v>464</v>
      </c>
      <c r="B533" s="57" t="s">
        <v>675</v>
      </c>
      <c r="C533" s="146" t="s">
        <v>76</v>
      </c>
      <c r="D533" s="145"/>
      <c r="E533" s="145"/>
      <c r="F533" s="57" t="s">
        <v>108</v>
      </c>
      <c r="G533" s="58">
        <v>4</v>
      </c>
      <c r="H533" s="58">
        <v>0</v>
      </c>
      <c r="I533" s="58">
        <f>G533*AN533</f>
        <v>0</v>
      </c>
      <c r="J533" s="58">
        <f>G533*AO533</f>
        <v>0</v>
      </c>
      <c r="K533" s="58">
        <f>G533*H533</f>
        <v>0</v>
      </c>
      <c r="Y533" s="20">
        <f>IF(AP533="5",BI533,0)</f>
        <v>0</v>
      </c>
      <c r="AA533" s="20">
        <f>IF(AP533="1",BG533,0)</f>
        <v>0</v>
      </c>
      <c r="AB533" s="20">
        <f>IF(AP533="1",BH533,0)</f>
        <v>0</v>
      </c>
      <c r="AC533" s="20">
        <f>IF(AP533="7",BG533,0)</f>
        <v>0</v>
      </c>
      <c r="AD533" s="20">
        <f>IF(AP533="7",BH533,0)</f>
        <v>0</v>
      </c>
      <c r="AE533" s="20">
        <f>IF(AP533="2",BG533,0)</f>
        <v>0</v>
      </c>
      <c r="AF533" s="20">
        <f>IF(AP533="2",BH533,0)</f>
        <v>0</v>
      </c>
      <c r="AG533" s="20">
        <f>IF(AP533="0",BI533,0)</f>
        <v>0</v>
      </c>
      <c r="AH533" s="15" t="s">
        <v>136</v>
      </c>
      <c r="AI533" s="12">
        <f>IF(AM533=0,K533,0)</f>
        <v>0</v>
      </c>
      <c r="AJ533" s="12">
        <f>IF(AM533=15,K533,0)</f>
        <v>0</v>
      </c>
      <c r="AK533" s="12">
        <f>IF(AM533=21,K533,0)</f>
        <v>0</v>
      </c>
      <c r="AM533" s="20">
        <v>15</v>
      </c>
      <c r="AN533" s="20">
        <f>H533*0</f>
        <v>0</v>
      </c>
      <c r="AO533" s="20">
        <f>H533*(1-0)</f>
        <v>0</v>
      </c>
      <c r="AP533" s="16" t="s">
        <v>262</v>
      </c>
      <c r="AU533" s="20">
        <f>AV533+AW533</f>
        <v>0</v>
      </c>
      <c r="AV533" s="20">
        <f>G533*AN533</f>
        <v>0</v>
      </c>
      <c r="AW533" s="20">
        <f>G533*AO533</f>
        <v>0</v>
      </c>
      <c r="AX533" s="21" t="s">
        <v>168</v>
      </c>
      <c r="AY533" s="21" t="s">
        <v>185</v>
      </c>
      <c r="AZ533" s="15" t="s">
        <v>191</v>
      </c>
      <c r="BB533" s="20">
        <f>AV533+AW533</f>
        <v>0</v>
      </c>
      <c r="BC533" s="20">
        <f>H533/(100-BD533)*100</f>
        <v>0</v>
      </c>
      <c r="BD533" s="20">
        <v>0</v>
      </c>
      <c r="BE533" s="20">
        <f>533</f>
        <v>533</v>
      </c>
      <c r="BG533" s="12">
        <f>G533*AN533</f>
        <v>0</v>
      </c>
      <c r="BH533" s="12">
        <f>G533*AO533</f>
        <v>0</v>
      </c>
      <c r="BI533" s="12">
        <f>G533*H533</f>
        <v>0</v>
      </c>
    </row>
    <row r="534" spans="3:5" ht="12.75">
      <c r="C534" s="147" t="s">
        <v>77</v>
      </c>
      <c r="D534" s="148"/>
      <c r="E534" s="148"/>
    </row>
    <row r="535" spans="1:11" ht="12.75">
      <c r="A535" s="59"/>
      <c r="B535" s="59"/>
      <c r="C535" s="149" t="s">
        <v>812</v>
      </c>
      <c r="D535" s="150"/>
      <c r="E535" s="150"/>
      <c r="F535" s="59"/>
      <c r="G535" s="60">
        <v>4</v>
      </c>
      <c r="H535" s="59"/>
      <c r="I535" s="59"/>
      <c r="J535" s="59"/>
      <c r="K535" s="59"/>
    </row>
    <row r="536" spans="1:61" ht="12.75">
      <c r="A536" s="67" t="s">
        <v>465</v>
      </c>
      <c r="B536" s="67" t="s">
        <v>676</v>
      </c>
      <c r="C536" s="155" t="s">
        <v>78</v>
      </c>
      <c r="D536" s="156"/>
      <c r="E536" s="156"/>
      <c r="F536" s="67" t="s">
        <v>104</v>
      </c>
      <c r="G536" s="68">
        <v>1</v>
      </c>
      <c r="H536" s="68">
        <v>0</v>
      </c>
      <c r="I536" s="68">
        <f>G536*AN536</f>
        <v>0</v>
      </c>
      <c r="J536" s="68">
        <f>G536*AO536</f>
        <v>0</v>
      </c>
      <c r="K536" s="68">
        <f>G536*H536</f>
        <v>0</v>
      </c>
      <c r="Y536" s="20">
        <f>IF(AP536="5",BI536,0)</f>
        <v>0</v>
      </c>
      <c r="AA536" s="20">
        <f>IF(AP536="1",BG536,0)</f>
        <v>0</v>
      </c>
      <c r="AB536" s="20">
        <f>IF(AP536="1",BH536,0)</f>
        <v>0</v>
      </c>
      <c r="AC536" s="20">
        <f>IF(AP536="7",BG536,0)</f>
        <v>0</v>
      </c>
      <c r="AD536" s="20">
        <f>IF(AP536="7",BH536,0)</f>
        <v>0</v>
      </c>
      <c r="AE536" s="20">
        <f>IF(AP536="2",BG536,0)</f>
        <v>0</v>
      </c>
      <c r="AF536" s="20">
        <f>IF(AP536="2",BH536,0)</f>
        <v>0</v>
      </c>
      <c r="AG536" s="20">
        <f>IF(AP536="0",BI536,0)</f>
        <v>0</v>
      </c>
      <c r="AH536" s="15" t="s">
        <v>136</v>
      </c>
      <c r="AI536" s="13">
        <f>IF(AM536=0,K536,0)</f>
        <v>0</v>
      </c>
      <c r="AJ536" s="13">
        <f>IF(AM536=15,K536,0)</f>
        <v>0</v>
      </c>
      <c r="AK536" s="13">
        <f>IF(AM536=21,K536,0)</f>
        <v>0</v>
      </c>
      <c r="AM536" s="20">
        <v>15</v>
      </c>
      <c r="AN536" s="20">
        <f>H536*1</f>
        <v>0</v>
      </c>
      <c r="AO536" s="20">
        <f>H536*(1-1)</f>
        <v>0</v>
      </c>
      <c r="AP536" s="17" t="s">
        <v>262</v>
      </c>
      <c r="AU536" s="20">
        <f>AV536+AW536</f>
        <v>0</v>
      </c>
      <c r="AV536" s="20">
        <f>G536*AN536</f>
        <v>0</v>
      </c>
      <c r="AW536" s="20">
        <f>G536*AO536</f>
        <v>0</v>
      </c>
      <c r="AX536" s="21" t="s">
        <v>168</v>
      </c>
      <c r="AY536" s="21" t="s">
        <v>185</v>
      </c>
      <c r="AZ536" s="15" t="s">
        <v>191</v>
      </c>
      <c r="BB536" s="20">
        <f>AV536+AW536</f>
        <v>0</v>
      </c>
      <c r="BC536" s="20">
        <f>H536/(100-BD536)*100</f>
        <v>0</v>
      </c>
      <c r="BD536" s="20">
        <v>0</v>
      </c>
      <c r="BE536" s="20">
        <f>536</f>
        <v>536</v>
      </c>
      <c r="BG536" s="13">
        <f>G536*AN536</f>
        <v>0</v>
      </c>
      <c r="BH536" s="13">
        <f>G536*AO536</f>
        <v>0</v>
      </c>
      <c r="BI536" s="13">
        <f>G536*H536</f>
        <v>0</v>
      </c>
    </row>
    <row r="537" spans="1:11" ht="12.75">
      <c r="A537" s="69"/>
      <c r="B537" s="69"/>
      <c r="C537" s="157" t="s">
        <v>816</v>
      </c>
      <c r="D537" s="150"/>
      <c r="E537" s="150"/>
      <c r="F537" s="69"/>
      <c r="G537" s="70">
        <v>1</v>
      </c>
      <c r="H537" s="69"/>
      <c r="I537" s="69"/>
      <c r="J537" s="69"/>
      <c r="K537" s="69"/>
    </row>
    <row r="538" spans="1:61" ht="12.75">
      <c r="A538" s="67" t="s">
        <v>466</v>
      </c>
      <c r="B538" s="67" t="s">
        <v>677</v>
      </c>
      <c r="C538" s="155" t="s">
        <v>79</v>
      </c>
      <c r="D538" s="156"/>
      <c r="E538" s="156"/>
      <c r="F538" s="67" t="s">
        <v>104</v>
      </c>
      <c r="G538" s="68">
        <v>3</v>
      </c>
      <c r="H538" s="68">
        <v>0</v>
      </c>
      <c r="I538" s="68">
        <f>G538*AN538</f>
        <v>0</v>
      </c>
      <c r="J538" s="68">
        <f>G538*AO538</f>
        <v>0</v>
      </c>
      <c r="K538" s="68">
        <f>G538*H538</f>
        <v>0</v>
      </c>
      <c r="Y538" s="20">
        <f>IF(AP538="5",BI538,0)</f>
        <v>0</v>
      </c>
      <c r="AA538" s="20">
        <f>IF(AP538="1",BG538,0)</f>
        <v>0</v>
      </c>
      <c r="AB538" s="20">
        <f>IF(AP538="1",BH538,0)</f>
        <v>0</v>
      </c>
      <c r="AC538" s="20">
        <f>IF(AP538="7",BG538,0)</f>
        <v>0</v>
      </c>
      <c r="AD538" s="20">
        <f>IF(AP538="7",BH538,0)</f>
        <v>0</v>
      </c>
      <c r="AE538" s="20">
        <f>IF(AP538="2",BG538,0)</f>
        <v>0</v>
      </c>
      <c r="AF538" s="20">
        <f>IF(AP538="2",BH538,0)</f>
        <v>0</v>
      </c>
      <c r="AG538" s="20">
        <f>IF(AP538="0",BI538,0)</f>
        <v>0</v>
      </c>
      <c r="AH538" s="15" t="s">
        <v>136</v>
      </c>
      <c r="AI538" s="13">
        <f>IF(AM538=0,K538,0)</f>
        <v>0</v>
      </c>
      <c r="AJ538" s="13">
        <f>IF(AM538=15,K538,0)</f>
        <v>0</v>
      </c>
      <c r="AK538" s="13">
        <f>IF(AM538=21,K538,0)</f>
        <v>0</v>
      </c>
      <c r="AM538" s="20">
        <v>15</v>
      </c>
      <c r="AN538" s="20">
        <f>H538*1</f>
        <v>0</v>
      </c>
      <c r="AO538" s="20">
        <f>H538*(1-1)</f>
        <v>0</v>
      </c>
      <c r="AP538" s="17" t="s">
        <v>262</v>
      </c>
      <c r="AU538" s="20">
        <f>AV538+AW538</f>
        <v>0</v>
      </c>
      <c r="AV538" s="20">
        <f>G538*AN538</f>
        <v>0</v>
      </c>
      <c r="AW538" s="20">
        <f>G538*AO538</f>
        <v>0</v>
      </c>
      <c r="AX538" s="21" t="s">
        <v>168</v>
      </c>
      <c r="AY538" s="21" t="s">
        <v>185</v>
      </c>
      <c r="AZ538" s="15" t="s">
        <v>191</v>
      </c>
      <c r="BB538" s="20">
        <f>AV538+AW538</f>
        <v>0</v>
      </c>
      <c r="BC538" s="20">
        <f>H538/(100-BD538)*100</f>
        <v>0</v>
      </c>
      <c r="BD538" s="20">
        <v>0</v>
      </c>
      <c r="BE538" s="20">
        <f>538</f>
        <v>538</v>
      </c>
      <c r="BG538" s="13">
        <f>G538*AN538</f>
        <v>0</v>
      </c>
      <c r="BH538" s="13">
        <f>G538*AO538</f>
        <v>0</v>
      </c>
      <c r="BI538" s="13">
        <f>G538*H538</f>
        <v>0</v>
      </c>
    </row>
    <row r="539" spans="1:11" ht="12.75">
      <c r="A539" s="69"/>
      <c r="B539" s="69"/>
      <c r="C539" s="157" t="s">
        <v>752</v>
      </c>
      <c r="D539" s="150"/>
      <c r="E539" s="150"/>
      <c r="F539" s="69"/>
      <c r="G539" s="70">
        <v>3</v>
      </c>
      <c r="H539" s="69"/>
      <c r="I539" s="69"/>
      <c r="J539" s="69"/>
      <c r="K539" s="69"/>
    </row>
    <row r="540" spans="1:61" ht="12.75">
      <c r="A540" s="57" t="s">
        <v>467</v>
      </c>
      <c r="B540" s="57" t="s">
        <v>678</v>
      </c>
      <c r="C540" s="146" t="s">
        <v>80</v>
      </c>
      <c r="D540" s="145"/>
      <c r="E540" s="145"/>
      <c r="F540" s="57" t="s">
        <v>103</v>
      </c>
      <c r="G540" s="58">
        <v>0.206</v>
      </c>
      <c r="H540" s="58">
        <v>0</v>
      </c>
      <c r="I540" s="58">
        <f>G540*AN540</f>
        <v>0</v>
      </c>
      <c r="J540" s="58">
        <f>G540*AO540</f>
        <v>0</v>
      </c>
      <c r="K540" s="58">
        <f>G540*H540</f>
        <v>0</v>
      </c>
      <c r="Y540" s="20">
        <f>IF(AP540="5",BI540,0)</f>
        <v>0</v>
      </c>
      <c r="AA540" s="20">
        <f>IF(AP540="1",BG540,0)</f>
        <v>0</v>
      </c>
      <c r="AB540" s="20">
        <f>IF(AP540="1",BH540,0)</f>
        <v>0</v>
      </c>
      <c r="AC540" s="20">
        <f>IF(AP540="7",BG540,0)</f>
        <v>0</v>
      </c>
      <c r="AD540" s="20">
        <f>IF(AP540="7",BH540,0)</f>
        <v>0</v>
      </c>
      <c r="AE540" s="20">
        <f>IF(AP540="2",BG540,0)</f>
        <v>0</v>
      </c>
      <c r="AF540" s="20">
        <f>IF(AP540="2",BH540,0)</f>
        <v>0</v>
      </c>
      <c r="AG540" s="20">
        <f>IF(AP540="0",BI540,0)</f>
        <v>0</v>
      </c>
      <c r="AH540" s="15" t="s">
        <v>136</v>
      </c>
      <c r="AI540" s="12">
        <f>IF(AM540=0,K540,0)</f>
        <v>0</v>
      </c>
      <c r="AJ540" s="12">
        <f>IF(AM540=15,K540,0)</f>
        <v>0</v>
      </c>
      <c r="AK540" s="12">
        <f>IF(AM540=21,K540,0)</f>
        <v>0</v>
      </c>
      <c r="AM540" s="20">
        <v>15</v>
      </c>
      <c r="AN540" s="20">
        <f>H540*0</f>
        <v>0</v>
      </c>
      <c r="AO540" s="20">
        <f>H540*(1-0)</f>
        <v>0</v>
      </c>
      <c r="AP540" s="16" t="s">
        <v>260</v>
      </c>
      <c r="AU540" s="20">
        <f>AV540+AW540</f>
        <v>0</v>
      </c>
      <c r="AV540" s="20">
        <f>G540*AN540</f>
        <v>0</v>
      </c>
      <c r="AW540" s="20">
        <f>G540*AO540</f>
        <v>0</v>
      </c>
      <c r="AX540" s="21" t="s">
        <v>168</v>
      </c>
      <c r="AY540" s="21" t="s">
        <v>185</v>
      </c>
      <c r="AZ540" s="15" t="s">
        <v>191</v>
      </c>
      <c r="BB540" s="20">
        <f>AV540+AW540</f>
        <v>0</v>
      </c>
      <c r="BC540" s="20">
        <f>H540/(100-BD540)*100</f>
        <v>0</v>
      </c>
      <c r="BD540" s="20">
        <v>0</v>
      </c>
      <c r="BE540" s="20">
        <f>540</f>
        <v>540</v>
      </c>
      <c r="BG540" s="12">
        <f>G540*AN540</f>
        <v>0</v>
      </c>
      <c r="BH540" s="12">
        <f>G540*AO540</f>
        <v>0</v>
      </c>
      <c r="BI540" s="12">
        <f>G540*H540</f>
        <v>0</v>
      </c>
    </row>
    <row r="541" spans="1:11" ht="12.75">
      <c r="A541" s="59"/>
      <c r="B541" s="59"/>
      <c r="C541" s="149" t="s">
        <v>81</v>
      </c>
      <c r="D541" s="150"/>
      <c r="E541" s="150"/>
      <c r="F541" s="59"/>
      <c r="G541" s="60">
        <v>0.206</v>
      </c>
      <c r="H541" s="59"/>
      <c r="I541" s="59"/>
      <c r="J541" s="59"/>
      <c r="K541" s="59"/>
    </row>
    <row r="542" spans="1:46" ht="12.75">
      <c r="A542" s="2"/>
      <c r="B542" s="8" t="s">
        <v>350</v>
      </c>
      <c r="C542" s="142" t="s">
        <v>19</v>
      </c>
      <c r="D542" s="143"/>
      <c r="E542" s="143"/>
      <c r="F542" s="2" t="s">
        <v>255</v>
      </c>
      <c r="G542" s="2" t="s">
        <v>255</v>
      </c>
      <c r="H542" s="2" t="s">
        <v>255</v>
      </c>
      <c r="I542" s="22">
        <f>SUM(I543:I543)</f>
        <v>0</v>
      </c>
      <c r="J542" s="22">
        <f>SUM(J543:J543)</f>
        <v>0</v>
      </c>
      <c r="K542" s="22">
        <f>SUM(K543:K543)</f>
        <v>0</v>
      </c>
      <c r="AH542" s="15" t="s">
        <v>136</v>
      </c>
      <c r="AR542" s="22">
        <f>SUM(AI543:AI543)</f>
        <v>0</v>
      </c>
      <c r="AS542" s="22">
        <f>SUM(AJ543:AJ543)</f>
        <v>0</v>
      </c>
      <c r="AT542" s="22">
        <f>SUM(AK543:AK543)</f>
        <v>0</v>
      </c>
    </row>
    <row r="543" spans="1:61" ht="12.75">
      <c r="A543" s="57" t="s">
        <v>468</v>
      </c>
      <c r="B543" s="57" t="s">
        <v>679</v>
      </c>
      <c r="C543" s="146" t="s">
        <v>82</v>
      </c>
      <c r="D543" s="145"/>
      <c r="E543" s="145"/>
      <c r="F543" s="57" t="s">
        <v>106</v>
      </c>
      <c r="G543" s="58">
        <v>1</v>
      </c>
      <c r="H543" s="58">
        <v>0</v>
      </c>
      <c r="I543" s="58">
        <f>G543*AN543</f>
        <v>0</v>
      </c>
      <c r="J543" s="58">
        <f>G543*AO543</f>
        <v>0</v>
      </c>
      <c r="K543" s="58">
        <f>G543*H543</f>
        <v>0</v>
      </c>
      <c r="Y543" s="20">
        <f>IF(AP543="5",BI543,0)</f>
        <v>0</v>
      </c>
      <c r="AA543" s="20">
        <f>IF(AP543="1",BG543,0)</f>
        <v>0</v>
      </c>
      <c r="AB543" s="20">
        <f>IF(AP543="1",BH543,0)</f>
        <v>0</v>
      </c>
      <c r="AC543" s="20">
        <f>IF(AP543="7",BG543,0)</f>
        <v>0</v>
      </c>
      <c r="AD543" s="20">
        <f>IF(AP543="7",BH543,0)</f>
        <v>0</v>
      </c>
      <c r="AE543" s="20">
        <f>IF(AP543="2",BG543,0)</f>
        <v>0</v>
      </c>
      <c r="AF543" s="20">
        <f>IF(AP543="2",BH543,0)</f>
        <v>0</v>
      </c>
      <c r="AG543" s="20">
        <f>IF(AP543="0",BI543,0)</f>
        <v>0</v>
      </c>
      <c r="AH543" s="15" t="s">
        <v>136</v>
      </c>
      <c r="AI543" s="12">
        <f>IF(AM543=0,K543,0)</f>
        <v>0</v>
      </c>
      <c r="AJ543" s="12">
        <f>IF(AM543=15,K543,0)</f>
        <v>0</v>
      </c>
      <c r="AK543" s="12">
        <f>IF(AM543=21,K543,0)</f>
        <v>0</v>
      </c>
      <c r="AM543" s="20">
        <v>15</v>
      </c>
      <c r="AN543" s="20">
        <f>H543*0.326666666666667</f>
        <v>0</v>
      </c>
      <c r="AO543" s="20">
        <f>H543*(1-0.326666666666667)</f>
        <v>0</v>
      </c>
      <c r="AP543" s="16" t="s">
        <v>256</v>
      </c>
      <c r="AU543" s="20">
        <f>AV543+AW543</f>
        <v>0</v>
      </c>
      <c r="AV543" s="20">
        <f>G543*AN543</f>
        <v>0</v>
      </c>
      <c r="AW543" s="20">
        <f>G543*AO543</f>
        <v>0</v>
      </c>
      <c r="AX543" s="21" t="s">
        <v>164</v>
      </c>
      <c r="AY543" s="21" t="s">
        <v>186</v>
      </c>
      <c r="AZ543" s="15" t="s">
        <v>191</v>
      </c>
      <c r="BB543" s="20">
        <f>AV543+AW543</f>
        <v>0</v>
      </c>
      <c r="BC543" s="20">
        <f>H543/(100-BD543)*100</f>
        <v>0</v>
      </c>
      <c r="BD543" s="20">
        <v>0</v>
      </c>
      <c r="BE543" s="20">
        <f>543</f>
        <v>543</v>
      </c>
      <c r="BG543" s="12">
        <f>G543*AN543</f>
        <v>0</v>
      </c>
      <c r="BH543" s="12">
        <f>G543*AO543</f>
        <v>0</v>
      </c>
      <c r="BI543" s="12">
        <f>G543*H543</f>
        <v>0</v>
      </c>
    </row>
    <row r="544" spans="1:11" ht="12.75">
      <c r="A544" s="59"/>
      <c r="B544" s="59"/>
      <c r="C544" s="149" t="s">
        <v>816</v>
      </c>
      <c r="D544" s="150"/>
      <c r="E544" s="150"/>
      <c r="F544" s="59"/>
      <c r="G544" s="60">
        <v>1</v>
      </c>
      <c r="H544" s="59"/>
      <c r="I544" s="59"/>
      <c r="J544" s="59"/>
      <c r="K544" s="59"/>
    </row>
    <row r="545" spans="1:46" ht="12.75">
      <c r="A545" s="2"/>
      <c r="B545" s="8" t="s">
        <v>354</v>
      </c>
      <c r="C545" s="142" t="s">
        <v>83</v>
      </c>
      <c r="D545" s="143"/>
      <c r="E545" s="143"/>
      <c r="F545" s="2" t="s">
        <v>255</v>
      </c>
      <c r="G545" s="2" t="s">
        <v>255</v>
      </c>
      <c r="H545" s="2" t="s">
        <v>255</v>
      </c>
      <c r="I545" s="22">
        <f>SUM(I546:I546)</f>
        <v>0</v>
      </c>
      <c r="J545" s="22">
        <f>SUM(J546:J546)</f>
        <v>0</v>
      </c>
      <c r="K545" s="22">
        <f>SUM(K546:K546)</f>
        <v>0</v>
      </c>
      <c r="AH545" s="15" t="s">
        <v>136</v>
      </c>
      <c r="AR545" s="22">
        <f>SUM(AI546:AI546)</f>
        <v>0</v>
      </c>
      <c r="AS545" s="22">
        <f>SUM(AJ546:AJ546)</f>
        <v>0</v>
      </c>
      <c r="AT545" s="22">
        <f>SUM(AK546:AK546)</f>
        <v>0</v>
      </c>
    </row>
    <row r="546" spans="1:61" ht="12.75">
      <c r="A546" s="57" t="s">
        <v>469</v>
      </c>
      <c r="B546" s="57" t="s">
        <v>354</v>
      </c>
      <c r="C546" s="146" t="s">
        <v>84</v>
      </c>
      <c r="D546" s="145"/>
      <c r="E546" s="145"/>
      <c r="F546" s="57" t="s">
        <v>104</v>
      </c>
      <c r="G546" s="58">
        <v>1</v>
      </c>
      <c r="H546" s="58">
        <v>0</v>
      </c>
      <c r="I546" s="58">
        <f>G546*AN546</f>
        <v>0</v>
      </c>
      <c r="J546" s="58">
        <f>G546*AO546</f>
        <v>0</v>
      </c>
      <c r="K546" s="58">
        <f>G546*H546</f>
        <v>0</v>
      </c>
      <c r="Y546" s="20">
        <f>IF(AP546="5",BI546,0)</f>
        <v>0</v>
      </c>
      <c r="AA546" s="20">
        <f>IF(AP546="1",BG546,0)</f>
        <v>0</v>
      </c>
      <c r="AB546" s="20">
        <f>IF(AP546="1",BH546,0)</f>
        <v>0</v>
      </c>
      <c r="AC546" s="20">
        <f>IF(AP546="7",BG546,0)</f>
        <v>0</v>
      </c>
      <c r="AD546" s="20">
        <f>IF(AP546="7",BH546,0)</f>
        <v>0</v>
      </c>
      <c r="AE546" s="20">
        <f>IF(AP546="2",BG546,0)</f>
        <v>0</v>
      </c>
      <c r="AF546" s="20">
        <f>IF(AP546="2",BH546,0)</f>
        <v>0</v>
      </c>
      <c r="AG546" s="20">
        <f>IF(AP546="0",BI546,0)</f>
        <v>0</v>
      </c>
      <c r="AH546" s="15" t="s">
        <v>136</v>
      </c>
      <c r="AI546" s="12">
        <f>IF(AM546=0,K546,0)</f>
        <v>0</v>
      </c>
      <c r="AJ546" s="12">
        <f>IF(AM546=15,K546,0)</f>
        <v>0</v>
      </c>
      <c r="AK546" s="12">
        <f>IF(AM546=21,K546,0)</f>
        <v>0</v>
      </c>
      <c r="AM546" s="20">
        <v>15</v>
      </c>
      <c r="AN546" s="20">
        <f>H546*0</f>
        <v>0</v>
      </c>
      <c r="AO546" s="20">
        <f>H546*(1-0)</f>
        <v>0</v>
      </c>
      <c r="AP546" s="16" t="s">
        <v>256</v>
      </c>
      <c r="AU546" s="20">
        <f>AV546+AW546</f>
        <v>0</v>
      </c>
      <c r="AV546" s="20">
        <f>G546*AN546</f>
        <v>0</v>
      </c>
      <c r="AW546" s="20">
        <f>G546*AO546</f>
        <v>0</v>
      </c>
      <c r="AX546" s="21" t="s">
        <v>169</v>
      </c>
      <c r="AY546" s="21" t="s">
        <v>186</v>
      </c>
      <c r="AZ546" s="15" t="s">
        <v>191</v>
      </c>
      <c r="BB546" s="20">
        <f>AV546+AW546</f>
        <v>0</v>
      </c>
      <c r="BC546" s="20">
        <f>H546/(100-BD546)*100</f>
        <v>0</v>
      </c>
      <c r="BD546" s="20">
        <v>0</v>
      </c>
      <c r="BE546" s="20">
        <f>546</f>
        <v>546</v>
      </c>
      <c r="BG546" s="12">
        <f>G546*AN546</f>
        <v>0</v>
      </c>
      <c r="BH546" s="12">
        <f>G546*AO546</f>
        <v>0</v>
      </c>
      <c r="BI546" s="12">
        <f>G546*H546</f>
        <v>0</v>
      </c>
    </row>
    <row r="547" spans="1:11" ht="12.75">
      <c r="A547" s="59"/>
      <c r="B547" s="59"/>
      <c r="C547" s="149" t="s">
        <v>816</v>
      </c>
      <c r="D547" s="150"/>
      <c r="E547" s="150"/>
      <c r="F547" s="59"/>
      <c r="G547" s="60">
        <v>1</v>
      </c>
      <c r="H547" s="59"/>
      <c r="I547" s="59"/>
      <c r="J547" s="59"/>
      <c r="K547" s="59"/>
    </row>
    <row r="548" spans="1:11" ht="12.75">
      <c r="A548" s="64"/>
      <c r="B548" s="65"/>
      <c r="C548" s="152" t="s">
        <v>85</v>
      </c>
      <c r="D548" s="153"/>
      <c r="E548" s="154"/>
      <c r="F548" s="64" t="s">
        <v>255</v>
      </c>
      <c r="G548" s="64" t="s">
        <v>255</v>
      </c>
      <c r="H548" s="64" t="s">
        <v>255</v>
      </c>
      <c r="I548" s="66">
        <f>I549</f>
        <v>0</v>
      </c>
      <c r="J548" s="66">
        <f>J549</f>
        <v>0</v>
      </c>
      <c r="K548" s="66">
        <f>K549</f>
        <v>0</v>
      </c>
    </row>
    <row r="549" spans="1:46" ht="12.75">
      <c r="A549" s="2"/>
      <c r="B549" s="8" t="s">
        <v>477</v>
      </c>
      <c r="C549" s="142" t="s">
        <v>691</v>
      </c>
      <c r="D549" s="143"/>
      <c r="E549" s="143"/>
      <c r="F549" s="2" t="s">
        <v>255</v>
      </c>
      <c r="G549" s="2" t="s">
        <v>255</v>
      </c>
      <c r="H549" s="2" t="s">
        <v>255</v>
      </c>
      <c r="I549" s="22">
        <f>SUM(I550:I550)</f>
        <v>0</v>
      </c>
      <c r="J549" s="22">
        <f>SUM(J550:J550)</f>
        <v>0</v>
      </c>
      <c r="K549" s="22">
        <f>SUM(K550:K550)</f>
        <v>0</v>
      </c>
      <c r="AH549" s="15" t="s">
        <v>137</v>
      </c>
      <c r="AR549" s="22">
        <f>SUM(AI550:AI550)</f>
        <v>0</v>
      </c>
      <c r="AS549" s="22">
        <f>SUM(AJ550:AJ550)</f>
        <v>0</v>
      </c>
      <c r="AT549" s="22">
        <f>SUM(AK550:AK550)</f>
        <v>0</v>
      </c>
    </row>
    <row r="550" spans="1:61" ht="12.75">
      <c r="A550" s="57" t="s">
        <v>470</v>
      </c>
      <c r="B550" s="57" t="s">
        <v>680</v>
      </c>
      <c r="C550" s="146" t="s">
        <v>86</v>
      </c>
      <c r="D550" s="145"/>
      <c r="E550" s="145"/>
      <c r="F550" s="57" t="s">
        <v>106</v>
      </c>
      <c r="G550" s="58">
        <v>1</v>
      </c>
      <c r="H550" s="58">
        <v>0</v>
      </c>
      <c r="I550" s="58">
        <f>G550*AN550</f>
        <v>0</v>
      </c>
      <c r="J550" s="58">
        <f>G550*AO550</f>
        <v>0</v>
      </c>
      <c r="K550" s="58">
        <f>G550*H550</f>
        <v>0</v>
      </c>
      <c r="Y550" s="20">
        <f>IF(AP550="5",BI550,0)</f>
        <v>0</v>
      </c>
      <c r="AA550" s="20">
        <f>IF(AP550="1",BG550,0)</f>
        <v>0</v>
      </c>
      <c r="AB550" s="20">
        <f>IF(AP550="1",BH550,0)</f>
        <v>0</v>
      </c>
      <c r="AC550" s="20">
        <f>IF(AP550="7",BG550,0)</f>
        <v>0</v>
      </c>
      <c r="AD550" s="20">
        <f>IF(AP550="7",BH550,0)</f>
        <v>0</v>
      </c>
      <c r="AE550" s="20">
        <f>IF(AP550="2",BG550,0)</f>
        <v>0</v>
      </c>
      <c r="AF550" s="20">
        <f>IF(AP550="2",BH550,0)</f>
        <v>0</v>
      </c>
      <c r="AG550" s="20">
        <f>IF(AP550="0",BI550,0)</f>
        <v>0</v>
      </c>
      <c r="AH550" s="15" t="s">
        <v>137</v>
      </c>
      <c r="AI550" s="12">
        <f>IF(AM550=0,K550,0)</f>
        <v>0</v>
      </c>
      <c r="AJ550" s="12">
        <f>IF(AM550=15,K550,0)</f>
        <v>0</v>
      </c>
      <c r="AK550" s="12">
        <f>IF(AM550=21,K550,0)</f>
        <v>0</v>
      </c>
      <c r="AM550" s="20">
        <v>15</v>
      </c>
      <c r="AN550" s="20">
        <f>H550*0</f>
        <v>0</v>
      </c>
      <c r="AO550" s="20">
        <f>H550*(1-0)</f>
        <v>0</v>
      </c>
      <c r="AP550" s="16" t="s">
        <v>256</v>
      </c>
      <c r="AU550" s="20">
        <f>AV550+AW550</f>
        <v>0</v>
      </c>
      <c r="AV550" s="20">
        <f>G550*AN550</f>
        <v>0</v>
      </c>
      <c r="AW550" s="20">
        <f>G550*AO550</f>
        <v>0</v>
      </c>
      <c r="AX550" s="21" t="s">
        <v>139</v>
      </c>
      <c r="AY550" s="21" t="s">
        <v>187</v>
      </c>
      <c r="AZ550" s="15" t="s">
        <v>192</v>
      </c>
      <c r="BB550" s="20">
        <f>AV550+AW550</f>
        <v>0</v>
      </c>
      <c r="BC550" s="20">
        <f>H550/(100-BD550)*100</f>
        <v>0</v>
      </c>
      <c r="BD550" s="20">
        <v>0</v>
      </c>
      <c r="BE550" s="20">
        <f>550</f>
        <v>550</v>
      </c>
      <c r="BG550" s="12">
        <f>G550*AN550</f>
        <v>0</v>
      </c>
      <c r="BH550" s="12">
        <f>G550*AO550</f>
        <v>0</v>
      </c>
      <c r="BI550" s="12">
        <f>G550*H550</f>
        <v>0</v>
      </c>
    </row>
    <row r="551" spans="1:11" ht="12.75">
      <c r="A551" s="59"/>
      <c r="B551" s="59"/>
      <c r="C551" s="149" t="s">
        <v>816</v>
      </c>
      <c r="D551" s="150"/>
      <c r="E551" s="150"/>
      <c r="F551" s="59"/>
      <c r="G551" s="60">
        <v>1</v>
      </c>
      <c r="H551" s="59"/>
      <c r="I551" s="59"/>
      <c r="J551" s="59"/>
      <c r="K551" s="59"/>
    </row>
    <row r="552" spans="1:11" ht="12.75">
      <c r="A552" s="64"/>
      <c r="B552" s="65"/>
      <c r="C552" s="152" t="s">
        <v>87</v>
      </c>
      <c r="D552" s="153"/>
      <c r="E552" s="154"/>
      <c r="F552" s="64" t="s">
        <v>255</v>
      </c>
      <c r="G552" s="64" t="s">
        <v>255</v>
      </c>
      <c r="H552" s="64" t="s">
        <v>255</v>
      </c>
      <c r="I552" s="66">
        <f>I553</f>
        <v>0</v>
      </c>
      <c r="J552" s="66">
        <f>J553</f>
        <v>0</v>
      </c>
      <c r="K552" s="66">
        <f>K553</f>
        <v>0</v>
      </c>
    </row>
    <row r="553" spans="1:46" ht="12.75">
      <c r="A553" s="2"/>
      <c r="B553" s="8" t="s">
        <v>353</v>
      </c>
      <c r="C553" s="142" t="s">
        <v>87</v>
      </c>
      <c r="D553" s="143"/>
      <c r="E553" s="143"/>
      <c r="F553" s="2" t="s">
        <v>255</v>
      </c>
      <c r="G553" s="2" t="s">
        <v>255</v>
      </c>
      <c r="H553" s="2" t="s">
        <v>255</v>
      </c>
      <c r="I553" s="22">
        <f>SUM(I554:I562)</f>
        <v>0</v>
      </c>
      <c r="J553" s="22">
        <f>SUM(J554:J562)</f>
        <v>0</v>
      </c>
      <c r="K553" s="22">
        <f>SUM(K554:K562)</f>
        <v>0</v>
      </c>
      <c r="AH553" s="15" t="s">
        <v>138</v>
      </c>
      <c r="AR553" s="22">
        <f>SUM(AI554:AI562)</f>
        <v>0</v>
      </c>
      <c r="AS553" s="22">
        <f>SUM(AJ554:AJ562)</f>
        <v>0</v>
      </c>
      <c r="AT553" s="22">
        <f>SUM(AK554:AK562)</f>
        <v>0</v>
      </c>
    </row>
    <row r="554" spans="1:61" ht="12.75">
      <c r="A554" s="57" t="s">
        <v>471</v>
      </c>
      <c r="B554" s="57" t="s">
        <v>681</v>
      </c>
      <c r="C554" s="146" t="s">
        <v>88</v>
      </c>
      <c r="D554" s="145"/>
      <c r="E554" s="145"/>
      <c r="F554" s="57" t="s">
        <v>106</v>
      </c>
      <c r="G554" s="58">
        <v>1</v>
      </c>
      <c r="H554" s="58">
        <v>0</v>
      </c>
      <c r="I554" s="58">
        <f>G554*AN554</f>
        <v>0</v>
      </c>
      <c r="J554" s="58">
        <f>G554*AO554</f>
        <v>0</v>
      </c>
      <c r="K554" s="58">
        <f>G554*H554</f>
        <v>0</v>
      </c>
      <c r="Y554" s="20">
        <f>IF(AP554="5",BI554,0)</f>
        <v>0</v>
      </c>
      <c r="AA554" s="20">
        <f>IF(AP554="1",BG554,0)</f>
        <v>0</v>
      </c>
      <c r="AB554" s="20">
        <f>IF(AP554="1",BH554,0)</f>
        <v>0</v>
      </c>
      <c r="AC554" s="20">
        <f>IF(AP554="7",BG554,0)</f>
        <v>0</v>
      </c>
      <c r="AD554" s="20">
        <f>IF(AP554="7",BH554,0)</f>
        <v>0</v>
      </c>
      <c r="AE554" s="20">
        <f>IF(AP554="2",BG554,0)</f>
        <v>0</v>
      </c>
      <c r="AF554" s="20">
        <f>IF(AP554="2",BH554,0)</f>
        <v>0</v>
      </c>
      <c r="AG554" s="20">
        <f>IF(AP554="0",BI554,0)</f>
        <v>0</v>
      </c>
      <c r="AH554" s="15" t="s">
        <v>138</v>
      </c>
      <c r="AI554" s="12">
        <f>IF(AM554=0,K554,0)</f>
        <v>0</v>
      </c>
      <c r="AJ554" s="12">
        <f>IF(AM554=15,K554,0)</f>
        <v>0</v>
      </c>
      <c r="AK554" s="12">
        <f>IF(AM554=21,K554,0)</f>
        <v>0</v>
      </c>
      <c r="AM554" s="20">
        <v>15</v>
      </c>
      <c r="AN554" s="20">
        <f>H554*0</f>
        <v>0</v>
      </c>
      <c r="AO554" s="20">
        <f>H554*(1-0)</f>
        <v>0</v>
      </c>
      <c r="AP554" s="16" t="s">
        <v>256</v>
      </c>
      <c r="AU554" s="20">
        <f>AV554+AW554</f>
        <v>0</v>
      </c>
      <c r="AV554" s="20">
        <f>G554*AN554</f>
        <v>0</v>
      </c>
      <c r="AW554" s="20">
        <f>G554*AO554</f>
        <v>0</v>
      </c>
      <c r="AX554" s="21" t="s">
        <v>170</v>
      </c>
      <c r="AY554" s="21" t="s">
        <v>188</v>
      </c>
      <c r="AZ554" s="15" t="s">
        <v>193</v>
      </c>
      <c r="BB554" s="20">
        <f>AV554+AW554</f>
        <v>0</v>
      </c>
      <c r="BC554" s="20">
        <f>H554/(100-BD554)*100</f>
        <v>0</v>
      </c>
      <c r="BD554" s="20">
        <v>0</v>
      </c>
      <c r="BE554" s="20">
        <f>554</f>
        <v>554</v>
      </c>
      <c r="BG554" s="12">
        <f>G554*AN554</f>
        <v>0</v>
      </c>
      <c r="BH554" s="12">
        <f>G554*AO554</f>
        <v>0</v>
      </c>
      <c r="BI554" s="12">
        <f>G554*H554</f>
        <v>0</v>
      </c>
    </row>
    <row r="555" spans="1:11" ht="12.75">
      <c r="A555" s="59"/>
      <c r="B555" s="59"/>
      <c r="C555" s="149" t="s">
        <v>816</v>
      </c>
      <c r="D555" s="150"/>
      <c r="E555" s="150"/>
      <c r="F555" s="59"/>
      <c r="G555" s="60">
        <v>1</v>
      </c>
      <c r="H555" s="59"/>
      <c r="I555" s="59"/>
      <c r="J555" s="59"/>
      <c r="K555" s="59"/>
    </row>
    <row r="556" spans="2:11" ht="12.75">
      <c r="B556" s="9" t="s">
        <v>475</v>
      </c>
      <c r="C556" s="158" t="s">
        <v>89</v>
      </c>
      <c r="D556" s="159"/>
      <c r="E556" s="159"/>
      <c r="F556" s="159"/>
      <c r="G556" s="159"/>
      <c r="H556" s="159"/>
      <c r="I556" s="159"/>
      <c r="J556" s="159"/>
      <c r="K556" s="159"/>
    </row>
    <row r="557" spans="1:61" ht="12.75">
      <c r="A557" s="57" t="s">
        <v>472</v>
      </c>
      <c r="B557" s="57" t="s">
        <v>682</v>
      </c>
      <c r="C557" s="146" t="s">
        <v>90</v>
      </c>
      <c r="D557" s="145"/>
      <c r="E557" s="145"/>
      <c r="F557" s="57" t="s">
        <v>106</v>
      </c>
      <c r="G557" s="58">
        <v>1</v>
      </c>
      <c r="H557" s="58">
        <v>0</v>
      </c>
      <c r="I557" s="58">
        <f>G557*AN557</f>
        <v>0</v>
      </c>
      <c r="J557" s="58">
        <f>G557*AO557</f>
        <v>0</v>
      </c>
      <c r="K557" s="58">
        <f>G557*H557</f>
        <v>0</v>
      </c>
      <c r="Y557" s="20">
        <f>IF(AP557="5",BI557,0)</f>
        <v>0</v>
      </c>
      <c r="AA557" s="20">
        <f>IF(AP557="1",BG557,0)</f>
        <v>0</v>
      </c>
      <c r="AB557" s="20">
        <f>IF(AP557="1",BH557,0)</f>
        <v>0</v>
      </c>
      <c r="AC557" s="20">
        <f>IF(AP557="7",BG557,0)</f>
        <v>0</v>
      </c>
      <c r="AD557" s="20">
        <f>IF(AP557="7",BH557,0)</f>
        <v>0</v>
      </c>
      <c r="AE557" s="20">
        <f>IF(AP557="2",BG557,0)</f>
        <v>0</v>
      </c>
      <c r="AF557" s="20">
        <f>IF(AP557="2",BH557,0)</f>
        <v>0</v>
      </c>
      <c r="AG557" s="20">
        <f>IF(AP557="0",BI557,0)</f>
        <v>0</v>
      </c>
      <c r="AH557" s="15" t="s">
        <v>138</v>
      </c>
      <c r="AI557" s="12">
        <f>IF(AM557=0,K557,0)</f>
        <v>0</v>
      </c>
      <c r="AJ557" s="12">
        <f>IF(AM557=15,K557,0)</f>
        <v>0</v>
      </c>
      <c r="AK557" s="12">
        <f>IF(AM557=21,K557,0)</f>
        <v>0</v>
      </c>
      <c r="AM557" s="20">
        <v>15</v>
      </c>
      <c r="AN557" s="20">
        <f>H557*0</f>
        <v>0</v>
      </c>
      <c r="AO557" s="20">
        <f>H557*(1-0)</f>
        <v>0</v>
      </c>
      <c r="AP557" s="16" t="s">
        <v>256</v>
      </c>
      <c r="AU557" s="20">
        <f>AV557+AW557</f>
        <v>0</v>
      </c>
      <c r="AV557" s="20">
        <f>G557*AN557</f>
        <v>0</v>
      </c>
      <c r="AW557" s="20">
        <f>G557*AO557</f>
        <v>0</v>
      </c>
      <c r="AX557" s="21" t="s">
        <v>170</v>
      </c>
      <c r="AY557" s="21" t="s">
        <v>188</v>
      </c>
      <c r="AZ557" s="15" t="s">
        <v>193</v>
      </c>
      <c r="BB557" s="20">
        <f>AV557+AW557</f>
        <v>0</v>
      </c>
      <c r="BC557" s="20">
        <f>H557/(100-BD557)*100</f>
        <v>0</v>
      </c>
      <c r="BD557" s="20">
        <v>0</v>
      </c>
      <c r="BE557" s="20">
        <f>557</f>
        <v>557</v>
      </c>
      <c r="BG557" s="12">
        <f>G557*AN557</f>
        <v>0</v>
      </c>
      <c r="BH557" s="12">
        <f>G557*AO557</f>
        <v>0</v>
      </c>
      <c r="BI557" s="12">
        <f>G557*H557</f>
        <v>0</v>
      </c>
    </row>
    <row r="558" spans="1:11" ht="12.75">
      <c r="A558" s="59"/>
      <c r="B558" s="59"/>
      <c r="C558" s="149" t="s">
        <v>816</v>
      </c>
      <c r="D558" s="150"/>
      <c r="E558" s="150"/>
      <c r="F558" s="59"/>
      <c r="G558" s="60">
        <v>1</v>
      </c>
      <c r="H558" s="59"/>
      <c r="I558" s="59"/>
      <c r="J558" s="59"/>
      <c r="K558" s="59"/>
    </row>
    <row r="559" spans="2:11" ht="115.5" customHeight="1">
      <c r="B559" s="9" t="s">
        <v>475</v>
      </c>
      <c r="C559" s="158" t="s">
        <v>91</v>
      </c>
      <c r="D559" s="159"/>
      <c r="E559" s="159"/>
      <c r="F559" s="159"/>
      <c r="G559" s="159"/>
      <c r="H559" s="159"/>
      <c r="I559" s="159"/>
      <c r="J559" s="159"/>
      <c r="K559" s="159"/>
    </row>
    <row r="560" spans="1:61" ht="12.75">
      <c r="A560" s="57" t="s">
        <v>473</v>
      </c>
      <c r="B560" s="57" t="s">
        <v>683</v>
      </c>
      <c r="C560" s="146" t="s">
        <v>92</v>
      </c>
      <c r="D560" s="145"/>
      <c r="E560" s="145"/>
      <c r="F560" s="57" t="s">
        <v>106</v>
      </c>
      <c r="G560" s="58">
        <v>1</v>
      </c>
      <c r="H560" s="58">
        <v>0</v>
      </c>
      <c r="I560" s="58">
        <f>G560*AN560</f>
        <v>0</v>
      </c>
      <c r="J560" s="58">
        <f>G560*AO560</f>
        <v>0</v>
      </c>
      <c r="K560" s="58">
        <f>G560*H560</f>
        <v>0</v>
      </c>
      <c r="Y560" s="20">
        <f>IF(AP560="5",BI560,0)</f>
        <v>0</v>
      </c>
      <c r="AA560" s="20">
        <f>IF(AP560="1",BG560,0)</f>
        <v>0</v>
      </c>
      <c r="AB560" s="20">
        <f>IF(AP560="1",BH560,0)</f>
        <v>0</v>
      </c>
      <c r="AC560" s="20">
        <f>IF(AP560="7",BG560,0)</f>
        <v>0</v>
      </c>
      <c r="AD560" s="20">
        <f>IF(AP560="7",BH560,0)</f>
        <v>0</v>
      </c>
      <c r="AE560" s="20">
        <f>IF(AP560="2",BG560,0)</f>
        <v>0</v>
      </c>
      <c r="AF560" s="20">
        <f>IF(AP560="2",BH560,0)</f>
        <v>0</v>
      </c>
      <c r="AG560" s="20">
        <f>IF(AP560="0",BI560,0)</f>
        <v>0</v>
      </c>
      <c r="AH560" s="15" t="s">
        <v>138</v>
      </c>
      <c r="AI560" s="12">
        <f>IF(AM560=0,K560,0)</f>
        <v>0</v>
      </c>
      <c r="AJ560" s="12">
        <f>IF(AM560=15,K560,0)</f>
        <v>0</v>
      </c>
      <c r="AK560" s="12">
        <f>IF(AM560=21,K560,0)</f>
        <v>0</v>
      </c>
      <c r="AM560" s="20">
        <v>15</v>
      </c>
      <c r="AN560" s="20">
        <f>H560*0</f>
        <v>0</v>
      </c>
      <c r="AO560" s="20">
        <f>H560*(1-0)</f>
        <v>0</v>
      </c>
      <c r="AP560" s="16" t="s">
        <v>256</v>
      </c>
      <c r="AU560" s="20">
        <f>AV560+AW560</f>
        <v>0</v>
      </c>
      <c r="AV560" s="20">
        <f>G560*AN560</f>
        <v>0</v>
      </c>
      <c r="AW560" s="20">
        <f>G560*AO560</f>
        <v>0</v>
      </c>
      <c r="AX560" s="21" t="s">
        <v>170</v>
      </c>
      <c r="AY560" s="21" t="s">
        <v>188</v>
      </c>
      <c r="AZ560" s="15" t="s">
        <v>193</v>
      </c>
      <c r="BB560" s="20">
        <f>AV560+AW560</f>
        <v>0</v>
      </c>
      <c r="BC560" s="20">
        <f>H560/(100-BD560)*100</f>
        <v>0</v>
      </c>
      <c r="BD560" s="20">
        <v>0</v>
      </c>
      <c r="BE560" s="20">
        <f>560</f>
        <v>560</v>
      </c>
      <c r="BG560" s="12">
        <f>G560*AN560</f>
        <v>0</v>
      </c>
      <c r="BH560" s="12">
        <f>G560*AO560</f>
        <v>0</v>
      </c>
      <c r="BI560" s="12">
        <f>G560*H560</f>
        <v>0</v>
      </c>
    </row>
    <row r="561" spans="1:11" ht="12.75">
      <c r="A561" s="59"/>
      <c r="B561" s="59"/>
      <c r="C561" s="149" t="s">
        <v>816</v>
      </c>
      <c r="D561" s="150"/>
      <c r="E561" s="150"/>
      <c r="F561" s="59"/>
      <c r="G561" s="60">
        <v>1</v>
      </c>
      <c r="H561" s="59"/>
      <c r="I561" s="59"/>
      <c r="J561" s="59"/>
      <c r="K561" s="59"/>
    </row>
    <row r="562" spans="1:61" ht="12.75">
      <c r="A562" s="57" t="s">
        <v>474</v>
      </c>
      <c r="B562" s="57" t="s">
        <v>684</v>
      </c>
      <c r="C562" s="146" t="s">
        <v>93</v>
      </c>
      <c r="D562" s="145"/>
      <c r="E562" s="145"/>
      <c r="F562" s="57" t="s">
        <v>106</v>
      </c>
      <c r="G562" s="58">
        <v>1</v>
      </c>
      <c r="H562" s="58">
        <v>0</v>
      </c>
      <c r="I562" s="58">
        <f>G562*AN562</f>
        <v>0</v>
      </c>
      <c r="J562" s="58">
        <f>G562*AO562</f>
        <v>0</v>
      </c>
      <c r="K562" s="58">
        <f>G562*H562</f>
        <v>0</v>
      </c>
      <c r="Y562" s="20">
        <f>IF(AP562="5",BI562,0)</f>
        <v>0</v>
      </c>
      <c r="AA562" s="20">
        <f>IF(AP562="1",BG562,0)</f>
        <v>0</v>
      </c>
      <c r="AB562" s="20">
        <f>IF(AP562="1",BH562,0)</f>
        <v>0</v>
      </c>
      <c r="AC562" s="20">
        <f>IF(AP562="7",BG562,0)</f>
        <v>0</v>
      </c>
      <c r="AD562" s="20">
        <f>IF(AP562="7",BH562,0)</f>
        <v>0</v>
      </c>
      <c r="AE562" s="20">
        <f>IF(AP562="2",BG562,0)</f>
        <v>0</v>
      </c>
      <c r="AF562" s="20">
        <f>IF(AP562="2",BH562,0)</f>
        <v>0</v>
      </c>
      <c r="AG562" s="20">
        <f>IF(AP562="0",BI562,0)</f>
        <v>0</v>
      </c>
      <c r="AH562" s="15" t="s">
        <v>138</v>
      </c>
      <c r="AI562" s="12">
        <f>IF(AM562=0,K562,0)</f>
        <v>0</v>
      </c>
      <c r="AJ562" s="12">
        <f>IF(AM562=15,K562,0)</f>
        <v>0</v>
      </c>
      <c r="AK562" s="12">
        <f>IF(AM562=21,K562,0)</f>
        <v>0</v>
      </c>
      <c r="AM562" s="20">
        <v>15</v>
      </c>
      <c r="AN562" s="20">
        <f>H562*0</f>
        <v>0</v>
      </c>
      <c r="AO562" s="20">
        <f>H562*(1-0)</f>
        <v>0</v>
      </c>
      <c r="AP562" s="16" t="s">
        <v>256</v>
      </c>
      <c r="AU562" s="20">
        <f>AV562+AW562</f>
        <v>0</v>
      </c>
      <c r="AV562" s="20">
        <f>G562*AN562</f>
        <v>0</v>
      </c>
      <c r="AW562" s="20">
        <f>G562*AO562</f>
        <v>0</v>
      </c>
      <c r="AX562" s="21" t="s">
        <v>170</v>
      </c>
      <c r="AY562" s="21" t="s">
        <v>188</v>
      </c>
      <c r="AZ562" s="15" t="s">
        <v>193</v>
      </c>
      <c r="BB562" s="20">
        <f>AV562+AW562</f>
        <v>0</v>
      </c>
      <c r="BC562" s="20">
        <f>H562/(100-BD562)*100</f>
        <v>0</v>
      </c>
      <c r="BD562" s="20">
        <v>0</v>
      </c>
      <c r="BE562" s="20">
        <f>562</f>
        <v>562</v>
      </c>
      <c r="BG562" s="12">
        <f>G562*AN562</f>
        <v>0</v>
      </c>
      <c r="BH562" s="12">
        <f>G562*AO562</f>
        <v>0</v>
      </c>
      <c r="BI562" s="12">
        <f>G562*H562</f>
        <v>0</v>
      </c>
    </row>
    <row r="563" spans="1:11" ht="12.75">
      <c r="A563" s="79"/>
      <c r="B563" s="79"/>
      <c r="C563" s="167" t="s">
        <v>816</v>
      </c>
      <c r="D563" s="168"/>
      <c r="E563" s="168"/>
      <c r="F563" s="79"/>
      <c r="G563" s="80">
        <v>1</v>
      </c>
      <c r="H563" s="79"/>
      <c r="I563" s="79"/>
      <c r="J563" s="79"/>
      <c r="K563" s="79"/>
    </row>
    <row r="564" spans="1:11" ht="12.75">
      <c r="A564" s="5"/>
      <c r="B564" s="5"/>
      <c r="C564" s="5"/>
      <c r="D564" s="5"/>
      <c r="E564" s="5"/>
      <c r="F564" s="5"/>
      <c r="G564" s="5"/>
      <c r="H564" s="5"/>
      <c r="I564" s="169" t="s">
        <v>122</v>
      </c>
      <c r="J564" s="88"/>
      <c r="K564" s="23">
        <f>K13+K15+K45+K52+K66+K69+K74+K80+K106+K127+K132+K149+K154+K161+K168+K191+K199+K218+K224+K252+K286+K333+K396+K412+K421+K429+K447+K464+K468+K479+K509+K532+K542+K545+K549+K553</f>
        <v>0</v>
      </c>
    </row>
    <row r="565" ht="11.25" customHeight="1">
      <c r="A565" s="6" t="s">
        <v>475</v>
      </c>
    </row>
    <row r="566" spans="1:11" ht="12.75">
      <c r="A566" s="94"/>
      <c r="B566" s="86"/>
      <c r="C566" s="86"/>
      <c r="D566" s="86"/>
      <c r="E566" s="86"/>
      <c r="F566" s="86"/>
      <c r="G566" s="86"/>
      <c r="H566" s="86"/>
      <c r="I566" s="86"/>
      <c r="J566" s="86"/>
      <c r="K566" s="86"/>
    </row>
  </sheetData>
  <sheetProtection/>
  <mergeCells count="582">
    <mergeCell ref="A566:K566"/>
    <mergeCell ref="C559:K559"/>
    <mergeCell ref="C560:E560"/>
    <mergeCell ref="C561:E561"/>
    <mergeCell ref="C562:E562"/>
    <mergeCell ref="C555:E555"/>
    <mergeCell ref="C556:K556"/>
    <mergeCell ref="C557:E557"/>
    <mergeCell ref="C558:E558"/>
    <mergeCell ref="C563:E563"/>
    <mergeCell ref="I564:J564"/>
    <mergeCell ref="C549:E549"/>
    <mergeCell ref="C550:E550"/>
    <mergeCell ref="C551:E551"/>
    <mergeCell ref="C552:E552"/>
    <mergeCell ref="C553:E553"/>
    <mergeCell ref="C554:E554"/>
    <mergeCell ref="C543:E543"/>
    <mergeCell ref="C544:E544"/>
    <mergeCell ref="C545:E545"/>
    <mergeCell ref="C546:E546"/>
    <mergeCell ref="C547:E547"/>
    <mergeCell ref="C548:E548"/>
    <mergeCell ref="C537:E537"/>
    <mergeCell ref="C538:E538"/>
    <mergeCell ref="C539:E539"/>
    <mergeCell ref="C540:E540"/>
    <mergeCell ref="C541:E541"/>
    <mergeCell ref="C542:E542"/>
    <mergeCell ref="C531:E531"/>
    <mergeCell ref="C532:E532"/>
    <mergeCell ref="C533:E533"/>
    <mergeCell ref="C534:E534"/>
    <mergeCell ref="C535:E535"/>
    <mergeCell ref="C536:E536"/>
    <mergeCell ref="C525:E525"/>
    <mergeCell ref="C526:E526"/>
    <mergeCell ref="C527:E527"/>
    <mergeCell ref="C528:E528"/>
    <mergeCell ref="C529:E529"/>
    <mergeCell ref="C530:E530"/>
    <mergeCell ref="C519:E519"/>
    <mergeCell ref="C520:E520"/>
    <mergeCell ref="C521:E521"/>
    <mergeCell ref="C522:E522"/>
    <mergeCell ref="C523:E523"/>
    <mergeCell ref="C524:E524"/>
    <mergeCell ref="C513:E513"/>
    <mergeCell ref="C514:E514"/>
    <mergeCell ref="C515:E515"/>
    <mergeCell ref="C516:E516"/>
    <mergeCell ref="C517:E517"/>
    <mergeCell ref="C518:E518"/>
    <mergeCell ref="C507:E507"/>
    <mergeCell ref="C508:E508"/>
    <mergeCell ref="C509:E509"/>
    <mergeCell ref="C510:E510"/>
    <mergeCell ref="C511:E511"/>
    <mergeCell ref="C512:E512"/>
    <mergeCell ref="C501:E501"/>
    <mergeCell ref="C502:E502"/>
    <mergeCell ref="C503:E503"/>
    <mergeCell ref="C504:E504"/>
    <mergeCell ref="C505:E505"/>
    <mergeCell ref="C506:E506"/>
    <mergeCell ref="C495:E495"/>
    <mergeCell ref="C496:E496"/>
    <mergeCell ref="C497:E497"/>
    <mergeCell ref="C498:E498"/>
    <mergeCell ref="C499:E499"/>
    <mergeCell ref="C500:E500"/>
    <mergeCell ref="C489:E489"/>
    <mergeCell ref="C490:E490"/>
    <mergeCell ref="C491:E491"/>
    <mergeCell ref="C492:E492"/>
    <mergeCell ref="C493:E493"/>
    <mergeCell ref="C494:E494"/>
    <mergeCell ref="C483:E483"/>
    <mergeCell ref="C484:E484"/>
    <mergeCell ref="C485:E485"/>
    <mergeCell ref="C486:E486"/>
    <mergeCell ref="C487:E487"/>
    <mergeCell ref="C488:E488"/>
    <mergeCell ref="C477:E477"/>
    <mergeCell ref="C478:E478"/>
    <mergeCell ref="C479:E479"/>
    <mergeCell ref="C480:E480"/>
    <mergeCell ref="C481:E481"/>
    <mergeCell ref="C482:E482"/>
    <mergeCell ref="C471:E471"/>
    <mergeCell ref="C472:E472"/>
    <mergeCell ref="C473:E473"/>
    <mergeCell ref="C474:E474"/>
    <mergeCell ref="C475:E475"/>
    <mergeCell ref="C476:E476"/>
    <mergeCell ref="C465:E465"/>
    <mergeCell ref="C466:E466"/>
    <mergeCell ref="C467:E467"/>
    <mergeCell ref="C468:E468"/>
    <mergeCell ref="C469:E469"/>
    <mergeCell ref="C470:E470"/>
    <mergeCell ref="C459:E459"/>
    <mergeCell ref="C460:E460"/>
    <mergeCell ref="C461:E461"/>
    <mergeCell ref="C462:E462"/>
    <mergeCell ref="C463:E463"/>
    <mergeCell ref="C464:E464"/>
    <mergeCell ref="C453:E453"/>
    <mergeCell ref="C454:E454"/>
    <mergeCell ref="C455:E455"/>
    <mergeCell ref="C456:E456"/>
    <mergeCell ref="C457:E457"/>
    <mergeCell ref="C458:E458"/>
    <mergeCell ref="C447:E447"/>
    <mergeCell ref="C448:E448"/>
    <mergeCell ref="C449:E449"/>
    <mergeCell ref="C450:E450"/>
    <mergeCell ref="C451:E451"/>
    <mergeCell ref="C452:E452"/>
    <mergeCell ref="C441:E441"/>
    <mergeCell ref="C442:E442"/>
    <mergeCell ref="C443:E443"/>
    <mergeCell ref="C444:E444"/>
    <mergeCell ref="C445:E445"/>
    <mergeCell ref="C446:E446"/>
    <mergeCell ref="C435:E435"/>
    <mergeCell ref="C436:E436"/>
    <mergeCell ref="C437:E437"/>
    <mergeCell ref="C438:E438"/>
    <mergeCell ref="C439:E439"/>
    <mergeCell ref="C440:E440"/>
    <mergeCell ref="C429:E429"/>
    <mergeCell ref="C430:E430"/>
    <mergeCell ref="C431:E431"/>
    <mergeCell ref="C432:E432"/>
    <mergeCell ref="C433:E433"/>
    <mergeCell ref="C434:E434"/>
    <mergeCell ref="C423:E423"/>
    <mergeCell ref="C424:E424"/>
    <mergeCell ref="C425:E425"/>
    <mergeCell ref="C426:E426"/>
    <mergeCell ref="C427:E427"/>
    <mergeCell ref="C428:E428"/>
    <mergeCell ref="C417:E417"/>
    <mergeCell ref="C418:E418"/>
    <mergeCell ref="C419:E419"/>
    <mergeCell ref="C420:E420"/>
    <mergeCell ref="C421:E421"/>
    <mergeCell ref="C422:E422"/>
    <mergeCell ref="C411:E411"/>
    <mergeCell ref="C412:E412"/>
    <mergeCell ref="C413:E413"/>
    <mergeCell ref="C414:E414"/>
    <mergeCell ref="C415:E415"/>
    <mergeCell ref="C416:E416"/>
    <mergeCell ref="C405:E405"/>
    <mergeCell ref="C406:E406"/>
    <mergeCell ref="C407:E407"/>
    <mergeCell ref="C408:E408"/>
    <mergeCell ref="C409:E409"/>
    <mergeCell ref="C410:E410"/>
    <mergeCell ref="C399:E399"/>
    <mergeCell ref="C400:E400"/>
    <mergeCell ref="C401:E401"/>
    <mergeCell ref="C402:E402"/>
    <mergeCell ref="C403:E403"/>
    <mergeCell ref="C404:E404"/>
    <mergeCell ref="C393:E393"/>
    <mergeCell ref="C394:E394"/>
    <mergeCell ref="C395:E395"/>
    <mergeCell ref="C396:E396"/>
    <mergeCell ref="C397:E397"/>
    <mergeCell ref="C398:E398"/>
    <mergeCell ref="C387:E387"/>
    <mergeCell ref="C388:E388"/>
    <mergeCell ref="C389:E389"/>
    <mergeCell ref="C390:E390"/>
    <mergeCell ref="C391:E391"/>
    <mergeCell ref="C392:E392"/>
    <mergeCell ref="C381:E381"/>
    <mergeCell ref="C382:E382"/>
    <mergeCell ref="C383:E383"/>
    <mergeCell ref="C384:E384"/>
    <mergeCell ref="C385:E385"/>
    <mergeCell ref="C386:E386"/>
    <mergeCell ref="C375:E375"/>
    <mergeCell ref="C376:E376"/>
    <mergeCell ref="C377:E377"/>
    <mergeCell ref="C378:E378"/>
    <mergeCell ref="C379:E379"/>
    <mergeCell ref="C380:E380"/>
    <mergeCell ref="C369:E369"/>
    <mergeCell ref="C370:E370"/>
    <mergeCell ref="C371:E371"/>
    <mergeCell ref="C372:E372"/>
    <mergeCell ref="C373:E373"/>
    <mergeCell ref="C374:E374"/>
    <mergeCell ref="C363:E363"/>
    <mergeCell ref="C364:E364"/>
    <mergeCell ref="C365:E365"/>
    <mergeCell ref="C366:E366"/>
    <mergeCell ref="C367:E367"/>
    <mergeCell ref="C368:E368"/>
    <mergeCell ref="C357:E357"/>
    <mergeCell ref="C358:E358"/>
    <mergeCell ref="C359:E359"/>
    <mergeCell ref="C360:E360"/>
    <mergeCell ref="C361:E361"/>
    <mergeCell ref="C362:E362"/>
    <mergeCell ref="C351:E351"/>
    <mergeCell ref="C352:E352"/>
    <mergeCell ref="C353:E353"/>
    <mergeCell ref="C354:E354"/>
    <mergeCell ref="C355:E355"/>
    <mergeCell ref="C356:E356"/>
    <mergeCell ref="C345:E345"/>
    <mergeCell ref="C346:E346"/>
    <mergeCell ref="C347:E347"/>
    <mergeCell ref="C348:E348"/>
    <mergeCell ref="C349:E349"/>
    <mergeCell ref="C350:E350"/>
    <mergeCell ref="C339:E339"/>
    <mergeCell ref="C340:E340"/>
    <mergeCell ref="C341:E341"/>
    <mergeCell ref="C342:E342"/>
    <mergeCell ref="C343:E343"/>
    <mergeCell ref="C344:E344"/>
    <mergeCell ref="C333:E333"/>
    <mergeCell ref="C334:E334"/>
    <mergeCell ref="C335:E335"/>
    <mergeCell ref="C336:E336"/>
    <mergeCell ref="C337:E337"/>
    <mergeCell ref="C338:E338"/>
    <mergeCell ref="C327:E327"/>
    <mergeCell ref="C328:E328"/>
    <mergeCell ref="C329:E329"/>
    <mergeCell ref="C330:E330"/>
    <mergeCell ref="C331:E331"/>
    <mergeCell ref="C332:E332"/>
    <mergeCell ref="C321:E321"/>
    <mergeCell ref="C322:E322"/>
    <mergeCell ref="C323:E323"/>
    <mergeCell ref="C324:E324"/>
    <mergeCell ref="C325:E325"/>
    <mergeCell ref="C326:E326"/>
    <mergeCell ref="C315:E315"/>
    <mergeCell ref="C316:E316"/>
    <mergeCell ref="C317:E317"/>
    <mergeCell ref="C318:E318"/>
    <mergeCell ref="C319:E319"/>
    <mergeCell ref="C320:E320"/>
    <mergeCell ref="C309:E309"/>
    <mergeCell ref="C310:E310"/>
    <mergeCell ref="C311:E311"/>
    <mergeCell ref="C312:E312"/>
    <mergeCell ref="C313:E313"/>
    <mergeCell ref="C314:E314"/>
    <mergeCell ref="C303:E303"/>
    <mergeCell ref="C304:E304"/>
    <mergeCell ref="C305:E305"/>
    <mergeCell ref="C306:E306"/>
    <mergeCell ref="C307:E307"/>
    <mergeCell ref="C308:E308"/>
    <mergeCell ref="C297:E297"/>
    <mergeCell ref="C298:E298"/>
    <mergeCell ref="C299:E299"/>
    <mergeCell ref="C300:E300"/>
    <mergeCell ref="C301:E301"/>
    <mergeCell ref="C302:E302"/>
    <mergeCell ref="C291:E291"/>
    <mergeCell ref="C292:E292"/>
    <mergeCell ref="C293:E293"/>
    <mergeCell ref="C294:E294"/>
    <mergeCell ref="C295:E295"/>
    <mergeCell ref="C296:E296"/>
    <mergeCell ref="C285:E285"/>
    <mergeCell ref="C286:E286"/>
    <mergeCell ref="C287:E287"/>
    <mergeCell ref="C288:E288"/>
    <mergeCell ref="C289:E289"/>
    <mergeCell ref="C290:E290"/>
    <mergeCell ref="C279:E279"/>
    <mergeCell ref="C280:E280"/>
    <mergeCell ref="C281:E281"/>
    <mergeCell ref="C282:E282"/>
    <mergeCell ref="C283:E283"/>
    <mergeCell ref="C284:E284"/>
    <mergeCell ref="C273:E273"/>
    <mergeCell ref="C274:E274"/>
    <mergeCell ref="C275:E275"/>
    <mergeCell ref="C276:E276"/>
    <mergeCell ref="C277:E277"/>
    <mergeCell ref="C278:E278"/>
    <mergeCell ref="C267:E267"/>
    <mergeCell ref="C268:E268"/>
    <mergeCell ref="C269:E269"/>
    <mergeCell ref="C270:E270"/>
    <mergeCell ref="C271:E271"/>
    <mergeCell ref="C272:E272"/>
    <mergeCell ref="C261:E261"/>
    <mergeCell ref="C262:E262"/>
    <mergeCell ref="C263:E263"/>
    <mergeCell ref="C264:E264"/>
    <mergeCell ref="C265:E265"/>
    <mergeCell ref="C266:E266"/>
    <mergeCell ref="C255:E255"/>
    <mergeCell ref="C256:E256"/>
    <mergeCell ref="C257:E257"/>
    <mergeCell ref="C258:E258"/>
    <mergeCell ref="C259:E259"/>
    <mergeCell ref="C260:E260"/>
    <mergeCell ref="C249:E249"/>
    <mergeCell ref="C250:E250"/>
    <mergeCell ref="C251:E251"/>
    <mergeCell ref="C252:E252"/>
    <mergeCell ref="C253:E253"/>
    <mergeCell ref="C254:E254"/>
    <mergeCell ref="C243:K243"/>
    <mergeCell ref="C244:E244"/>
    <mergeCell ref="C245:E245"/>
    <mergeCell ref="C246:E246"/>
    <mergeCell ref="C247:E247"/>
    <mergeCell ref="C248:E248"/>
    <mergeCell ref="C237:E237"/>
    <mergeCell ref="C238:E238"/>
    <mergeCell ref="C239:E239"/>
    <mergeCell ref="C240:E240"/>
    <mergeCell ref="C241:E241"/>
    <mergeCell ref="C242:E242"/>
    <mergeCell ref="C231:E231"/>
    <mergeCell ref="C232:E232"/>
    <mergeCell ref="C233:E233"/>
    <mergeCell ref="C234:E234"/>
    <mergeCell ref="C235:E235"/>
    <mergeCell ref="C236:E236"/>
    <mergeCell ref="C225:E225"/>
    <mergeCell ref="C226:E226"/>
    <mergeCell ref="C227:E227"/>
    <mergeCell ref="C228:E228"/>
    <mergeCell ref="C229:E229"/>
    <mergeCell ref="C230:E230"/>
    <mergeCell ref="C219:E219"/>
    <mergeCell ref="C220:E220"/>
    <mergeCell ref="C221:E221"/>
    <mergeCell ref="C222:E222"/>
    <mergeCell ref="C223:E223"/>
    <mergeCell ref="C224:E224"/>
    <mergeCell ref="C213:E213"/>
    <mergeCell ref="C214:E214"/>
    <mergeCell ref="C215:E215"/>
    <mergeCell ref="C216:E216"/>
    <mergeCell ref="C217:E217"/>
    <mergeCell ref="C218:E218"/>
    <mergeCell ref="C207:E207"/>
    <mergeCell ref="C208:E208"/>
    <mergeCell ref="C209:E209"/>
    <mergeCell ref="C210:E210"/>
    <mergeCell ref="C211:E211"/>
    <mergeCell ref="C212:E212"/>
    <mergeCell ref="C201:E201"/>
    <mergeCell ref="C202:E202"/>
    <mergeCell ref="C203:E203"/>
    <mergeCell ref="C204:E204"/>
    <mergeCell ref="C205:E205"/>
    <mergeCell ref="C206:E206"/>
    <mergeCell ref="C195:E195"/>
    <mergeCell ref="C196:K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K9"/>
    <mergeCell ref="I4:K5"/>
    <mergeCell ref="A6:B7"/>
    <mergeCell ref="C6:C7"/>
    <mergeCell ref="D6:E7"/>
    <mergeCell ref="F6:G7"/>
    <mergeCell ref="H6:H7"/>
    <mergeCell ref="I6:K7"/>
    <mergeCell ref="A4:B5"/>
    <mergeCell ref="C4:C5"/>
    <mergeCell ref="D4:E5"/>
    <mergeCell ref="F4:G5"/>
    <mergeCell ref="A1:K1"/>
    <mergeCell ref="A2:B3"/>
    <mergeCell ref="C2:C3"/>
    <mergeCell ref="D2:E3"/>
    <mergeCell ref="F2:G3"/>
    <mergeCell ref="H2:H3"/>
    <mergeCell ref="I2:K3"/>
    <mergeCell ref="H4:H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2020-04-06T09:10:26Z</cp:lastPrinted>
  <dcterms:created xsi:type="dcterms:W3CDTF">2020-04-06T09:10:56Z</dcterms:created>
  <dcterms:modified xsi:type="dcterms:W3CDTF">2020-04-22T07:18:44Z</dcterms:modified>
  <cp:category/>
  <cp:version/>
  <cp:contentType/>
  <cp:contentStatus/>
</cp:coreProperties>
</file>