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70" windowHeight="10380" tabRatio="680" activeTab="2"/>
  </bookViews>
  <sheets>
    <sheet name="příloha 1" sheetId="1" r:id="rId1"/>
    <sheet name="Titl List" sheetId="2" r:id="rId2"/>
    <sheet name="toalety" sheetId="3" r:id="rId3"/>
  </sheets>
  <definedNames/>
  <calcPr fullCalcOnLoad="1"/>
</workbook>
</file>

<file path=xl/sharedStrings.xml><?xml version="1.0" encoding="utf-8"?>
<sst xmlns="http://schemas.openxmlformats.org/spreadsheetml/2006/main" count="1650" uniqueCount="1101">
  <si>
    <t>i) Náklady na úpravu dokumentace - zpracování skutečného stavu provedeného díla, není-li uvedeno jinak.</t>
  </si>
  <si>
    <t>j) Náklady na zhotovení a demontáž zařízení staveniště a veškerých výkonů sloužících pro zhotovení díla a pro provoz díla uživatelů dále nepotřebných.</t>
  </si>
  <si>
    <t>k) Náklady na úhradu specialistů pro provedení zkoušek, které jsou pro provoz díla potřebné.</t>
  </si>
  <si>
    <t xml:space="preserve">l) Náklady na ochranu proti poškození stávajících konstrukcí nedotčených výstavbou. </t>
  </si>
  <si>
    <t xml:space="preserve">m) Náklady na ochranu proti promočení, povětrnostním a přírodním podmínkám všech stávajících a nových konstrukcí. </t>
  </si>
  <si>
    <t xml:space="preserve">n) Náklady na bezpečnostní opatření, která vyplývají z předpisů o bezpečnosti práce při demontážích, bourání a nové výstavbě. </t>
  </si>
  <si>
    <t>o) Náklady na znečištění a poškození díla. Zhotovitel musí své výkony, zejméná lícní pohledové plochy, obklady, plochy stěn podlahy a jejich povrchy, okna, dveře, zařizovací předměty a všechny ostatní části již zabudované a pod., chránit před zněčištěním a poškozením až do přejímky díla.</t>
  </si>
  <si>
    <r>
      <t xml:space="preserve">1) </t>
    </r>
    <r>
      <rPr>
        <sz val="10"/>
        <rFont val="Arial CE"/>
        <family val="2"/>
      </rPr>
      <t>Jednotkové ceny uvedené v Soupise prací budou zahrnovat veškeré práce(montáže)a dodávky potřebné 
pro dokončení a předání díla objednateli do užívání bez vad a nedodělků. Nabízené jednotkové ceny jsou 
pevné ceny, platné až do přejímky ve smyslu obchodního práva. Práce a dodávky výše neuvedené a dodavatelem opodstatněné,uvede samostatně pod čarou(na samostatnou složku),kterou přiloží k nabídce. 
Na pozdější požadavky plynoucí z nejasností nebo omylu jsou vyloučena.Nedílnou součástí výkazu výměr 
je i projektová dokumentace. Dodávka - materiály a kvalifikovaná práce vyžaduje odevzdat dílo jako celek
tak, aby bylo schopno plnit řádně svoji funkci po dobu několika dalších desítek let.</t>
    </r>
  </si>
  <si>
    <r>
      <t xml:space="preserve">2) </t>
    </r>
    <r>
      <rPr>
        <sz val="10"/>
        <rFont val="Arial CE"/>
        <family val="2"/>
      </rPr>
      <t>Zhotovitel je povinen si před předáním nabídky překontrolovat Soupis prací a dodávek s výkazem výměr 
dle PD, prohlédnout, přezkoumat staveniště  a jeho okolí a obstarat si všechny nezbytné a přístupné 
informace, které mu umožní zpracovat nabídku úplně a jednoznačně. Musí se přitom mezi jiným podrobně informovat o možnostech dopravy a přístupových cest, o možnostech spojení, obstarávání a skladování materiálu a dalších jiných souvisejících okolností a případná zjištěná rizika ve své nabídce dostatečně 
zohlednit. Pozdější požadavky plynoucí z omylu nebo neznalosti poměrů na staveništi nebo neúplného jsou vyloučena.</t>
    </r>
  </si>
  <si>
    <r>
      <t>3)</t>
    </r>
    <r>
      <rPr>
        <sz val="10"/>
        <rFont val="Arial"/>
        <family val="0"/>
      </rPr>
      <t xml:space="preserve">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zhotovitell.</t>
    </r>
  </si>
  <si>
    <r>
      <t xml:space="preserve">4) </t>
    </r>
    <r>
      <rPr>
        <sz val="10"/>
        <rFont val="Arial"/>
        <family val="0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</si>
  <si>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r>
      <t>5)</t>
    </r>
    <r>
      <rPr>
        <sz val="10"/>
        <rFont val="Arial"/>
        <family val="0"/>
      </rPr>
      <t xml:space="preserve"> Jestliže se zdají být rozdílná pojetí ohledně druhu provedení při vypracování nabídky, je možná třeba před předáním nabídky vyžádat si vyjasnění se zadavatelem.</t>
    </r>
  </si>
  <si>
    <r>
      <t xml:space="preserve">6) </t>
    </r>
    <r>
      <rPr>
        <sz val="10"/>
        <rFont val="Arial"/>
        <family val="0"/>
      </rPr>
      <t>Zhotovitel prohlašuje, že všechny podmínky výběrového řízení ve všech jeho částech a přílohách zcela přečetl, přezkoumal a pochopil, a že uznává bez omezení, že pro něho jsou požadované výkony jasné a nerozporné, a že na základě své zkušenosti, technického a dispozičního personálu je schopen realizovat smluvní výkony bez závad, kompletně s funkční spolehlivostí, pohotově k použití respektivě provozuschopně podle uznávaných pravidel stavební techniky v daných lhůtách a termínech. Záruční lhůta činí zásadně minimálně 10(desel ) let.</t>
    </r>
  </si>
  <si>
    <r>
      <t>7)</t>
    </r>
    <r>
      <rPr>
        <sz val="10"/>
        <rFont val="Arial"/>
        <family val="0"/>
      </rPr>
      <t xml:space="preserve"> </t>
    </r>
    <r>
      <rPr>
        <sz val="10"/>
        <rFont val="Arial CE"/>
        <family val="2"/>
      </rPr>
      <t>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  </r>
  </si>
  <si>
    <r>
      <t xml:space="preserve">8) </t>
    </r>
    <r>
      <rPr>
        <sz val="10"/>
        <rFont val="Arial CE"/>
        <family val="2"/>
      </rPr>
      <t>Rozpory v Soupisu prací a dodávek samy o sobě nebo v prováděcích podkladech k tomu příslušejících, je nutno, jakmile jsou zhotoviteli díla známy, písemně je sdělit objednateli.</t>
    </r>
  </si>
  <si>
    <r>
      <t>9)</t>
    </r>
    <r>
      <rPr>
        <sz val="10"/>
        <rFont val="Arial"/>
        <family val="0"/>
      </rPr>
      <t xml:space="preserve">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  </r>
  </si>
  <si>
    <r>
      <t>10</t>
    </r>
    <r>
      <rPr>
        <sz val="10"/>
        <rFont val="Arial"/>
        <family val="0"/>
      </rPr>
      <t>) Nedílnou součástí Soupisu prací a dodávek je i projektová dokumentace. Soupis prací a dodávek je určen pro ocenění díla nikoliv náhrada dokumentace.</t>
    </r>
  </si>
  <si>
    <t>t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</si>
  <si>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</si>
  <si>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</si>
  <si>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</si>
  <si>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</si>
  <si>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</si>
  <si>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</si>
  <si>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</si>
  <si>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</si>
  <si>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</si>
  <si>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</si>
  <si>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</si>
  <si>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</si>
  <si>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stavební náklady  bez DPH 21%</t>
  </si>
  <si>
    <t>celkem</t>
  </si>
  <si>
    <t>p.č.</t>
  </si>
  <si>
    <t>popis prací a dodávek</t>
  </si>
  <si>
    <t>m.j.</t>
  </si>
  <si>
    <t xml:space="preserve">množství </t>
  </si>
  <si>
    <t>jednotková cena  Kč/m.j.</t>
  </si>
  <si>
    <t>celková cena  Kč</t>
  </si>
  <si>
    <t>příloha č. 1</t>
  </si>
  <si>
    <t>Všeobecné podmínky k Soupisu prací a dodávek</t>
  </si>
  <si>
    <t>Smluvní strany se budou řídit právním řádem České republiky</t>
  </si>
  <si>
    <t xml:space="preserve">Jednotkové ceny nabídky zahrnují zejména : </t>
  </si>
  <si>
    <t xml:space="preserve">a) Veškeré náklady pro zhotovení bezvadného funkčně způsobilého díla, které je předmětem smlouvy a bude schopno plnit řádně svoji funkci po dobu několika dalších desítek let. </t>
  </si>
  <si>
    <t xml:space="preserve">b) Náklady pro zajištění bezpečnosti práce, ochrany materiálů, součástí a dalších předmětů pro bezvadné realizované dílo. </t>
  </si>
  <si>
    <t xml:space="preserve">d)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</si>
  <si>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e)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</si>
  <si>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f) Náklady na ochranu a pojištění díla až do přejímky.</t>
  </si>
  <si>
    <t>h) Náklady na zhotovení výkresů, výpočtů a dalších výkonů potřebných pro detailní rozpracování projektů předaných zadavatelem, které jsou potřebné pro bezvadnou realizaci díla (dílenská a montážní dokumentace).</t>
  </si>
  <si>
    <t>1</t>
  </si>
  <si>
    <t>2</t>
  </si>
  <si>
    <t>3</t>
  </si>
  <si>
    <t>Kč</t>
  </si>
  <si>
    <t>na akci :</t>
  </si>
  <si>
    <t xml:space="preserve"> sestavil :</t>
  </si>
  <si>
    <r>
      <t xml:space="preserve">Ing. Josef Fuk </t>
    </r>
    <r>
      <rPr>
        <sz val="10"/>
        <rFont val="Arial CE"/>
        <family val="2"/>
      </rPr>
      <t>- SIPK (+420606643181)</t>
    </r>
  </si>
  <si>
    <t>V Podbabě 2516, 160 00 Praha 6-Dejvice</t>
  </si>
  <si>
    <t>Generální  projektant :</t>
  </si>
  <si>
    <t>Pro zpracování Soupisu prací a dodávek s výkazem výměr je použito níže uvedených podkladů :</t>
  </si>
  <si>
    <t>m2</t>
  </si>
  <si>
    <t>bm</t>
  </si>
  <si>
    <t>16</t>
  </si>
  <si>
    <t>17</t>
  </si>
  <si>
    <t>18</t>
  </si>
  <si>
    <t>DPH 21%</t>
  </si>
  <si>
    <t>místo stavby :</t>
  </si>
  <si>
    <t>Rekapitulace nákladů</t>
  </si>
  <si>
    <t>kód</t>
  </si>
  <si>
    <t>ing. Jaroslav Borovička</t>
  </si>
  <si>
    <t>kpl</t>
  </si>
  <si>
    <t>Vypracoval :</t>
  </si>
  <si>
    <t xml:space="preserve">kpl </t>
  </si>
  <si>
    <t>ks</t>
  </si>
  <si>
    <t>9 - Dokončující konstrukce a práce</t>
  </si>
  <si>
    <t>721 - Zdravotně technické instalace budov</t>
  </si>
  <si>
    <t>19</t>
  </si>
  <si>
    <t>20</t>
  </si>
  <si>
    <t>21</t>
  </si>
  <si>
    <t>22</t>
  </si>
  <si>
    <t>23</t>
  </si>
  <si>
    <t>25</t>
  </si>
  <si>
    <t>26</t>
  </si>
  <si>
    <t>68</t>
  </si>
  <si>
    <t>69</t>
  </si>
  <si>
    <t>70</t>
  </si>
  <si>
    <t>71</t>
  </si>
  <si>
    <t>94</t>
  </si>
  <si>
    <t>95</t>
  </si>
  <si>
    <t>96</t>
  </si>
  <si>
    <t>97</t>
  </si>
  <si>
    <t>99</t>
  </si>
  <si>
    <t>100</t>
  </si>
  <si>
    <t>ing Jan Macek</t>
  </si>
  <si>
    <r>
      <t>Věra Ulčová</t>
    </r>
    <r>
      <rPr>
        <sz val="10"/>
        <rFont val="Arial CE"/>
        <family val="2"/>
      </rPr>
      <t xml:space="preserve"> - SIMO (+420773518887)</t>
    </r>
  </si>
  <si>
    <t xml:space="preserve"> - Projektová dokumentace pro výběr dodavatele, která je jeho nedílnou součástí</t>
  </si>
  <si>
    <t xml:space="preserve">6 - Podlahové konstrukce </t>
  </si>
  <si>
    <r>
      <rPr>
        <b/>
        <sz val="9"/>
        <rFont val="Arial"/>
        <family val="2"/>
      </rPr>
      <t>Penetrace</t>
    </r>
    <r>
      <rPr>
        <sz val="9"/>
        <rFont val="Arial"/>
        <family val="2"/>
      </rPr>
      <t xml:space="preserve"> podkladu </t>
    </r>
  </si>
  <si>
    <r>
      <rPr>
        <b/>
        <sz val="9"/>
        <rFont val="Arial"/>
        <family val="2"/>
      </rPr>
      <t>Monáž</t>
    </r>
    <r>
      <rPr>
        <sz val="9"/>
        <rFont val="Arial"/>
        <family val="2"/>
      </rPr>
      <t xml:space="preserve">+demontáž - Lešení pomocné pro zatížení do 150kg/m2 o výšce lešenové podlahy do 3,50m </t>
    </r>
  </si>
  <si>
    <t>c) Náklady na přípomoce,pomocný a montážní materiál, lešení, přesuny hmot-není-li uvedeno jinak pro vnitřní i vnější dopravu, 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výšku, na zařízení staveniště, mimostaveništní dopravu,  naní-li stanoveno-uvedeno jinak.</t>
  </si>
  <si>
    <t>g) Náklady na poskytnutí odborného dohledu tj. odpovědného stavbyvedoucího a vedoucího šéfmontéra.</t>
  </si>
  <si>
    <t>Středočeský kraj, Krajský úřad, 
Zborovská 81/11. Praha 5, 150 21</t>
  </si>
  <si>
    <t>investor, stavebník :</t>
  </si>
  <si>
    <t>elektro</t>
  </si>
  <si>
    <t>voda SV + TUV</t>
  </si>
  <si>
    <t>3b</t>
  </si>
  <si>
    <t>1a</t>
  </si>
  <si>
    <t>1c</t>
  </si>
  <si>
    <t>Demontáž pisoárů</t>
  </si>
  <si>
    <t>Demontáž umyvadel</t>
  </si>
  <si>
    <t>Demontáž sprchové vaničky</t>
  </si>
  <si>
    <t>Demontáž klosetů splachovacích s nádržkou</t>
  </si>
  <si>
    <t>sbr</t>
  </si>
  <si>
    <t>Demontáž dřezu na konzolách</t>
  </si>
  <si>
    <t>Demontáž výlevek diturvitových</t>
  </si>
  <si>
    <t>D5</t>
  </si>
  <si>
    <t>D6</t>
  </si>
  <si>
    <t>D7</t>
  </si>
  <si>
    <t>D8</t>
  </si>
  <si>
    <t>D9</t>
  </si>
  <si>
    <t xml:space="preserve">ks </t>
  </si>
  <si>
    <t>9-Přípravné práce + demontáže konstrukcí</t>
  </si>
  <si>
    <t>Vysekání kanalizačního potrubí DN do 200mm</t>
  </si>
  <si>
    <t>Nové konstrukce</t>
  </si>
  <si>
    <t>výměra viz odd. 9 / odsekání stávajících obkladů</t>
  </si>
  <si>
    <t xml:space="preserve">Demontáž  zařizovacích předmětů </t>
  </si>
  <si>
    <r>
      <t xml:space="preserve">Napájecí zdroj až pro 8 zařízení - pisoárů
Kompletní provedení </t>
    </r>
    <r>
      <rPr>
        <sz val="9"/>
        <rFont val="Arial"/>
        <family val="2"/>
      </rPr>
      <t>včetně montážního a pomocného materiálu</t>
    </r>
  </si>
  <si>
    <r>
      <rPr>
        <b/>
        <sz val="9"/>
        <rFont val="Arial"/>
        <family val="2"/>
      </rPr>
      <t>Sušič rukou</t>
    </r>
    <r>
      <rPr>
        <sz val="9"/>
        <rFont val="Arial"/>
        <family val="2"/>
      </rPr>
      <t xml:space="preserve">, vel. Š. 265 x v. 270 x hl. 196mm, výkon 2200W, 425000120, Bezdotykové spínání pomocí infračerveného čidla
Plastový kryt
Elektrické připojení pomocí kabelu se zástrčkou
Barevné provedení: Bílá
Elektrické připojení: 230 V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</si>
  <si>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>Zásobník skládaných ručníků</t>
    </r>
    <r>
      <rPr>
        <sz val="9"/>
        <rFont val="Arial"/>
        <family val="2"/>
      </rPr>
      <t xml:space="preserve"> , stříbrný s logem, vel. v 345 mm x h 112 mm x š 306 mm stříbrný plast, 603250, transparentní záda a bok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</si>
  <si>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 xml:space="preserve">Dávkovač tekutého mýdla </t>
    </r>
    <r>
      <rPr>
        <sz val="9"/>
        <rFont val="Arial"/>
        <family val="2"/>
      </rPr>
      <t xml:space="preserve">- dolévací, 1 L, stříbrný s logem, 601250, vel.  v 232 mm x š 114 mm x h 124 mm, transparentní bok, 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</si>
  <si>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 xml:space="preserve">Zásuvka jednonásobná s ochranným kolíkem </t>
    </r>
    <r>
      <rPr>
        <sz val="9"/>
        <rFont val="Arial"/>
        <family val="2"/>
      </rPr>
      <t xml:space="preserve">kouřová šedá 5518A-A2349 S2, vel. š.70,8 mm,dl. 70,8 mm, v. 37,3 mm, hmotnost: 68,25 g, 16 A, 250 V AC, upevnění šrouby, šroubové svorky (pro vodiče 1,5-2,5 mm²)
</t>
    </r>
    <r>
      <rPr>
        <b/>
        <sz val="9"/>
        <rFont val="Arial"/>
        <family val="2"/>
      </rPr>
      <t xml:space="preserve">Kompletní provedení </t>
    </r>
    <r>
      <rPr>
        <sz val="9"/>
        <rFont val="Arial"/>
        <family val="2"/>
      </rPr>
      <t>včetně montážního a pomocného materiálu</t>
    </r>
  </si>
  <si>
    <r>
      <rPr>
        <b/>
        <sz val="9"/>
        <rFont val="Arial"/>
        <family val="2"/>
      </rPr>
      <t>Závěsné svítidlo</t>
    </r>
    <r>
      <rPr>
        <sz val="9"/>
        <rFont val="Arial"/>
        <family val="2"/>
      </rPr>
      <t xml:space="preserve">, kombinace chromovaného kovu a bílého skla, zavěšení na tři lanka, vhodné do všech druhů interiérů. specifikace: 1 x 60W  E27  230V, průměr stínidla: 30 cm, výška: 120 cm, provedení: chromovaný kov, bílé sklo + žárovka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</si>
  <si>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>Zásobník toaletního papíru</t>
    </r>
    <r>
      <rPr>
        <sz val="9"/>
        <rFont val="Arial"/>
        <family val="2"/>
      </rPr>
      <t xml:space="preserve"> - nerez satén, pr. 26,5cm, AE25000
Výběr dle investora a architekta stavby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</si>
  <si>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>WC štětka válcová</t>
    </r>
    <r>
      <rPr>
        <sz val="9"/>
        <rFont val="Arial"/>
        <family val="2"/>
      </rPr>
      <t xml:space="preserve"> na postavení i zavěšení na stěnu, chrom 102313066, tato série nabízí volbu tradičního spoje nebo snadné a rychlé lepení, hmotnost  0,98 kg, vel. v. 390mm, průměr cca 90mm
Výběr dle investora a architekta stavby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</si>
  <si>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 xml:space="preserve">Odpadkový koš kulatý 3 l </t>
    </r>
    <r>
      <rPr>
        <sz val="9"/>
        <rFont val="Arial"/>
        <family val="2"/>
      </rPr>
      <t>chrom,  6162, víko ovládané pedálem, plastová vyjímatelná vložka, provedení chrom, rozměry: výška 265 mm x šířka 165 mm
Výběr dle investora a architekta stavby</t>
    </r>
  </si>
  <si>
    <r>
      <rPr>
        <b/>
        <sz val="9"/>
        <rFont val="Arial"/>
        <family val="2"/>
      </rPr>
      <t>Odpadkový koš na papírové ručníky</t>
    </r>
    <r>
      <rPr>
        <sz val="9"/>
        <rFont val="Arial"/>
        <family val="2"/>
      </rPr>
      <t xml:space="preserve"> nerez, satén, 900771, montáž na zeď, vel. cca š. 370 x hl. 191 x v. 485mm, výběr dle investora a architekta stavby</t>
    </r>
  </si>
  <si>
    <r>
      <t>Kovový zásobník hygienických sáčků</t>
    </r>
    <r>
      <rPr>
        <sz val="9"/>
        <rFont val="Arial"/>
        <family val="2"/>
      </rPr>
      <t>, nerez matný, 103069, malé rozměry, výměnné náplně obsahují 25 ks hygienických sáčků, uzamykatelný na klíč, hmotnost: 0,36 kg, materiál: kov, barva: nerez matný, vel. v. 170 x š. 95 x hl. 24mm, výběr dle investora a architekta stavby</t>
    </r>
  </si>
  <si>
    <t>Jednotková cena obsahuje kompletní provedení včetně materiálu,montážního a pomocného materiálu= dodávka- repase, montáž, kování, povrchová úprava, montážní i podružný materiál, mimostaveništní doprava-dílna a zpět</t>
  </si>
  <si>
    <t>Výměry - pro podklad pod podlahové keramické dlaždice</t>
  </si>
  <si>
    <r>
      <rPr>
        <b/>
        <sz val="9"/>
        <rFont val="Arial"/>
        <family val="2"/>
      </rPr>
      <t xml:space="preserve"> Keramická dlažba</t>
    </r>
    <r>
      <rPr>
        <sz val="9"/>
        <rFont val="Arial"/>
        <family val="2"/>
      </rPr>
      <t xml:space="preserve">-Dodávka - tmavě šedá 60x60cm, matná, rektifikovaná, slinutá, mrazuvzdorná, jemný, matný reliéf připomíná udusanou hlínu, dar63642.+ spárovací hmota vodě odolná, při dodávce odolnost proti otěru PEI 4, </t>
    </r>
  </si>
  <si>
    <t xml:space="preserve"> 771 - Keramická dlažba </t>
  </si>
  <si>
    <r>
      <rPr>
        <b/>
        <sz val="9"/>
        <rFont val="Arial"/>
        <family val="2"/>
      </rPr>
      <t>Stavebn</t>
    </r>
    <r>
      <rPr>
        <sz val="9"/>
        <rFont val="Arial"/>
        <family val="2"/>
      </rPr>
      <t xml:space="preserve">í přípomoce pro rozvody vody,kanalizace, osazení umyvadel, baterii,  WC mís, pisoárů </t>
    </r>
  </si>
  <si>
    <r>
      <rPr>
        <b/>
        <sz val="9"/>
        <rFont val="Arial"/>
        <family val="2"/>
      </rPr>
      <t>Stavební</t>
    </r>
    <r>
      <rPr>
        <sz val="9"/>
        <rFont val="Arial"/>
        <family val="2"/>
      </rPr>
      <t xml:space="preserve"> přípomoce pro rozvody elektro a UT </t>
    </r>
  </si>
  <si>
    <t>781 - Keramické obklady</t>
  </si>
  <si>
    <t xml:space="preserve">Přesun hmot </t>
  </si>
  <si>
    <t>763 - Konstrukce suché výstavby - Sádrokartonové</t>
  </si>
  <si>
    <t>722 -  Vnitřní vodovod</t>
  </si>
  <si>
    <r>
      <t xml:space="preserve">náklady celkem </t>
    </r>
    <r>
      <rPr>
        <sz val="10"/>
        <rFont val="Arial"/>
        <family val="2"/>
      </rPr>
      <t>včetně</t>
    </r>
    <r>
      <rPr>
        <b/>
        <sz val="10"/>
        <rFont val="Arial"/>
        <family val="2"/>
      </rPr>
      <t xml:space="preserve"> DPH 21%</t>
    </r>
  </si>
  <si>
    <r>
      <rPr>
        <b/>
        <sz val="9"/>
        <rFont val="Arial"/>
        <family val="2"/>
      </rPr>
      <t>Vyrovnávac</t>
    </r>
    <r>
      <rPr>
        <sz val="9"/>
        <rFont val="Arial"/>
        <family val="2"/>
      </rPr>
      <t xml:space="preserve">í vrstva- samonivelační stěrka 30MPa, do  tl.6mm </t>
    </r>
  </si>
  <si>
    <r>
      <rPr>
        <b/>
        <sz val="9"/>
        <rFont val="Arial"/>
        <family val="2"/>
      </rPr>
      <t>Dodávka</t>
    </r>
    <r>
      <rPr>
        <sz val="9"/>
        <rFont val="Arial"/>
        <family val="2"/>
      </rPr>
      <t xml:space="preserve"> - Keramické obklady ,Obklad bílá 30x60cm, matná, rektifikovaná, wakv4104.1+ spárovací hmota vodě odolná.</t>
    </r>
  </si>
  <si>
    <t>Trubka plastová PPR - stabi, PH20</t>
  </si>
  <si>
    <t>Trubka D 20 x 2,8</t>
  </si>
  <si>
    <t>Trubka D 25 x 3,5</t>
  </si>
  <si>
    <t>Trubka D 32 x 4,5</t>
  </si>
  <si>
    <t>Trubka D 40 x 5,5</t>
  </si>
  <si>
    <t>Kohout rohový RK DN 15 s připojovací trubičkou</t>
  </si>
  <si>
    <t>725 - Zařizovací předměty</t>
  </si>
  <si>
    <t>Baterie jednopáková dřezová</t>
  </si>
  <si>
    <t>Baterie nástěnná vanová (pro výlevky)</t>
  </si>
  <si>
    <r>
      <rPr>
        <b/>
        <sz val="8"/>
        <rFont val="Arial"/>
        <family val="2"/>
      </rPr>
      <t>Páková umyvadlová baterie</t>
    </r>
    <r>
      <rPr>
        <sz val="8"/>
        <rFont val="Arial"/>
        <family val="2"/>
      </rPr>
      <t xml:space="preserve"> DN 15,  velikost S, chrom 32612002, hmotnost 1,84kg,  keramická kartuše, jednootvorová montáž, kovová páka, technologie kartuše 
pro hladkou manipulaci, variabilně nastavitelný omezovač průtoku, s omezovačem teploty, instalační systém s centrovací podporou, perlátor, odstranění vodního kamene přetřením, odtoková souprava DN 32, flexi připojovací 
hadičky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</si>
  <si>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Závěsný klozet</t>
    </r>
    <r>
      <rPr>
        <sz val="8"/>
        <rFont val="Arial"/>
        <family val="2"/>
      </rPr>
      <t xml:space="preserve"> s hlubokým splachováním, vel. šířka360xhl. 530xvýška 430 mm, sanitární keramika bílá,  H8209610000001, hmotnost 26kg
</t>
    </r>
    <r>
      <rPr>
        <b/>
        <sz val="8"/>
        <rFont val="Arial"/>
        <family val="2"/>
      </rPr>
      <t>WC sedátko s poklopem</t>
    </r>
    <r>
      <rPr>
        <sz val="8"/>
        <rFont val="Arial"/>
        <family val="2"/>
      </rPr>
      <t xml:space="preserve">, odnímatelné, se zpomalovacím sklápěcím systémem, duroplast, bílá H8919610000001, vel. š. 445x hl.365x v.35mm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</si>
  <si>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Nádržka pro závěsné WC,</t>
    </r>
    <r>
      <rPr>
        <sz val="8"/>
        <rFont val="Arial"/>
        <family val="2"/>
      </rPr>
      <t xml:space="preserve">  montážní prvek určený pro instalaci s mokrými procesy do masivních zděných konstrukcí, originální podomítková splachovací nádržka zaručuje rychlou a snadnou montáž, vysokou spolehlivost a jednoduchý servis. nosnost: 400 kg
Dodávka včetně:
Přívod vody R 1/2" s integrovaným rohovým ventilem a ručním ovládacím kolečkem, Splachovací koleno,  Ochranná zátka,  Kryt pro hrubou montáž pro servisní otvor,  Souprava pro připojení WC, ř 90 mm,  Odpadní koleno pro WC, PE-HD, ř 90 mm,  Přechodka, PE-HD, ř 90/110 mm,  2 závitové tyče M12 pro upevnění keramiky, Trubková chránička pro přívod vody, Výplňový díl,  Souprava pro tlumení hluku,  Upevňovací materiál
</t>
    </r>
    <r>
      <rPr>
        <b/>
        <sz val="8"/>
        <rFont val="Arial"/>
        <family val="2"/>
      </rPr>
      <t>Ovládací tlačítko</t>
    </r>
    <r>
      <rPr>
        <sz val="8"/>
        <rFont val="Arial"/>
        <family val="2"/>
      </rPr>
      <t xml:space="preserve">, pro 2 množství splachování,
k ovládání splachování u splachovacích nádržek pod omítku, ovládání zepředu, podrobnosti dle výběru investora a architekta stavby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</si>
  <si>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Pisoár keramický bílý</t>
    </r>
    <r>
      <rPr>
        <sz val="8"/>
        <rFont val="Arial"/>
        <family val="2"/>
      </rPr>
      <t xml:space="preserve"> s automatickým inteligentním (IQ) splachovačem,, Elektronika snímá a vyhodnocuje procesy v sifonu, na základě čehož dá pokyn ke spláchnutí. Ke spláchnutí stačí pouze jeden litr vody. Pokud dojde k přiblížení k pisoáru bez jeho následného použití, řídicí elektronika nereaguje. Tím se zabrání zbytečnému splachování při náhodném a krátkodobém vstupu (průchod kolem pisoáru apod.). Po 24 hodinách klidu pisoár automaticky spláchne. Konstrukční řešení splachovače umožňuje jednoduchou montáž, která sestává z pouhého připojení a zavěšení keramiky na stěnu. Vzhledem k uložení všech prvků v keramice je splachovač chráněn před mechanickým poškozením, a to i úmyslným. Pisoár neobsahuje žádné optické prvky a odstraňuje tedy nevýhody senzorové technologie, jako je zašpinění nebo poškození snímacích diod a jejich zhoršená citlivost na tmavé barvy, aup 5-II, Dodávka včetně: keramický pisoár, elektronika se snímačem, elektromagnetický ventil, rohový ventil s filtrem, samonasávací sifon, připojovací hadice s oplachovou přípojkou, instalační šrouby s krytkami – 2 kusy
</t>
    </r>
    <r>
      <rPr>
        <b/>
        <sz val="8"/>
        <rFont val="Arial"/>
        <family val="2"/>
      </rPr>
      <t xml:space="preserve">Kompletní provedení </t>
    </r>
    <r>
      <rPr>
        <sz val="8"/>
        <rFont val="Arial"/>
        <family val="2"/>
      </rPr>
      <t>včetně montážního a pomocného materiálu</t>
    </r>
  </si>
  <si>
    <t>Potrubí vnitřní kanalizační PP+HT systém tlumící zvuk</t>
  </si>
  <si>
    <t xml:space="preserve">Přesun hmot  </t>
  </si>
  <si>
    <r>
      <t xml:space="preserve">721 - Vnitřní kanalizace </t>
    </r>
    <r>
      <rPr>
        <sz val="9"/>
        <rFont val="Arial"/>
        <family val="2"/>
      </rPr>
      <t xml:space="preserve">včetně montážního a </t>
    </r>
  </si>
  <si>
    <t xml:space="preserve">Dodáv.+Mont.
</t>
  </si>
  <si>
    <r>
      <t>Nástěnné svítidlo,</t>
    </r>
    <r>
      <rPr>
        <sz val="9"/>
        <rFont val="Arial"/>
        <family val="2"/>
      </rPr>
      <t xml:space="preserve"> čistý design a vysoká kvalita, 
matný bílý lakovaný kov, vhodné k osvětlení chodby, haly, schodiště nebo koupelny, 71135, včetně
 žárovky: 1x max. 100 watt halogenová R7S 230V, 
vel. v.10 cm x š. 18 cm x hl.6,5 cm, nástěnná deska: 
10 cm x 17 cm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</si>
  <si>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 xml:space="preserve">Vypínač; </t>
    </r>
    <r>
      <rPr>
        <sz val="9"/>
        <rFont val="Arial"/>
        <family val="2"/>
      </rPr>
      <t xml:space="preserve">kryt spínače jednoduchý kouřová šedá 
3558A-A651 S2,vel. š. 65,3 mm,dl. 65 mm, v. 26 mm, hmotnost: 26,46 g, kryt spínače se dodává s 
přídržnou deskou pro upevnění k přístroji spínače+rámeček jednonásobný+ přístroj spínače jednopólového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</si>
  <si>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t xml:space="preserve">Kč </t>
  </si>
  <si>
    <r>
      <t>Umyvadlo keramické bílé vel. 60x46,5x9,5cm</t>
    </r>
    <r>
      <rPr>
        <sz val="9"/>
        <rFont val="Arial"/>
        <family val="2"/>
      </rPr>
      <t xml:space="preserve">, s </t>
    </r>
    <r>
      <rPr>
        <sz val="8"/>
        <rFont val="Arial"/>
        <family val="2"/>
      </rPr>
      <t xml:space="preserve">otvorem na baterii uprostřed, s oblým designem, hmotnost 17kg, 1696.3.000.104.1
</t>
    </r>
    <r>
      <rPr>
        <b/>
        <sz val="8"/>
        <rFont val="Arial"/>
        <family val="2"/>
      </rPr>
      <t>Sifon umyvadlový</t>
    </r>
    <r>
      <rPr>
        <sz val="8"/>
        <rFont val="Arial"/>
        <family val="2"/>
      </rPr>
      <t xml:space="preserve">,  vtok 5/4 CR, chrom, hmotnost 0,74kg, sifm + manžeta
</t>
    </r>
    <r>
      <rPr>
        <b/>
        <sz val="8"/>
        <rFont val="Arial"/>
        <family val="2"/>
      </rPr>
      <t>Vtok um. 5/4</t>
    </r>
    <r>
      <rPr>
        <sz val="8"/>
        <rFont val="Arial"/>
        <family val="2"/>
      </rPr>
      <t>, clic-clac celochrom, hmotnost 0,50kg, vf785cr, clic-clac má kulatý pochromovaný klobouk, který dokonale překryje vtok v umyvadle, klobouk lze odmontovat a vyčistit tak vtok od nečistot jako jsou například lidské vlasy</t>
    </r>
    <r>
      <rPr>
        <b/>
        <sz val="8"/>
        <rFont val="Arial"/>
        <family val="2"/>
      </rPr>
      <t xml:space="preserve">
Montážní sada na uchycení umyvadla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Set pro mokré vrtání</t>
    </r>
    <r>
      <rPr>
        <sz val="8"/>
        <rFont val="Arial"/>
        <family val="2"/>
      </rPr>
      <t xml:space="preserve"> složený z diamantového vrtáku a adaptéru, který zajišťuje optimální chlazení a přesné vedení vrtáku.
</t>
    </r>
    <r>
      <rPr>
        <b/>
        <sz val="8"/>
        <rFont val="Arial"/>
        <family val="2"/>
      </rPr>
      <t xml:space="preserve">Zvukoizolační vložka k umyvadlu - </t>
    </r>
    <r>
      <rPr>
        <sz val="8"/>
        <rFont val="Arial"/>
        <family val="2"/>
      </rPr>
      <t xml:space="preserve">vložka z měkké hmoty, která se dává mezi umyvadlo a zeď. Zabraňuje prasknutí obkladů při dotažení umyvadla ke zdi
</t>
    </r>
    <r>
      <rPr>
        <b/>
        <sz val="8"/>
        <rFont val="Arial"/>
        <family val="2"/>
      </rPr>
      <t xml:space="preserve">Kompletní provedení </t>
    </r>
    <r>
      <rPr>
        <sz val="8"/>
        <rFont val="Arial"/>
        <family val="2"/>
      </rPr>
      <t>včetně montážního a pomocného materiálu</t>
    </r>
  </si>
  <si>
    <r>
      <rPr>
        <b/>
        <sz val="8"/>
        <rFont val="Arial"/>
        <family val="2"/>
      </rPr>
      <t>Předstěnový</t>
    </r>
    <r>
      <rPr>
        <sz val="8"/>
        <rFont val="Arial"/>
        <family val="2"/>
      </rPr>
      <t xml:space="preserve"> instalační systém do kombinovaných stěn   </t>
    </r>
  </si>
  <si>
    <r>
      <rPr>
        <b/>
        <sz val="9"/>
        <rFont val="Arial"/>
        <family val="2"/>
      </rPr>
      <t>Dřez</t>
    </r>
    <r>
      <rPr>
        <sz val="9"/>
        <rFont val="Arial"/>
        <family val="2"/>
      </rPr>
      <t xml:space="preserve"> nerezový včetně spodní kuch. skříňky</t>
    </r>
  </si>
  <si>
    <r>
      <rPr>
        <b/>
        <sz val="9"/>
        <rFont val="Arial"/>
        <family val="2"/>
      </rPr>
      <t>Výlevka</t>
    </r>
    <r>
      <rPr>
        <sz val="9"/>
        <rFont val="Arial"/>
        <family val="2"/>
      </rPr>
      <t xml:space="preserve"> ocelová</t>
    </r>
  </si>
  <si>
    <t>9 - Přípravné práce + demontáže konstrukcí</t>
  </si>
  <si>
    <t>6 - Vnitřní úpravy povrchů</t>
  </si>
  <si>
    <t>766 - Truhlářské konstrukce</t>
  </si>
  <si>
    <t>731 - Ústřední vytápění</t>
  </si>
  <si>
    <t>Nové a úprava připojovacího potrubí DN 15</t>
  </si>
  <si>
    <t>Termostatické hlavice včetně šroubení</t>
  </si>
  <si>
    <t>Přesun hmot</t>
  </si>
  <si>
    <r>
      <rPr>
        <b/>
        <sz val="9"/>
        <rFont val="Arial"/>
        <family val="2"/>
      </rPr>
      <t>Zrcadlo 600x900mm</t>
    </r>
    <r>
      <rPr>
        <sz val="9"/>
        <rFont val="Arial"/>
        <family val="2"/>
      </rPr>
      <t xml:space="preserve"> bez fazet, vsazené do obkladu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</si>
  <si>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t>Vyhláška 169/2016Sb.</t>
  </si>
  <si>
    <t xml:space="preserve"> - příloha č.1</t>
  </si>
  <si>
    <t>Elektroinstalace</t>
  </si>
  <si>
    <t>Interiérové prvky</t>
  </si>
  <si>
    <t>rýhy do hl 50mm a š. do 70mm. (pro vodu)</t>
  </si>
  <si>
    <t>Kulový kohout KK DN 20</t>
  </si>
  <si>
    <t xml:space="preserve">Kloset zavěšený samonosný  do zapuštěné stěny </t>
  </si>
  <si>
    <t>Pisoár  s automatickém inteligentním splachováním</t>
  </si>
  <si>
    <t>v. č. 2a až 11a ( podlaží 1.NP - 6.NP )</t>
  </si>
  <si>
    <r>
      <rPr>
        <b/>
        <sz val="9"/>
        <rFont val="Arial"/>
        <family val="2"/>
      </rPr>
      <t>Vypnutí</t>
    </r>
    <r>
      <rPr>
        <sz val="9"/>
        <rFont val="Arial"/>
        <family val="2"/>
      </rPr>
      <t xml:space="preserve"> a po dokončení prací opětovné zapnutí medii 
v místnostech dotčených stavbou pro elektro, 
voda SV  + TUV , vypustit a napustit systém ÚT ; 
(úpravy na  WC  viz dle v. č.  2a až 11a) </t>
    </r>
  </si>
  <si>
    <t>3,82*2</t>
  </si>
  <si>
    <t>4*2</t>
  </si>
  <si>
    <t>Sádrokartonový podhled kazetový, demontovatelný, velikost kazet 600x600mm + závěsná nosná 
konstrukce viditelná</t>
  </si>
  <si>
    <t xml:space="preserve">Přesun hmot pro obklady z dlaždic  </t>
  </si>
  <si>
    <t>Poznámka: Podrobnosti viz výkres č. .22a-24a</t>
  </si>
  <si>
    <t xml:space="preserve">Přesun hmot   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</si>
  <si>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levé do ocelových zárubní, L 600 x 1970 mm , budou, opáleny, vykytovány přebroušeny, kování - nová klika nerezová včetně štítku a wc západky, barva šedá,  zárubeň - stávající ocelová (barva bílá), barva nová šedá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</si>
  <si>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pravé prolamované, 
vel. P 700 x 2000 mm, dřevěné do dřevěných 
zárubní s prahem, budou repasovány, opáleny, vykytovány přebroušeny, natřeny v odstínu 
stávajících včetně  zárubní, 
kování stávající repasovat, barva dle stávajících, zárubeň stávající dřevěná s obložkou - barva dle stávajících</t>
    </r>
  </si>
  <si>
    <t>d+m</t>
  </si>
  <si>
    <r>
      <t xml:space="preserve">Ukončující a rohové lišty </t>
    </r>
    <r>
      <rPr>
        <sz val="9"/>
        <rFont val="Arial"/>
        <family val="2"/>
      </rPr>
      <t>jedná se nerezové lišty obloučkové</t>
    </r>
  </si>
  <si>
    <t>DVEŘE</t>
  </si>
  <si>
    <t xml:space="preserve">3 -Svislé konstrukce </t>
  </si>
  <si>
    <t>3 - Svislé konstrukce</t>
  </si>
  <si>
    <t>Bourací a demontážní práce pro ZTI a UT</t>
  </si>
  <si>
    <t>Vysekání výklenků ve zdivu cihelném pro  pisoáry</t>
  </si>
  <si>
    <t>pro dámské toalety+pánské toalety 
1NP až 6NP</t>
  </si>
  <si>
    <t>Demontáž stávajícího přívodního potrubí UT - DN 15 včetně odřezání konzol, držáků objímek, připojovacích armatur (výměra bude upřesněna dle skutečnosti)</t>
  </si>
  <si>
    <r>
      <rPr>
        <b/>
        <sz val="9"/>
        <rFont val="Arial"/>
        <family val="2"/>
      </rPr>
      <t>Odvoz</t>
    </r>
    <r>
      <rPr>
        <sz val="9"/>
        <rFont val="Arial"/>
        <family val="2"/>
      </rPr>
      <t xml:space="preserve"> suti a vybouraných hmot na skládku se složením na vzdálenost do 1km </t>
    </r>
  </si>
  <si>
    <r>
      <rPr>
        <b/>
        <sz val="9"/>
        <rFont val="Arial"/>
        <family val="2"/>
      </rPr>
      <t>Poplatek</t>
    </r>
    <r>
      <rPr>
        <sz val="9"/>
        <rFont val="Arial"/>
        <family val="2"/>
      </rPr>
      <t xml:space="preserve"> za uložení stavebního odpadu na skládce (skládkovné z keramického materiálu</t>
    </r>
  </si>
  <si>
    <t>rýhy do hl 70mm a š. do 70mm. (pro kanalizaci DN 50)</t>
  </si>
  <si>
    <t>rýhy do hl 100mm a š. do 100mm. (pro kanalizaci 70)</t>
  </si>
  <si>
    <t>rýhy do hl 150mm a š. do 150mm. (pro kanalizaci 100)</t>
  </si>
  <si>
    <t>Přivzdušňovací ventil DN100</t>
  </si>
  <si>
    <t>Trubka D 20 x 2,8 (připojovací potrubí)</t>
  </si>
  <si>
    <t>Stoupací vedení</t>
  </si>
  <si>
    <t>Izolace potrubí SV tl.10mm (připoj. potrubí + stoupací)</t>
  </si>
  <si>
    <r>
      <rPr>
        <b/>
        <sz val="9"/>
        <rFont val="Arial"/>
        <family val="2"/>
      </rPr>
      <t>Sprchový kout</t>
    </r>
    <r>
      <rPr>
        <sz val="9"/>
        <rFont val="Arial"/>
        <family val="2"/>
      </rPr>
      <t xml:space="preserve"> se sifónem a prosklenou zástěnou vel. 900/900mm</t>
    </r>
  </si>
  <si>
    <t>Baterie jednopáková nástěnná sprchová (výběr dle investora a architekta stavby)</t>
  </si>
  <si>
    <t>Montáž</t>
  </si>
  <si>
    <t>pro dámské toalety+pánské toalety 
1 NP až 5NP (připojovací potrubí)</t>
  </si>
  <si>
    <t>Očištění a nátěr stávajících deskových těles v.č.9b +10b</t>
  </si>
  <si>
    <t>Otopná tělesa, deskové radiátory ve standardu 
vel. 21/900/400 / PV 15, PS 15, včetně ; na přívodu- přímé radiátorové ventily DN 15+na zpátečce- uzavíratelné spojky DN 15 v.č9b + 12b</t>
  </si>
  <si>
    <t>Dtto, otopná tělesa avšak  vel. 22/600/600 v.č.11b + 13b</t>
  </si>
  <si>
    <t>Dtto, otopná tělesa avšak  vel. 22/900/800 v.č.11b + 12b</t>
  </si>
  <si>
    <t>Dtto, otopná tělesa avšak  vel. 33/600/1000 v.č.13b</t>
  </si>
  <si>
    <t>v.č. 9b / 1NP toalety</t>
  </si>
  <si>
    <t>v.č. 10b / 2NP bistro</t>
  </si>
  <si>
    <t>v.č. 11b / 3NP pánské toalety</t>
  </si>
  <si>
    <t>v.č. 12b / 4NP dámské toalety</t>
  </si>
  <si>
    <t>v.č. 13b / 5 NP pánské toalety</t>
  </si>
  <si>
    <t>v.č. 14b / 5NP dámské toalety</t>
  </si>
  <si>
    <t>v.č. 9b / 1NP toalety - kuchyňka</t>
  </si>
  <si>
    <t>STAVEBNÍ ÚPRAVY WC-ČÁST B</t>
  </si>
  <si>
    <t xml:space="preserve"> 1011b ;</t>
  </si>
  <si>
    <t>0,75*2+0,25*0,35+0,9*1,65+0,63*0,35+0,83*2+0,8*2+0,62*2</t>
  </si>
  <si>
    <t>1011c ;</t>
  </si>
  <si>
    <t>1011d ;</t>
  </si>
  <si>
    <t>1011e ;</t>
  </si>
  <si>
    <t>4,46*2</t>
  </si>
  <si>
    <t>3,92*2+0,84*2</t>
  </si>
  <si>
    <t>1029b ;</t>
  </si>
  <si>
    <t>1129a ;</t>
  </si>
  <si>
    <t>1129c ;</t>
  </si>
  <si>
    <t>(1,93+1,03+0,26)*2</t>
  </si>
  <si>
    <t>3,24*2</t>
  </si>
  <si>
    <t>pánské toalety 2110 č.v. 4b</t>
  </si>
  <si>
    <t>2110a</t>
  </si>
  <si>
    <t>2110b</t>
  </si>
  <si>
    <t>2110c</t>
  </si>
  <si>
    <t>2110d</t>
  </si>
  <si>
    <t>2110e</t>
  </si>
  <si>
    <t>1,1*2+0,2*0,35+0,64*1,65+0,2*0,35+0,22*2+3,15*2</t>
  </si>
  <si>
    <t>0,88*2+0,1*0,35+1,22*1,65+0,1*0,35+1,08*2+0,1*0,35+0,6*1,65+0,1*0,35+2,1*2+0,4*2+1,36*2+1,14*2</t>
  </si>
  <si>
    <t>3105a</t>
  </si>
  <si>
    <t>1,25*2+0,1*0,65+0,64*1,25+0,1*0,65+0,4*2+3,16*2</t>
  </si>
  <si>
    <t>3105b</t>
  </si>
  <si>
    <t>0,72*2+0,1*0,65+1,22*1,35+0,1*0,65+1,08*2+0,1*0,65+0,6*1,35+0,1*0,65+2,1*2+0,4*2+0,4*2+0,4*2+0,99*2</t>
  </si>
  <si>
    <t>3015c</t>
  </si>
  <si>
    <t>3015d</t>
  </si>
  <si>
    <t>3015e</t>
  </si>
  <si>
    <t>3015f</t>
  </si>
  <si>
    <t>3,44*2</t>
  </si>
  <si>
    <t>4107a</t>
  </si>
  <si>
    <t>1,06*2+0,2*1,25+0,64*1,25+0,2*1,25+0,33*2+2,79*2</t>
  </si>
  <si>
    <t>4107b</t>
  </si>
  <si>
    <t>1,,15*2+0,1*1,25+1,22*0,75+0,1*1,25+1,08*2+0,1*1,25+0,6*0,75+0,1*1,25+2,05*2+0,4*2+3,6*2</t>
  </si>
  <si>
    <t>4107c</t>
  </si>
  <si>
    <t>4,36*2</t>
  </si>
  <si>
    <t>3,3*2</t>
  </si>
  <si>
    <t>3,56*2</t>
  </si>
  <si>
    <t>3,57*2</t>
  </si>
  <si>
    <t>5,46*2</t>
  </si>
  <si>
    <t>3,73*2</t>
  </si>
  <si>
    <t>3,66*2</t>
  </si>
  <si>
    <t>3,54*2</t>
  </si>
  <si>
    <t>4107d</t>
  </si>
  <si>
    <t>4,28*2+0,66*2</t>
  </si>
  <si>
    <t>4108a</t>
  </si>
  <si>
    <t>4108b</t>
  </si>
  <si>
    <t>4,86*2</t>
  </si>
  <si>
    <t xml:space="preserve">v.č. 2b/ 1NP pánské toalety </t>
  </si>
  <si>
    <t xml:space="preserve"> m.č.1011a-1011e ; 
11,01m2 </t>
  </si>
  <si>
    <t>v.č. 3b / 2NP bistro</t>
  </si>
  <si>
    <t xml:space="preserve"> m.č. 1129a - 1129c ; 
3,57m2 </t>
  </si>
  <si>
    <t>v.č. 4b / 3NP pánské toalety</t>
  </si>
  <si>
    <t xml:space="preserve"> m.č. 2110a - 2110e
14,60m2 </t>
  </si>
  <si>
    <t xml:space="preserve"> m.č. 3105a-3105e; 
14,68m2 </t>
  </si>
  <si>
    <t>v.č. 6b / 5NP pánské toalety</t>
  </si>
  <si>
    <t>v.č. 5b / 4NP dámské toalety</t>
  </si>
  <si>
    <t xml:space="preserve"> m.č. 4107a-4107d
12,92m2 </t>
  </si>
  <si>
    <t>v.č. 7b / 5.NP dámské toalety</t>
  </si>
  <si>
    <t xml:space="preserve"> m.č. 4108a - 4108b; 
4,08m2 </t>
  </si>
  <si>
    <t>v.č. 2b / 1NP toalety</t>
  </si>
  <si>
    <t>č.v.9b / 1NP toalety</t>
  </si>
  <si>
    <t>č.v.10b/ 2NP bistro</t>
  </si>
  <si>
    <t>0,81*4</t>
  </si>
  <si>
    <t>č.v.11b /3NP pánské toalety</t>
  </si>
  <si>
    <t>0,9*4*2</t>
  </si>
  <si>
    <t>č.v.12b /4NP dámské toalety</t>
  </si>
  <si>
    <t>0,89*4+0,86*4+0,8*4</t>
  </si>
  <si>
    <t>č.v.13b /5NP pánské toalety</t>
  </si>
  <si>
    <t>,9*4+,99*4</t>
  </si>
  <si>
    <t>č.v.14b/5NP dámské toalety</t>
  </si>
  <si>
    <t>č.v.11b/3NP pánské toalety</t>
  </si>
  <si>
    <t>,2*1,5*2</t>
  </si>
  <si>
    <t>1,75*3</t>
  </si>
  <si>
    <t>,2*3*1+(1,93+0,46)*2,25</t>
  </si>
  <si>
    <t>761 - Konstrukce prosvětlovací</t>
  </si>
  <si>
    <t>6,94-0,7-0,6-0,6</t>
  </si>
  <si>
    <t>1011b</t>
  </si>
  <si>
    <t>5,12-0,6</t>
  </si>
  <si>
    <t>1011c</t>
  </si>
  <si>
    <t>4,62-0,6</t>
  </si>
  <si>
    <t>1011d</t>
  </si>
  <si>
    <t>6,24-0,6-0,6</t>
  </si>
  <si>
    <t>1011e</t>
  </si>
  <si>
    <t>č.v.2b / 1NP toalety</t>
  </si>
  <si>
    <t>1129a</t>
  </si>
  <si>
    <t>1129b</t>
  </si>
  <si>
    <t>1129c</t>
  </si>
  <si>
    <t>5,4-0,6</t>
  </si>
  <si>
    <t>4,1-0,6</t>
  </si>
  <si>
    <t>4,16-0,6</t>
  </si>
  <si>
    <t>v.č. 4b/ 3NP pánské toalety</t>
  </si>
  <si>
    <t>6,84-0,7-0,7</t>
  </si>
  <si>
    <t>11,46-3*0,6-0,7</t>
  </si>
  <si>
    <t>4,67-0,6</t>
  </si>
  <si>
    <t>4,96-0,6</t>
  </si>
  <si>
    <t>7,63-0,6</t>
  </si>
  <si>
    <t>v.č. 5b/ 4NP dámské toalety</t>
  </si>
  <si>
    <t>7,3-1,6</t>
  </si>
  <si>
    <t>3105c</t>
  </si>
  <si>
    <t>3105d</t>
  </si>
  <si>
    <t>3105e</t>
  </si>
  <si>
    <t>3105f</t>
  </si>
  <si>
    <t>10,84-4*0,6-0,8</t>
  </si>
  <si>
    <t>4,59-0,6</t>
  </si>
  <si>
    <t>4,515-0,6</t>
  </si>
  <si>
    <t>4,4-0,6</t>
  </si>
  <si>
    <t>v.č. 6b / 5 NP pánské toalety</t>
  </si>
  <si>
    <t>4,3-0,6</t>
  </si>
  <si>
    <t>6,68-0,8-0,7</t>
  </si>
  <si>
    <t>12,2-0,6-0,6</t>
  </si>
  <si>
    <t>5,115-0,6</t>
  </si>
  <si>
    <t>4,935-0,6</t>
  </si>
  <si>
    <t>v.č. 7b/ 5.NP dámské toalety</t>
  </si>
  <si>
    <t>6,54-0,6-0,7</t>
  </si>
  <si>
    <t>5,52-0,6</t>
  </si>
  <si>
    <t>"pro dámské toalety+pánské toalety 
1 NP až 5NP (připojovací potrubí)"
 výměra ; 20,5bm*0,07</t>
  </si>
  <si>
    <t>"pro dámské toalety+pánské toalety 
1 NP až 5NP  výměra ; 7,5bm*0,10</t>
  </si>
  <si>
    <t>"pro dámské toalety+pánské toalety 
1 NP až 6NP  výměra ; 12,5bm*0,15</t>
  </si>
  <si>
    <t>"pro dámské toalety+pánské toalety 
1 NP až5NP  / výměra ; (123)bm*0,05</t>
  </si>
  <si>
    <t>"pro dámské toalety+pánské toalety 
1 NP až 5NP /připojovací potrubí</t>
  </si>
  <si>
    <t>výměra: 10,82+3,42+14,34+14,31+12,52+3,91</t>
  </si>
  <si>
    <t>1011a-1011e 
12,37</t>
  </si>
  <si>
    <t xml:space="preserve"> m.č. 1129a - 1129c ; 
3,42m2</t>
  </si>
  <si>
    <t xml:space="preserve"> m.č. 2110a -2110e; 
14,34m2 </t>
  </si>
  <si>
    <t>v.č. 12b/4NP dámské toalety</t>
  </si>
  <si>
    <t xml:space="preserve"> m.č. 3105a - 3105e ; 
14,31m2 </t>
  </si>
  <si>
    <t xml:space="preserve"> m.č. 4107a-4107e ; 
12,52m2 </t>
  </si>
  <si>
    <t>v.č. 14b /5NP pánské toalety</t>
  </si>
  <si>
    <t xml:space="preserve"> m.č. 4108a - 4108b; 
3,91m2 </t>
  </si>
  <si>
    <t>výměra : 60m2+10% prořez</t>
  </si>
  <si>
    <t>v.č. 9b</t>
  </si>
  <si>
    <t>v.č. 10b</t>
  </si>
  <si>
    <t>v.č. 11b</t>
  </si>
  <si>
    <t>v.č. 12b</t>
  </si>
  <si>
    <t xml:space="preserve">v.č. 13b </t>
  </si>
  <si>
    <t>v.č. 14b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</si>
  <si>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levé prolamované, 
vel. L 700 x 2000 mm, dřevěné do dřevěných 
zárubní s prahem, budou repasovány, opáleny, vykytovány přebroušeny, natřeny v odstínu 
stávajících včetně  zárubní, 
kování stávající repasovat, barva dle stávajících, zárubeň stávající dřevěná s obložkou - barva dle stávajících</t>
    </r>
  </si>
  <si>
    <r>
      <rPr>
        <b/>
        <sz val="9"/>
        <rFont val="Arial"/>
        <family val="2"/>
      </rPr>
      <t xml:space="preserve">nové </t>
    </r>
    <r>
      <rPr>
        <sz val="9"/>
        <rFont val="Arial"/>
        <family val="2"/>
      </rPr>
      <t>dveře hladké dýhované, levé do nových ocelových zárubní, P 600 x 1970 mm,   včetně nového kování WC západkou, demontáž stávajících dveří včetně zárubně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</si>
  <si>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dýhované,pravé do ocelových zárubní, P 600 x 1970 mm,  budou, opáleny, vykytovány přebroušeny,kování - nová klika nerezová včetně štítku a wc západky, barva šedá,  zárubeň -  stávající ocelová (barva bílá), barva nová šedá.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</si>
  <si>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hladké dýhované, levé do ocelových zárubní, P 700 x 1970 mm,  kování - nová klika nerezová, barva šedá,  zárubeň - stávající ocelová (barva bílá), barva nová šedá. 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</si>
  <si>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pravé prolamované, 
vel. P 800 x 2000 mm, dřevěné do dřevěných 
zárubní s prahem, budou repasovány, opáleny, vykytovány přebroušeny, natřeny v odstínu 
stávajících včetně  zárubní, 
kování stávající repasovat, barva dle stávajících, zárubeň stávající dřevěná s obložkou - barva dle stávajících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</si>
  <si>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hladké dýhované, levé do ocelových zárubní, L 800 x 1970 mm,  kování - nová klika nerezová, barva šedá,  zárubeň - stávající ocelová (barva bílá), barva nová šedá. 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</si>
  <si>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hladké dýhované, pravé do ocelových zárubní, P 600 x 1970 mm,  kování - nová klika nerezová, barva šedá,  zárubeň - stávající ocelová (barva bílá), barva nová šedá. </t>
    </r>
  </si>
  <si>
    <r>
      <t xml:space="preserve">Štítky  </t>
    </r>
    <r>
      <rPr>
        <sz val="9"/>
        <rFont val="Arial"/>
        <family val="2"/>
      </rPr>
      <t>s označením ženy muži. Dveřní štítek s vlastním textem z dvouvrstvého plastu v bronzovém provedení o rozměru 150x80 mm o síle 1,6 mm</t>
    </r>
  </si>
  <si>
    <t>informační štítky</t>
  </si>
  <si>
    <t>Kpl</t>
  </si>
  <si>
    <r>
      <t xml:space="preserve">Kuchyňská linka: </t>
    </r>
    <r>
      <rPr>
        <sz val="10"/>
        <rFont val="Arial"/>
        <family val="2"/>
      </rPr>
      <t>deska se spodními a horními skříňkami o rozměrech hl.300mm výška 600 mm délka 990 mm se dvěmi vnitřními policemi jak v horní tak ve spodní skříňce, materiál: korpusy lamino LTD 18 mm, deska LTD 38 mm s hranou ABS tl.0,5mm. Kování nerez.</t>
    </r>
  </si>
  <si>
    <r>
      <rPr>
        <b/>
        <sz val="9"/>
        <rFont val="Arial"/>
        <family val="2"/>
      </rPr>
      <t>Háčky</t>
    </r>
    <r>
      <rPr>
        <sz val="9"/>
        <rFont val="Arial"/>
        <family val="2"/>
      </rPr>
      <t xml:space="preserve"> na stěnu materiál nerez kotvené na hmoždinku</t>
    </r>
  </si>
  <si>
    <t>č.v. 11b</t>
  </si>
  <si>
    <t>č.v. 13b</t>
  </si>
  <si>
    <t xml:space="preserve"> 1.NP dámské toalety</t>
  </si>
  <si>
    <t xml:space="preserve"> 3.NP pánské toalety</t>
  </si>
  <si>
    <t>4.NP dámské toalety</t>
  </si>
  <si>
    <t>5.NP dámské toalety</t>
  </si>
  <si>
    <t>okno ve stavebním otvoru 710/2300</t>
  </si>
  <si>
    <t>okno ve stavebním otvoru 1310/2300</t>
  </si>
  <si>
    <t xml:space="preserve">okno ve stavebním otvoru 685/1910 </t>
  </si>
  <si>
    <t>okno ve stavebním otvoru 1300/2250</t>
  </si>
  <si>
    <t xml:space="preserve">okno ve stavebním otvoru 1310/2300 </t>
  </si>
  <si>
    <t>OKNA</t>
  </si>
  <si>
    <r>
      <t xml:space="preserve">Klempířské práce oplechování parapetů: </t>
    </r>
    <r>
      <rPr>
        <sz val="9"/>
        <rFont val="Arial"/>
        <family val="2"/>
      </rPr>
      <t>materiál titanzinek tl. 0,7 mm, včetně úpravy poškozené fasády</t>
    </r>
  </si>
  <si>
    <t xml:space="preserve">Jedná se o zdvojená okna s tepelněizolačním dvojsklem typ EUROOKNO IV 78 lakované dle barevného odstínu jako stávající na vnitřním zasklení opatřit průsvitnou folii, se součinitelem tepelného prostupu okna Uw=1,2.  Materiál - smrkové napojované, o stavební hloubce min 78 mm, zasklené dvojsklem s teplým rámečkem bílé barvy  Ug=1.1., hliníková okapnice na rámových křídlech bílé barvy, všechna křídla s klikou s možností otevření i ventilace. U  nadsvětlíků budou vybavena pákovým otvíračem ve stejném rozsahu, jako okna stávající. Ozdobné členění na křídlech bude provedeno nalepovací dřevěnou příčkou 30 mm s duplexem.
</t>
  </si>
  <si>
    <r>
      <rPr>
        <b/>
        <sz val="9"/>
        <rFont val="Arial"/>
        <family val="2"/>
      </rPr>
      <t>Demontáž</t>
    </r>
    <r>
      <rPr>
        <sz val="9"/>
        <rFont val="Arial"/>
        <family val="2"/>
      </rPr>
      <t xml:space="preserve"> malé kuchyňské linky-spodní+horní skříňka</t>
    </r>
  </si>
  <si>
    <t>775111112/P</t>
  </si>
  <si>
    <t>968062355/R</t>
  </si>
  <si>
    <t>968062356/R</t>
  </si>
  <si>
    <r>
      <rPr>
        <b/>
        <sz val="9"/>
        <rFont val="Arial"/>
        <family val="2"/>
      </rPr>
      <t>Opatrné vysekání dřevěných</t>
    </r>
    <r>
      <rPr>
        <sz val="9"/>
        <rFont val="Arial"/>
        <family val="2"/>
      </rPr>
      <t xml:space="preserve"> rámů oken dvojitých 
</t>
    </r>
    <r>
      <rPr>
        <b/>
        <sz val="9"/>
        <rFont val="Arial"/>
        <family val="2"/>
      </rPr>
      <t xml:space="preserve">pl do 2 m2 </t>
    </r>
    <r>
      <rPr>
        <sz val="9"/>
        <rFont val="Arial"/>
        <family val="2"/>
      </rPr>
      <t>- do suti, (nepoškodit vnější omítku)</t>
    </r>
  </si>
  <si>
    <r>
      <rPr>
        <b/>
        <sz val="9"/>
        <rFont val="Arial"/>
        <family val="2"/>
      </rPr>
      <t>Opatrné vysekání</t>
    </r>
    <r>
      <rPr>
        <sz val="9"/>
        <rFont val="Arial"/>
        <family val="2"/>
      </rPr>
      <t xml:space="preserve"> vnitřních </t>
    </r>
    <r>
      <rPr>
        <b/>
        <sz val="9"/>
        <rFont val="Arial"/>
        <family val="2"/>
      </rPr>
      <t xml:space="preserve">deštění oken </t>
    </r>
    <r>
      <rPr>
        <sz val="9"/>
        <rFont val="Arial"/>
        <family val="2"/>
      </rPr>
      <t>do suti, (nepoškodit vnější omítku)</t>
    </r>
  </si>
  <si>
    <t>968062/R91</t>
  </si>
  <si>
    <r>
      <rPr>
        <b/>
        <sz val="9"/>
        <rFont val="Arial"/>
        <family val="2"/>
      </rPr>
      <t>Demontáž,</t>
    </r>
    <r>
      <rPr>
        <sz val="9"/>
        <rFont val="Arial"/>
        <family val="2"/>
      </rPr>
      <t xml:space="preserve"> vyklizení a likvidace drobných předmětů -zásobník na toaletní papír, háček na dveřích, el. sušák rukou, nádoba+štětka na WC - zásobník na papír.ručníky . </t>
    </r>
  </si>
  <si>
    <t>725900952/R</t>
  </si>
  <si>
    <r>
      <rPr>
        <b/>
        <sz val="9"/>
        <rFont val="Arial"/>
        <family val="2"/>
      </rPr>
      <t>Demontáž doplňků do sutě a likvidace</t>
    </r>
    <r>
      <rPr>
        <sz val="9"/>
        <rFont val="Arial"/>
        <family val="2"/>
      </rPr>
      <t>,  
V místnostech 1.NP až 5 NP  - 
el. sušák (ks 3) + zásobník na toalet.papír 
bubnový (ks 10) + nádoba + štětka na WC (ks 17)  zásobník na papír.ručníky (ks 5), mýdelník (ks 10)</t>
    </r>
  </si>
  <si>
    <t>76666/R4991</t>
  </si>
  <si>
    <t>toalety 1011 č.v.2b - 34,95 m2</t>
  </si>
  <si>
    <t>bistro 1129 č.v.3b - 19,52 m2</t>
  </si>
  <si>
    <t>dámské toalety 3105 č.v.5b - 54,19m2</t>
  </si>
  <si>
    <t>pánské toalety 4107 č.v. 6b - 43,70m2</t>
  </si>
  <si>
    <t>dámské toalety 4108 č.v.7b - 19,60m2</t>
  </si>
  <si>
    <r>
      <rPr>
        <b/>
        <sz val="9"/>
        <rFont val="Arial"/>
        <family val="2"/>
      </rPr>
      <t>Odsekání a odebrání obkladů </t>
    </r>
    <r>
      <rPr>
        <sz val="9"/>
        <rFont val="Arial"/>
        <family val="2"/>
      </rPr>
      <t>stěn z vnitřních obkládaček plochy přes 1 m2</t>
    </r>
  </si>
  <si>
    <t>61232/R1111</t>
  </si>
  <si>
    <t>toalety1NP; výměra ; 0,30*0,70*6</t>
  </si>
  <si>
    <t>Odsekání a odebrání obkladů stěn z vnitřních obkládaček plochy do 1 m2</t>
  </si>
  <si>
    <t>pánské toalety 3.NP výměra ; 0,30*1,31*3</t>
  </si>
  <si>
    <t>dámské toalety 4.NP výměra ; 0,30*0,685*2</t>
  </si>
  <si>
    <t>pánské toalety 5.NP výměra ; 0,30*1,30*1</t>
  </si>
  <si>
    <r>
      <rPr>
        <b/>
        <sz val="9"/>
        <rFont val="Arial"/>
        <family val="2"/>
      </rPr>
      <t xml:space="preserve">Vyvěšení křídel </t>
    </r>
    <r>
      <rPr>
        <sz val="9"/>
        <rFont val="Arial"/>
        <family val="2"/>
      </rPr>
      <t>dřevěných  okenních do 1,5 m2.   (vnitřních a vnějších)
 výměra : ((3*6)+(6*3)+(3*2)+(6*1))</t>
    </r>
  </si>
  <si>
    <t>okno ve stavebním otvoru ( 0,710*2,300)*6*2</t>
  </si>
  <si>
    <t>okno ve stavebním otvoru (0,685*1,91)*2*2</t>
  </si>
  <si>
    <r>
      <rPr>
        <b/>
        <sz val="9"/>
        <rFont val="Arial"/>
        <family val="2"/>
      </rPr>
      <t xml:space="preserve">Opatrné vysekání dřevěných </t>
    </r>
    <r>
      <rPr>
        <sz val="9"/>
        <rFont val="Arial"/>
        <family val="2"/>
      </rPr>
      <t xml:space="preserve">rámů oken dvojitých 
</t>
    </r>
    <r>
      <rPr>
        <b/>
        <sz val="9"/>
        <rFont val="Arial"/>
        <family val="2"/>
      </rPr>
      <t xml:space="preserve">pl do 4 m2- </t>
    </r>
    <r>
      <rPr>
        <sz val="9"/>
        <rFont val="Arial"/>
        <family val="2"/>
      </rPr>
      <t>do sut</t>
    </r>
    <r>
      <rPr>
        <b/>
        <sz val="9"/>
        <rFont val="Arial"/>
        <family val="2"/>
      </rPr>
      <t xml:space="preserve">i, </t>
    </r>
    <r>
      <rPr>
        <sz val="9"/>
        <rFont val="Arial"/>
        <family val="2"/>
      </rPr>
      <t>(nepoškodit vnější omítku)</t>
    </r>
  </si>
  <si>
    <t xml:space="preserve">okno ve stavebním otvoru  (1,310*2,300) *3*2 </t>
  </si>
  <si>
    <t>okno ve stavebním otvoru  (1,300*2,250)*1*2</t>
  </si>
  <si>
    <t>0,30*(0,685+1,91)*2*2</t>
  </si>
  <si>
    <t>0,30*(0,710+2,30)*2*6</t>
  </si>
  <si>
    <t>0,30*(1,31+2,30)*2*3</t>
  </si>
  <si>
    <t>0,30*(1,30+2,25)*2*1</t>
  </si>
  <si>
    <r>
      <rPr>
        <b/>
        <sz val="9"/>
        <rFont val="Arial"/>
        <family val="2"/>
      </rPr>
      <t xml:space="preserve">Demontáž SDK podhledu </t>
    </r>
    <r>
      <rPr>
        <sz val="9"/>
        <rFont val="Arial"/>
        <family val="2"/>
      </rPr>
      <t>s jednovrstvou nosnou kcí z ocelových profilů opláštění jednoduché</t>
    </r>
  </si>
  <si>
    <t>974031169/R</t>
  </si>
  <si>
    <r>
      <rPr>
        <b/>
        <sz val="9"/>
        <rFont val="Arial"/>
        <family val="2"/>
      </rPr>
      <t>Opatrné vysekání  výklenků nebo kapes</t>
    </r>
    <r>
      <rPr>
        <sz val="9"/>
        <rFont val="Arial"/>
        <family val="2"/>
      </rPr>
      <t xml:space="preserve"> ve zdivu cihelném na MVC do pohledové plochy do 0,16m2 a hl. do 300mm.  (pro uzavírací ventily - kohout rohový)</t>
    </r>
  </si>
  <si>
    <r>
      <rPr>
        <b/>
        <sz val="9"/>
        <rFont val="Arial"/>
        <family val="2"/>
      </rPr>
      <t>Opatrné vyřezání rýh</t>
    </r>
    <r>
      <rPr>
        <sz val="9"/>
        <rFont val="Arial"/>
        <family val="2"/>
      </rPr>
      <t xml:space="preserve"> ve zdivu cihelném na MVC do hl 50mm a š. do 70mm. (pro vodu D20)</t>
    </r>
  </si>
  <si>
    <r>
      <rPr>
        <b/>
        <sz val="9"/>
        <rFont val="Arial"/>
        <family val="2"/>
      </rPr>
      <t>Opatrné vyřezání  rýh</t>
    </r>
    <r>
      <rPr>
        <sz val="9"/>
        <rFont val="Arial"/>
        <family val="2"/>
      </rPr>
      <t xml:space="preserve"> ve zdivu cihelném na MVC do hl 150mm a š. do 150mm. (pro kanalizaci DN 100)</t>
    </r>
  </si>
  <si>
    <r>
      <rPr>
        <b/>
        <sz val="9"/>
        <rFont val="Arial"/>
        <family val="2"/>
      </rPr>
      <t>Opatrné vyřezání rýh</t>
    </r>
    <r>
      <rPr>
        <sz val="9"/>
        <rFont val="Arial"/>
        <family val="2"/>
      </rPr>
      <t xml:space="preserve"> ve zdivu cihelném na MVC do hl 100mm a š. do 100mm. (pro kanalizaci DN 70)</t>
    </r>
  </si>
  <si>
    <r>
      <rPr>
        <b/>
        <sz val="9"/>
        <rFont val="Arial"/>
        <family val="2"/>
      </rPr>
      <t xml:space="preserve">Opatrné vyřezání rýh </t>
    </r>
    <r>
      <rPr>
        <sz val="9"/>
        <rFont val="Arial"/>
        <family val="2"/>
      </rPr>
      <t>ve zdivu cihelném na MVC do hl 70mm a š. do 70mm. (pro kanalizaci DN 50)</t>
    </r>
  </si>
  <si>
    <r>
      <rPr>
        <b/>
        <sz val="9"/>
        <rFont val="Arial"/>
        <family val="2"/>
      </rPr>
      <t xml:space="preserve">Příplatek </t>
    </r>
    <r>
      <rPr>
        <sz val="9"/>
        <rFont val="Arial"/>
        <family val="2"/>
      </rPr>
      <t>k vysekání rýh ve zdivu cihelném hl do 150 mm ZKD 100 mm š rýhy</t>
    </r>
  </si>
  <si>
    <t>9730313/R091</t>
  </si>
  <si>
    <t>Demontáž ramen sprchových nebo sprch táhlových</t>
  </si>
  <si>
    <t>kus</t>
  </si>
  <si>
    <t>Baterie umyvadlové, sprchové,dřezové,</t>
  </si>
  <si>
    <t>722131923/P</t>
  </si>
  <si>
    <t>m</t>
  </si>
  <si>
    <t>Pročištění potrubí kanalizačního šikmé DN do 100</t>
  </si>
  <si>
    <t>Úprava, vyřezání, zaslepení  stávajícího kanalizačního potrubí</t>
  </si>
  <si>
    <t>72291/R0093</t>
  </si>
  <si>
    <t>Vysekání vodovodního potrubí DN do 50mm</t>
  </si>
  <si>
    <t>Pročištění odpadů svislých v jednom podlaží do DN 200</t>
  </si>
  <si>
    <t>73312/R</t>
  </si>
  <si>
    <t>Opravy vodovodního potrubí z  trubek ,  zpětná montáž  potrubí do DN 25 (vyřezání, zaslepení  a  úprava stávajícího vodovodního potrubí )</t>
  </si>
  <si>
    <t xml:space="preserve">Demontáž stávajících otopných těles, radiátorů litinových, článkových včetně regulačních ventilů - vel. 1x 900/150 4čl. v.č.2b, 1x 500/100 8čl. v.č.4b, 1x 900/150 9čl. v.č.4b, 1x 900/150 čl.4 v.č.5b, 1x 900/150 čl.10 v.č.5b, 1x 500/100 čl.8 v.č.6b, 1x 500/100 čl.17 v.č.6b 
</t>
  </si>
  <si>
    <r>
      <rPr>
        <b/>
        <sz val="9"/>
        <rFont val="Arial"/>
        <family val="2"/>
      </rPr>
      <t xml:space="preserve">Příplatek </t>
    </r>
    <r>
      <rPr>
        <sz val="9"/>
        <rFont val="Arial"/>
        <family val="2"/>
      </rPr>
      <t>k ceně za každý další i započtený  1km přes 1km  (19km)  cena : Kč 11 * 19km</t>
    </r>
  </si>
  <si>
    <t>Poplatek za uložení na skládce (skládkovné) stavebního odpadu cihelného kód odpadu 17 01 02</t>
  </si>
  <si>
    <t>Poplatek za uložení na skládce (skládkovné) stavebního odpadu směsného kód odpadu 17 09 04</t>
  </si>
  <si>
    <t>Poplatek za uložení na skládce (skládkovné) stavebního odpadu ze skla kód odpadu 17 02 02</t>
  </si>
  <si>
    <t>1NP-6NP ; výměra 0,4*4*10</t>
  </si>
  <si>
    <r>
      <rPr>
        <b/>
        <sz val="9"/>
        <rFont val="Arial"/>
        <family val="2"/>
      </rPr>
      <t>Potažení</t>
    </r>
    <r>
      <rPr>
        <sz val="9"/>
        <rFont val="Arial"/>
        <family val="2"/>
      </rPr>
      <t xml:space="preserve"> vnitřních stěn sklovláknitým pletivem</t>
    </r>
  </si>
  <si>
    <r>
      <rPr>
        <b/>
        <sz val="9"/>
        <rFont val="Arial"/>
        <family val="2"/>
      </rPr>
      <t>Začištění</t>
    </r>
    <r>
      <rPr>
        <sz val="9"/>
        <rFont val="Arial"/>
        <family val="2"/>
      </rPr>
      <t> omítek kolem oken, dveří, podlah nebo obkladů</t>
    </r>
  </si>
  <si>
    <r>
      <rPr>
        <b/>
        <sz val="9"/>
        <rFont val="Arial"/>
        <family val="2"/>
      </rPr>
      <t>Vápenocementová omítka</t>
    </r>
    <r>
      <rPr>
        <sz val="9"/>
        <rFont val="Arial"/>
        <family val="2"/>
      </rPr>
      <t xml:space="preserve"> jednovrstvá pod obklad vnitřních stěn nanášená ručně</t>
    </r>
  </si>
  <si>
    <t>0,99*4</t>
  </si>
  <si>
    <t>0,9*4</t>
  </si>
  <si>
    <r>
      <rPr>
        <b/>
        <sz val="9"/>
        <rFont val="Arial"/>
        <family val="2"/>
      </rPr>
      <t xml:space="preserve">Ukotvení příček </t>
    </r>
    <r>
      <rPr>
        <sz val="9"/>
        <rFont val="Arial"/>
        <family val="2"/>
      </rPr>
      <t>k cihelným konstrukcím plochými kotvami</t>
    </r>
  </si>
  <si>
    <r>
      <rPr>
        <b/>
        <sz val="9"/>
        <rFont val="Arial"/>
        <family val="2"/>
      </rPr>
      <t xml:space="preserve">Vápenná štuková </t>
    </r>
    <r>
      <rPr>
        <sz val="9"/>
        <rFont val="Arial"/>
        <family val="2"/>
      </rPr>
      <t>omítka ostění nebo nadpraží (nová okna);   výměra  0,40*((0,71+2,30)*2*6+(1,31+2,30)*2*3+(0,685+1,91*2)*2+(1,30+2,25)*2*1)</t>
    </r>
  </si>
  <si>
    <t>%</t>
  </si>
  <si>
    <t>310235261/P</t>
  </si>
  <si>
    <t>310237261/P</t>
  </si>
  <si>
    <t>dodávka+ montáž</t>
  </si>
  <si>
    <t>dodávka</t>
  </si>
  <si>
    <r>
      <rPr>
        <b/>
        <sz val="9"/>
        <rFont val="Arial"/>
        <family val="2"/>
      </rPr>
      <t xml:space="preserve">Čištění vnitřních </t>
    </r>
    <r>
      <rPr>
        <sz val="9"/>
        <rFont val="Arial"/>
        <family val="2"/>
      </rPr>
      <t>ploch podlah nebo schodišť po položení dlažby chemickými prostředky</t>
    </r>
  </si>
  <si>
    <r>
      <rPr>
        <b/>
        <sz val="9"/>
        <rFont val="Arial"/>
        <family val="2"/>
      </rPr>
      <t>Podlahy</t>
    </r>
    <r>
      <rPr>
        <sz val="9"/>
        <rFont val="Arial"/>
        <family val="2"/>
      </rPr>
      <t xml:space="preserve"> pracnější řezání keramických dlaždic rovné
výměra ; 3*0,60*30</t>
    </r>
  </si>
  <si>
    <r>
      <rPr>
        <b/>
        <sz val="9"/>
        <rFont val="Arial"/>
        <family val="2"/>
      </rPr>
      <t>Přesun hmot procentní</t>
    </r>
    <r>
      <rPr>
        <sz val="9"/>
        <rFont val="Arial"/>
        <family val="2"/>
      </rPr>
      <t xml:space="preserve"> pro podlahy z dlaždic</t>
    </r>
  </si>
  <si>
    <r>
      <rPr>
        <b/>
        <sz val="9"/>
        <rFont val="Arial"/>
        <family val="2"/>
      </rPr>
      <t>Opatrné odsekání</t>
    </r>
    <r>
      <rPr>
        <sz val="9"/>
        <rFont val="Arial"/>
        <family val="2"/>
      </rPr>
      <t xml:space="preserve"> podlahových keramických dlaždic, plochy přes 1m2 </t>
    </r>
  </si>
  <si>
    <r>
      <rPr>
        <b/>
        <sz val="9"/>
        <rFont val="Arial"/>
        <family val="2"/>
      </rPr>
      <t>Podkladní</t>
    </r>
    <r>
      <rPr>
        <sz val="9"/>
        <rFont val="Arial"/>
        <family val="2"/>
      </rPr>
      <t xml:space="preserve"> a spojovací vrstva vnitřních omítaných ploch, penetrace akrylát-silikon</t>
    </r>
  </si>
  <si>
    <r>
      <rPr>
        <b/>
        <sz val="9"/>
        <rFont val="Arial"/>
        <family val="2"/>
      </rPr>
      <t>Omítka MVC pod obklady -</t>
    </r>
    <r>
      <rPr>
        <sz val="9"/>
        <rFont val="Arial"/>
        <family val="2"/>
      </rPr>
      <t xml:space="preserve"> vyrovnání podkladu, tl. do 10mm</t>
    </r>
  </si>
  <si>
    <r>
      <rPr>
        <b/>
        <sz val="9"/>
        <rFont val="Arial"/>
        <family val="2"/>
      </rPr>
      <t>Hrubá výplň</t>
    </r>
    <r>
      <rPr>
        <sz val="9"/>
        <rFont val="Arial"/>
        <family val="2"/>
      </rPr>
      <t xml:space="preserve"> rýh ve stěnách maltou o jakékoliv šířce rýhy</t>
    </r>
  </si>
  <si>
    <r>
      <rPr>
        <b/>
        <sz val="9"/>
        <rFont val="Arial"/>
        <family val="2"/>
      </rPr>
      <t xml:space="preserve">Částečné dozdění </t>
    </r>
    <r>
      <rPr>
        <sz val="9"/>
        <rFont val="Arial"/>
        <family val="2"/>
      </rPr>
      <t>výklenků po vysekání  výklenků nebo kapes ve zdivu cihelném na MVC  hl. do 300mm.  (pro uzavírací ventily kohout rohový) /</t>
    </r>
  </si>
  <si>
    <r>
      <rPr>
        <b/>
        <sz val="9"/>
        <rFont val="Arial"/>
        <family val="2"/>
      </rPr>
      <t xml:space="preserve">Částečné dozdění </t>
    </r>
    <r>
      <rPr>
        <sz val="9"/>
        <rFont val="Arial"/>
        <family val="2"/>
      </rPr>
      <t xml:space="preserve">rýh  po osazení závěsných konstr. (WC+pisoáry)  ve zdivu cihelném na MVC  vel. 250/400mm.  (závěsné WC+pisoáry)/ 
</t>
    </r>
  </si>
  <si>
    <r>
      <rPr>
        <b/>
        <sz val="9"/>
        <rFont val="Arial"/>
        <family val="2"/>
      </rPr>
      <t>Vyčištění budov</t>
    </r>
    <r>
      <rPr>
        <sz val="9"/>
        <rFont val="Arial"/>
        <family val="2"/>
      </rPr>
      <t xml:space="preserve"> bytové a občanské výstavby při výšce podlaží do 4 m</t>
    </r>
  </si>
  <si>
    <r>
      <rPr>
        <b/>
        <sz val="9"/>
        <rFont val="Arial"/>
        <family val="2"/>
      </rPr>
      <t>Nerezový zákryt 3</t>
    </r>
    <r>
      <rPr>
        <sz val="9"/>
        <rFont val="Arial"/>
        <family val="2"/>
      </rPr>
      <t>20/320 v rámu osazení do zdiva a sádrokartonu</t>
    </r>
  </si>
  <si>
    <r>
      <rPr>
        <b/>
        <sz val="9"/>
        <rFont val="Arial"/>
        <family val="2"/>
      </rPr>
      <t xml:space="preserve">Větrací mřížka </t>
    </r>
    <r>
      <rPr>
        <sz val="9"/>
        <rFont val="Arial"/>
        <family val="2"/>
      </rPr>
      <t>250/150mm nerezová s rámečkem pro osazení do zdiva</t>
    </r>
  </si>
  <si>
    <r>
      <rPr>
        <b/>
        <sz val="9"/>
        <rFont val="Arial"/>
        <family val="2"/>
      </rPr>
      <t>Větrací mřížka 2</t>
    </r>
    <r>
      <rPr>
        <sz val="9"/>
        <rFont val="Arial"/>
        <family val="2"/>
      </rPr>
      <t>00/200mm nerezová s rámečkem pro osazení do zdiva</t>
    </r>
  </si>
  <si>
    <t>0,45*((0,71+2,27)*2*6+(1,30+2,30)*2*3+(0,70+1,90)*2*2+(1,30+2,30)*2*1)</t>
  </si>
  <si>
    <r>
      <rPr>
        <b/>
        <sz val="9"/>
        <rFont val="Arial"/>
        <family val="2"/>
      </rPr>
      <t>Vápenná štuková</t>
    </r>
    <r>
      <rPr>
        <sz val="9"/>
        <rFont val="Arial"/>
        <family val="2"/>
      </rPr>
      <t> omítka ostění nebo nadpraží (po vybouraných oknech)</t>
    </r>
  </si>
  <si>
    <t>toalety ; 1NP +3NP +4NP +5NP</t>
  </si>
  <si>
    <t>výměry obkladů stěn viz odd.9 / demontáž obkladů : (224,4 )m2+10%</t>
  </si>
  <si>
    <t>výměry pro parapety : 4,86+10% prořez</t>
  </si>
  <si>
    <t>0,45*0,70*6+0,45*1,30*3+0,45*0,70*2+0,45*1,30*1=4,86m2</t>
  </si>
  <si>
    <r>
      <rPr>
        <b/>
        <sz val="9"/>
        <rFont val="Arial"/>
        <family val="2"/>
      </rPr>
      <t xml:space="preserve">Ometení </t>
    </r>
    <r>
      <rPr>
        <sz val="9"/>
        <rFont val="Arial"/>
        <family val="2"/>
      </rPr>
      <t>(oprášení) stěny při přípravě podkladu</t>
    </r>
  </si>
  <si>
    <r>
      <rPr>
        <b/>
        <sz val="9"/>
        <rFont val="Arial"/>
        <family val="2"/>
      </rPr>
      <t xml:space="preserve">Nátěr penetrační </t>
    </r>
    <r>
      <rPr>
        <sz val="9"/>
        <rFont val="Arial"/>
        <family val="2"/>
      </rPr>
      <t>na stěnu</t>
    </r>
  </si>
  <si>
    <r>
      <rPr>
        <b/>
        <sz val="9"/>
        <rFont val="Arial"/>
        <family val="2"/>
      </rPr>
      <t>Řezání pracnější</t>
    </r>
    <r>
      <rPr>
        <sz val="9"/>
        <rFont val="Arial"/>
        <family val="2"/>
      </rPr>
      <t xml:space="preserve"> rovné keramických obkládaček</t>
    </r>
  </si>
  <si>
    <r>
      <rPr>
        <b/>
        <sz val="9"/>
        <rFont val="Arial"/>
        <family val="2"/>
      </rPr>
      <t xml:space="preserve">Montáž obkladů </t>
    </r>
    <r>
      <rPr>
        <sz val="9"/>
        <rFont val="Arial"/>
        <family val="2"/>
      </rPr>
      <t xml:space="preserve">parapetů š přes 200 
do cca 450 mm z dlaždic keramických kladených do lepidla flexibilního+spárování spárovací hmotou vodě odolnou
</t>
    </r>
  </si>
  <si>
    <r>
      <rPr>
        <b/>
        <sz val="9"/>
        <rFont val="Arial"/>
        <family val="2"/>
      </rPr>
      <t xml:space="preserve">Montáž obkladů </t>
    </r>
    <r>
      <rPr>
        <sz val="9"/>
        <rFont val="Arial"/>
        <family val="2"/>
      </rPr>
      <t>vnitřních keramických hladkých přes 6 do 9 ks/m2 lepených flexibilním lepidlem+spárování spárovací hmotou vodě odolnou</t>
    </r>
  </si>
  <si>
    <r>
      <rPr>
        <b/>
        <sz val="9"/>
        <rFont val="Arial"/>
        <family val="2"/>
      </rPr>
      <t>Montáž</t>
    </r>
    <r>
      <rPr>
        <sz val="9"/>
        <rFont val="Arial"/>
        <family val="2"/>
      </rPr>
      <t xml:space="preserve"> podlah z dlaždic keramických,   kladení do flexibilního lepidla+penetrace ,  spárovaní hmotou vodě odolnou ; výměra 60m2</t>
    </r>
  </si>
  <si>
    <r>
      <rPr>
        <b/>
        <sz val="9"/>
        <rFont val="Arial"/>
        <family val="2"/>
      </rPr>
      <t>Nátěr penetrační n</t>
    </r>
    <r>
      <rPr>
        <sz val="9"/>
        <rFont val="Arial"/>
        <family val="2"/>
      </rPr>
      <t>a podlahu</t>
    </r>
  </si>
  <si>
    <t>Oplechování parapetů rovných mechanicky kotvené z TiZn předzvětralého plechu rš 800 mm</t>
  </si>
  <si>
    <t>Oplechování parapetů rovných mechanicky kotvené z TiZn předzvětralého plechu   rš 1200 mm</t>
  </si>
  <si>
    <t>764 -  Konstrukce klempířské</t>
  </si>
  <si>
    <t xml:space="preserve">784 - Malby </t>
  </si>
  <si>
    <r>
      <rPr>
        <b/>
        <sz val="10"/>
        <rFont val="Arial CE"/>
        <family val="0"/>
      </rPr>
      <t>Jednonásobné</t>
    </r>
    <r>
      <rPr>
        <sz val="10"/>
        <rFont val="Arial CE"/>
        <family val="2"/>
      </rPr>
      <t xml:space="preserve"> pačokování v místnostech do 3,80</t>
    </r>
  </si>
  <si>
    <r>
      <rPr>
        <b/>
        <sz val="10"/>
        <rFont val="Arial CE"/>
        <family val="0"/>
      </rPr>
      <t>Základní akrylátová j</t>
    </r>
    <r>
      <rPr>
        <sz val="10"/>
        <rFont val="Arial CE"/>
        <family val="0"/>
      </rPr>
      <t>ednonásobná bezbarvá penetrace podkladu v místnostech v do 3,80 m</t>
    </r>
  </si>
  <si>
    <r>
      <rPr>
        <b/>
        <sz val="10"/>
        <rFont val="Arial CE"/>
        <family val="0"/>
      </rPr>
      <t>Zakrytí vnitřních</t>
    </r>
    <r>
      <rPr>
        <sz val="10"/>
        <rFont val="Arial CE"/>
        <family val="0"/>
      </rPr>
      <t xml:space="preserve"> ploch stěn v místnostech v do 3,80 m</t>
    </r>
  </si>
  <si>
    <r>
      <rPr>
        <b/>
        <sz val="10"/>
        <rFont val="Arial CE"/>
        <family val="0"/>
      </rPr>
      <t>Zakrytí</t>
    </r>
    <r>
      <rPr>
        <sz val="10"/>
        <rFont val="Arial CE"/>
        <family val="0"/>
      </rPr>
      <t xml:space="preserve"> vnitřních podlah včetně pozdějšího odkrytí</t>
    </r>
  </si>
  <si>
    <r>
      <rPr>
        <b/>
        <sz val="10"/>
        <rFont val="Arial CE"/>
        <family val="0"/>
      </rPr>
      <t>Tmelení spar</t>
    </r>
    <r>
      <rPr>
        <sz val="10"/>
        <rFont val="Arial CE"/>
        <family val="0"/>
      </rPr>
      <t xml:space="preserve"> a rohů šířky do 3 mm akrylátovým tmelem v místnostech v do 3,80 m</t>
    </r>
  </si>
  <si>
    <t>Dvojnásobné bílé protiplísňové malby v místnostech v do 3,80 m</t>
  </si>
  <si>
    <t>Potrubí kanalizační z PP připojovací odhlučněné třívrstvé DN 50</t>
  </si>
  <si>
    <t>Potrubí kanalizační z PP připojovací odhlučněné třívrstvé DN 75</t>
  </si>
  <si>
    <t>Potrubí kanalizační z PP připojovací odhlučněné třívrstvé DN 110</t>
  </si>
  <si>
    <t>Potrubí kanalizační z PP odpadní odhlučněné třívrstvé DN 110</t>
  </si>
  <si>
    <t>721175203/P</t>
  </si>
  <si>
    <t>721175204/P</t>
  </si>
  <si>
    <t>721175205/P</t>
  </si>
  <si>
    <t>721175212/P</t>
  </si>
  <si>
    <t>Zkouška těsnosti potrubí kanalizace vodou DN 150/DN 200</t>
  </si>
  <si>
    <t>Izolace potrubí TV+cirkulace tl. 30mm (přip. potr.+st.)</t>
  </si>
  <si>
    <t>722224151/P</t>
  </si>
  <si>
    <t>722181252/P</t>
  </si>
  <si>
    <t>Zkouška těsnosti vodovodního potrubí závitového DN do 50</t>
  </si>
  <si>
    <t>Proplach a dezinfekce vodovodního potrubí DN do 80</t>
  </si>
  <si>
    <t>T</t>
  </si>
  <si>
    <t>784 - Malby</t>
  </si>
  <si>
    <r>
      <rPr>
        <b/>
        <sz val="8"/>
        <rFont val="Arial"/>
        <family val="2"/>
      </rPr>
      <t xml:space="preserve">Poznámka </t>
    </r>
    <r>
      <rPr>
        <sz val="8"/>
        <rFont val="Arial"/>
        <family val="2"/>
      </rPr>
      <t xml:space="preserve">:
Kovové předměty budou zváženy, hmotnost zapsána do stavebního deníku, odvezeny do sběrny druhotných surovin (kovošrot) a jejich výzisk bude odečten z ceny díla v hodnotě určené cenou/ kg v den jejich prodeje. Výměra ; (ocel.potrubí ?) upřesní se dle skutečnosti. </t>
    </r>
  </si>
  <si>
    <t>764 - Konstrukce klempířské</t>
  </si>
  <si>
    <t>Úpravy a  doplnění kabelů</t>
  </si>
  <si>
    <t>Zařízení staveniště + projekt skutečného provedení stavby 1,5%</t>
  </si>
  <si>
    <t>mezisoučet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</si>
  <si>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</si>
  <si>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</si>
  <si>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</si>
  <si>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</si>
  <si>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</si>
  <si>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</si>
  <si>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</si>
  <si>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</si>
  <si>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</si>
  <si>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</si>
  <si>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</si>
  <si>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</si>
  <si>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</si>
  <si>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</si>
  <si>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</si>
  <si>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</si>
  <si>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</si>
  <si>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</si>
  <si>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</si>
  <si>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</si>
  <si>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</si>
  <si>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</si>
  <si>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</si>
  <si>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</si>
  <si>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</si>
  <si>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</si>
  <si>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</si>
  <si>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</si>
  <si>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</si>
  <si>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</si>
  <si>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</si>
  <si>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</si>
  <si>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</si>
  <si>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</si>
  <si>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</si>
  <si>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</si>
  <si>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</si>
  <si>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</si>
  <si>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</si>
  <si>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</si>
  <si>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</si>
  <si>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</si>
  <si>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</si>
  <si>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</si>
  <si>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</si>
  <si>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</si>
  <si>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</si>
  <si>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</si>
  <si>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</si>
  <si>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</si>
  <si>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</si>
  <si>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</si>
  <si>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</si>
  <si>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</si>
  <si>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</si>
  <si>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</si>
  <si>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</si>
  <si>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</si>
  <si>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</si>
  <si>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</si>
  <si>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</si>
  <si>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</si>
  <si>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</si>
  <si>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</si>
  <si>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</si>
  <si>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</si>
  <si>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</si>
  <si>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</si>
  <si>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</si>
  <si>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</si>
  <si>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</si>
  <si>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</si>
  <si>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</si>
  <si>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</si>
  <si>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</si>
  <si>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</si>
  <si>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</si>
  <si>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</si>
  <si>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</si>
  <si>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</si>
  <si>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</si>
  <si>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</si>
  <si>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</si>
  <si>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</si>
  <si>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</si>
  <si>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</si>
  <si>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</si>
  <si>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</si>
  <si>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</si>
  <si>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</si>
  <si>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</si>
  <si>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</si>
  <si>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</si>
  <si>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</si>
  <si>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</si>
  <si>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</si>
  <si>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</si>
  <si>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</si>
  <si>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</si>
  <si>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</si>
  <si>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</si>
  <si>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</si>
  <si>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</si>
  <si>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</si>
  <si>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</si>
  <si>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</si>
  <si>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</si>
  <si>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</si>
  <si>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</si>
  <si>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</si>
  <si>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</si>
  <si>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</si>
  <si>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</si>
  <si>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</si>
  <si>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</si>
  <si>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</si>
  <si>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</si>
  <si>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</si>
  <si>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</si>
  <si>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</si>
  <si>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</si>
  <si>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</si>
  <si>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</si>
  <si>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</si>
  <si>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</si>
  <si>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</si>
  <si>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</si>
  <si>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</si>
  <si>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</si>
  <si>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</si>
  <si>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</si>
  <si>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</si>
  <si>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</si>
  <si>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</si>
  <si>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</si>
  <si>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</si>
  <si>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</si>
  <si>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</si>
  <si>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</si>
  <si>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</si>
  <si>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</si>
  <si>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</si>
  <si>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</si>
  <si>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</si>
  <si>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</si>
  <si>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</si>
  <si>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</si>
  <si>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</si>
  <si>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</si>
  <si>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</si>
  <si>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</si>
  <si>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</si>
  <si>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</si>
  <si>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</si>
  <si>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</si>
  <si>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</si>
  <si>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</si>
  <si>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</si>
  <si>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</si>
  <si>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</si>
  <si>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</si>
  <si>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</si>
  <si>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</si>
  <si>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</si>
  <si>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</si>
  <si>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</si>
  <si>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</si>
  <si>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</si>
  <si>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</si>
  <si>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</si>
  <si>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</si>
  <si>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</si>
  <si>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</si>
  <si>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</si>
  <si>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</si>
  <si>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</si>
  <si>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</si>
  <si>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</si>
  <si>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</si>
  <si>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</si>
  <si>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</si>
  <si>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</si>
  <si>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</si>
  <si>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</si>
  <si>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</si>
  <si>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</si>
  <si>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</si>
  <si>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</si>
  <si>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</si>
  <si>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</si>
  <si>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</si>
  <si>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</si>
  <si>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</si>
  <si>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</si>
  <si>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</si>
  <si>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</si>
  <si>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</si>
  <si>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</si>
  <si>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</si>
  <si>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</si>
  <si>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</si>
  <si>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</si>
  <si>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</si>
  <si>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</si>
  <si>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</si>
  <si>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</si>
  <si>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</si>
  <si>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</si>
  <si>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</si>
  <si>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</si>
  <si>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</si>
  <si>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</si>
  <si>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</si>
  <si>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</si>
  <si>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</si>
  <si>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</si>
  <si>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</si>
  <si>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</si>
  <si>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</si>
  <si>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</si>
  <si>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</si>
  <si>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</si>
  <si>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</si>
  <si>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</si>
  <si>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</si>
  <si>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</si>
  <si>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</si>
  <si>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</si>
  <si>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</si>
  <si>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</si>
  <si>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</si>
  <si>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</si>
  <si>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</si>
  <si>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</si>
  <si>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</si>
  <si>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</si>
  <si>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</si>
  <si>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</si>
  <si>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</si>
  <si>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</si>
  <si>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</si>
  <si>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</si>
  <si>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</si>
  <si>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</si>
  <si>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</si>
  <si>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</si>
  <si>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</si>
  <si>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</si>
  <si>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</si>
  <si>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</si>
  <si>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</si>
  <si>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</si>
  <si>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</si>
  <si>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</si>
  <si>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</si>
  <si>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</si>
  <si>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</si>
  <si>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</si>
  <si>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</si>
  <si>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</si>
  <si>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</si>
  <si>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</si>
  <si>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</si>
  <si>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</si>
  <si>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</si>
  <si>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</si>
  <si>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</si>
  <si>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</si>
  <si>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</si>
  <si>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</si>
  <si>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</si>
  <si>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</si>
  <si>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</si>
  <si>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</si>
  <si>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</si>
  <si>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</si>
  <si>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</si>
  <si>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</si>
  <si>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</si>
  <si>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</si>
  <si>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</si>
  <si>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</si>
  <si>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</si>
  <si>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</si>
  <si>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</si>
  <si>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</si>
  <si>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</si>
  <si>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</si>
  <si>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</si>
  <si>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</si>
  <si>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</si>
  <si>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</si>
  <si>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</si>
  <si>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</si>
  <si>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</si>
  <si>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</si>
  <si>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</si>
  <si>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</si>
  <si>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</si>
  <si>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</si>
  <si>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</si>
  <si>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</si>
  <si>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</si>
  <si>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</si>
  <si>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</si>
  <si>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</si>
  <si>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</si>
  <si>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</si>
  <si>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</si>
  <si>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</si>
  <si>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</si>
  <si>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</si>
  <si>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</si>
  <si>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</si>
  <si>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</si>
  <si>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</si>
  <si>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</si>
  <si>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</si>
  <si>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</si>
  <si>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</si>
  <si>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</si>
  <si>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</si>
  <si>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</si>
  <si>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</si>
  <si>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</si>
  <si>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</si>
  <si>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</si>
  <si>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</si>
  <si>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</si>
  <si>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</si>
  <si>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</si>
  <si>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</si>
  <si>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</si>
  <si>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</si>
  <si>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</si>
  <si>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</si>
  <si>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</si>
  <si>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</si>
  <si>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</si>
  <si>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</si>
  <si>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</si>
  <si>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</si>
  <si>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</si>
  <si>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</si>
  <si>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</si>
  <si>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</si>
  <si>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</si>
  <si>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</si>
  <si>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</si>
  <si>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</si>
  <si>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</si>
  <si>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</si>
  <si>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</si>
  <si>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</si>
  <si>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</si>
  <si>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</si>
  <si>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</si>
  <si>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</si>
  <si>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</si>
  <si>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</si>
  <si>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</si>
  <si>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</si>
  <si>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</si>
  <si>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</si>
  <si>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</si>
  <si>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</si>
  <si>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</si>
  <si>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</si>
  <si>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</si>
  <si>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</si>
  <si>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</si>
  <si>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</si>
  <si>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</si>
  <si>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</si>
  <si>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</si>
  <si>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</si>
  <si>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</si>
  <si>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</si>
  <si>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</si>
  <si>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</si>
  <si>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</si>
  <si>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</si>
  <si>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</si>
  <si>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</si>
  <si>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</si>
  <si>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</si>
  <si>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</si>
  <si>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</si>
  <si>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</si>
  <si>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</si>
  <si>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</si>
  <si>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</si>
  <si>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</si>
  <si>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</si>
  <si>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</si>
  <si>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</si>
  <si>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</si>
  <si>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</si>
  <si>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</si>
  <si>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</si>
  <si>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</si>
  <si>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</si>
  <si>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</si>
  <si>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</si>
  <si>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</si>
  <si>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</si>
  <si>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</si>
  <si>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</si>
  <si>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</si>
  <si>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</si>
  <si>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</si>
  <si>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</si>
  <si>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</si>
  <si>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</si>
  <si>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</si>
  <si>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</si>
  <si>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</si>
  <si>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</si>
  <si>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</si>
  <si>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</si>
  <si>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</si>
  <si>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</si>
  <si>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</si>
  <si>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</si>
  <si>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</si>
  <si>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</si>
  <si>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</si>
  <si>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</si>
  <si>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</si>
  <si>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</si>
  <si>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</si>
  <si>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</si>
  <si>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</si>
  <si>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</si>
  <si>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</si>
  <si>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</si>
  <si>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</si>
  <si>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</si>
  <si>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</si>
  <si>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</si>
  <si>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</si>
  <si>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</si>
  <si>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</si>
  <si>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</si>
  <si>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</si>
  <si>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</si>
  <si>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</si>
  <si>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</si>
  <si>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</si>
  <si>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</si>
  <si>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</si>
  <si>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</si>
  <si>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</si>
  <si>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</si>
  <si>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</si>
  <si>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</si>
  <si>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</si>
  <si>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</si>
  <si>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</si>
  <si>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</si>
  <si>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</si>
  <si>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</si>
  <si>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</si>
  <si>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</si>
  <si>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</si>
  <si>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</si>
  <si>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</si>
  <si>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</si>
  <si>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</si>
  <si>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</si>
  <si>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</si>
  <si>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</si>
  <si>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</si>
  <si>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</si>
  <si>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</si>
  <si>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</si>
  <si>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</si>
  <si>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</si>
  <si>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</si>
  <si>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</si>
  <si>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</si>
  <si>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</si>
  <si>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</si>
  <si>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</si>
  <si>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</si>
  <si>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</si>
  <si>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</si>
  <si>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</si>
  <si>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</si>
  <si>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</si>
  <si>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</si>
  <si>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</si>
  <si>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</si>
  <si>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</si>
  <si>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</si>
  <si>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</si>
  <si>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</si>
  <si>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</si>
  <si>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</si>
  <si>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</si>
  <si>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</si>
  <si>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</si>
  <si>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</si>
  <si>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</si>
  <si>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</si>
  <si>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</si>
  <si>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</si>
  <si>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</si>
  <si>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</si>
  <si>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</si>
  <si>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</si>
  <si>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</si>
  <si>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</si>
  <si>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</si>
  <si>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</si>
  <si>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</si>
  <si>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</si>
  <si>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</si>
  <si>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</si>
  <si>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</si>
  <si>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</si>
  <si>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</si>
  <si>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</si>
  <si>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</si>
  <si>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</si>
  <si>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</si>
  <si>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</si>
  <si>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</si>
  <si>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</si>
  <si>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</si>
  <si>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</si>
  <si>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</si>
  <si>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</si>
  <si>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</si>
  <si>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</si>
  <si>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</si>
  <si>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</si>
  <si>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</si>
  <si>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</si>
  <si>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</si>
  <si>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</si>
  <si>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</si>
  <si>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</si>
  <si>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</si>
  <si>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</si>
  <si>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</si>
  <si>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</si>
  <si>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</si>
  <si>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</si>
  <si>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</si>
  <si>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</si>
  <si>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</si>
  <si>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vypustit a napustit systém ÚT + vyzkoušení otopných těles+odvzdušnění</t>
  </si>
  <si>
    <t>Opatrné vyřezání  rýh ve zdivu cihelném na MVC  hl. 200mm a š. 400mm. (svislá šachta pro stoupací vedení vody a kanalizace - stoupačky) vč. prostupů stropní konstrukcí (žb)</t>
  </si>
  <si>
    <t>Demontáž baterie nástěnné do G 3 / 4 
(sprchová,výlevková)</t>
  </si>
  <si>
    <r>
      <rPr>
        <b/>
        <sz val="9"/>
        <rFont val="Arial"/>
        <family val="2"/>
      </rPr>
      <t>Vnitrostaveništn</t>
    </r>
    <r>
      <rPr>
        <sz val="9"/>
        <rFont val="Arial"/>
        <family val="2"/>
      </rPr>
      <t>í doprava suti a vybouraných hmot, vodorovně do 50m, svisle s omezením mechanizace v do průměrné výšky 18m (průměrná výška)</t>
    </r>
  </si>
  <si>
    <t>Poplatek za uložení na skládce (skládkovné) stavebního odpadu na bázi sádry kód odpadu 17 08 02</t>
  </si>
  <si>
    <r>
      <t xml:space="preserve">Stěna zděná ze skleněných tvárnic </t>
    </r>
    <r>
      <rPr>
        <sz val="9"/>
        <rFont val="Arial"/>
        <family val="2"/>
      </rPr>
      <t>190x190x80 mm bezbarvých lesklých dezén struktura (dodávka montáž)</t>
    </r>
  </si>
  <si>
    <r>
      <rPr>
        <b/>
        <sz val="9"/>
        <rFont val="Arial"/>
        <family val="2"/>
      </rPr>
      <t>Vyvěšení</t>
    </r>
    <r>
      <rPr>
        <sz val="9"/>
        <rFont val="Arial"/>
        <family val="2"/>
      </rPr>
      <t xml:space="preserve"> dveří včetně uložení pro repasi a opětovné zavěšení</t>
    </r>
  </si>
  <si>
    <r>
      <rPr>
        <b/>
        <sz val="9"/>
        <rFont val="Arial"/>
        <family val="2"/>
      </rPr>
      <t xml:space="preserve">Repase dveří </t>
    </r>
    <r>
      <rPr>
        <sz val="9"/>
        <rFont val="Arial"/>
        <family val="2"/>
      </rPr>
      <t>cca do 2m</t>
    </r>
    <r>
      <rPr>
        <sz val="8"/>
        <rFont val="Arial"/>
        <family val="2"/>
      </rPr>
      <t xml:space="preserve">2 </t>
    </r>
  </si>
  <si>
    <r>
      <rPr>
        <b/>
        <sz val="9"/>
        <rFont val="Arial"/>
        <family val="2"/>
      </rPr>
      <t>Broušení</t>
    </r>
    <r>
      <rPr>
        <sz val="9"/>
        <rFont val="Arial"/>
        <family val="2"/>
      </rPr>
      <t xml:space="preserve"> betonového podkladu ;  
výměra : podlaha 61,0m2 + parapety 3,24m2</t>
    </r>
  </si>
  <si>
    <r>
      <rPr>
        <b/>
        <sz val="9"/>
        <rFont val="Arial"/>
        <family val="2"/>
      </rPr>
      <t>Vyssátí</t>
    </r>
    <r>
      <rPr>
        <sz val="9"/>
        <rFont val="Arial"/>
        <family val="2"/>
      </rPr>
      <t xml:space="preserve"> podkladu </t>
    </r>
  </si>
  <si>
    <r>
      <rPr>
        <b/>
        <sz val="9"/>
        <rFont val="Arial CE"/>
        <family val="2"/>
      </rPr>
      <t>Předstěny</t>
    </r>
    <r>
      <rPr>
        <sz val="9"/>
        <rFont val="Arial CE"/>
        <family val="2"/>
      </rPr>
      <t xml:space="preserve"> jednoduché z plynosilikátových příčkovek 500/250/50mm,</t>
    </r>
  </si>
  <si>
    <r>
      <rPr>
        <b/>
        <sz val="9"/>
        <rFont val="Arial CE"/>
        <family val="2"/>
      </rPr>
      <t>Předstěny</t>
    </r>
    <r>
      <rPr>
        <sz val="9"/>
        <rFont val="Arial CE"/>
        <family val="2"/>
      </rPr>
      <t xml:space="preserve"> jednoduché z plynosilikátových příčkovek 500/250/80mm,</t>
    </r>
  </si>
  <si>
    <r>
      <rPr>
        <b/>
        <sz val="9"/>
        <rFont val="Arial CE"/>
        <family val="2"/>
      </rPr>
      <t>Příčky</t>
    </r>
    <r>
      <rPr>
        <sz val="9"/>
        <rFont val="Arial CE"/>
        <family val="2"/>
      </rPr>
      <t xml:space="preserve"> a dozdívky jednoduché z plynosilikátových příčkovek 500/250/100mm, </t>
    </r>
  </si>
  <si>
    <r>
      <rPr>
        <b/>
        <sz val="9"/>
        <rFont val="Arial"/>
        <family val="2"/>
      </rPr>
      <t xml:space="preserve">Dodání nerezových </t>
    </r>
    <r>
      <rPr>
        <sz val="9"/>
        <rFont val="Arial"/>
        <family val="2"/>
      </rPr>
      <t>dvířek pro ZTI vel. 400/400mm v rámu a osazení do zdiva</t>
    </r>
  </si>
  <si>
    <t>342291121
Dodáv. + Mont,</t>
  </si>
  <si>
    <t>D1
dodáv.+ mont.</t>
  </si>
  <si>
    <t>D2
dodáv.+ mont.</t>
  </si>
  <si>
    <t>D3
dodáv.+ mont.</t>
  </si>
  <si>
    <t xml:space="preserve">D4
</t>
  </si>
  <si>
    <r>
      <rPr>
        <b/>
        <sz val="9"/>
        <rFont val="Arial"/>
        <family val="2"/>
      </rPr>
      <t>Izolace proti vlhkosti</t>
    </r>
    <r>
      <rPr>
        <sz val="9"/>
        <rFont val="Arial"/>
        <family val="2"/>
      </rPr>
      <t xml:space="preserve"> na vodorovné ploše těsnicí hmotou minerální na bázi cementu a disperze dvousložková (+vytažená 200mm na stěnu)</t>
    </r>
  </si>
  <si>
    <t>Poznámka všeobecně:Jednotková cena obsahuje kompletní provedení včetně materiálu,montážního a pomocného materiálu= dodávka+montáž- úprava ostění a napojení na stávající oplechování s jeho případnou opravou, montáž, kování, povrchová úprava, montážní i podružný materiál, mimostaveništní doprava-dílna a zpět</t>
  </si>
  <si>
    <t xml:space="preserve">Přesun hmot pro konstrukce truhlářské (dveře),vodorovná doprava do 50m, v objektech v. do 36m </t>
  </si>
  <si>
    <t>Přesun hmot pro konstrukce truhlářské (okna),vodorovná doprava do 50m, v objektech do 36 m</t>
  </si>
  <si>
    <t>Výkaz prací a dodávek</t>
  </si>
  <si>
    <t>Datum: 07.2021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</si>
</sst>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#,##0.0"/>
    <numFmt numFmtId="168" formatCode="0.0000"/>
    <numFmt numFmtId="169" formatCode="0.000"/>
    <numFmt numFmtId="170" formatCode="0.00000"/>
    <numFmt numFmtId="171" formatCode="#,##0.000"/>
    <numFmt numFmtId="172" formatCode="0.0"/>
    <numFmt numFmtId="173" formatCode="0.000000"/>
    <numFmt numFmtId="174" formatCode="#,##0.00\ &quot;Kč&quot;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\ _K_č"/>
    <numFmt numFmtId="180" formatCode="#,##0.\-"/>
    <numFmt numFmtId="181" formatCode="#,##0.000;\-#,##0.000"/>
    <numFmt numFmtId="182" formatCode="#,##0.0;\-#,##0.0"/>
    <numFmt numFmtId="183" formatCode="###0;\-###0"/>
    <numFmt numFmtId="184" formatCode="0.0000000"/>
    <numFmt numFmtId="185" formatCode="#,##0.\-;[Red]\-#,##0.\-"/>
    <numFmt numFmtId="186" formatCode="_-* #,##0\ &quot;Kč&quot;_-;\-* #,##0\ &quot;Kč&quot;_-;_-* &quot;-&quot;??\ &quot;Kč&quot;_-;_-@_-"/>
    <numFmt numFmtId="187" formatCode="_-* #,##0.000\ _K_č_-;\-* #,##0.000\ _K_č_-;_-* &quot;-&quot;??\ _K_č_-;_-@_-"/>
    <numFmt numFmtId="188" formatCode="_-* #,##0.0000\ _K_č_-;\-* #,##0.0000\ _K_č_-;_-* &quot;-&quot;??\ _K_č_-;_-@_-"/>
    <numFmt numFmtId="189" formatCode="#,##0\ &quot;Kč&quot;"/>
    <numFmt numFmtId="190" formatCode="000\ 00"/>
    <numFmt numFmtId="191" formatCode="[$-405]d\.\ mmmm\ yyyy"/>
    <numFmt numFmtId="192" formatCode="#,##0.00;[Red]#,##0.00"/>
    <numFmt numFmtId="193" formatCode="0.00;[Red]0.00"/>
    <numFmt numFmtId="194" formatCode="0.00000;[Red]0.00000"/>
    <numFmt numFmtId="195" formatCode="0.000;[Red]0.000"/>
    <numFmt numFmtId="196" formatCode="0.0;[Red]0.0"/>
    <numFmt numFmtId="197" formatCode="0;[Red]0"/>
    <numFmt numFmtId="198" formatCode="0.0000;[Red]0.0000"/>
    <numFmt numFmtId="199" formatCode="[$¥€-2]\ #\ ##,000_);[Red]\([$€-2]\ #\ ##,000\)"/>
    <numFmt numFmtId="200" formatCode="0.00_ ;\-0.00\ "/>
    <numFmt numFmtId="201" formatCode="[$€-2]\ #\ ##,000_);[Red]\([$€-2]\ #\ ##,000\)"/>
    <numFmt numFmtId="202" formatCode="0.0%"/>
  </numFmts>
  <fonts count="60"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Helv"/>
      <family val="0"/>
    </font>
    <font>
      <sz val="9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9" fillId="0" borderId="8">
      <alignment horizontal="left" vertical="center" wrapText="1" indent="1"/>
      <protection/>
    </xf>
    <xf numFmtId="0" fontId="54" fillId="24" borderId="0" applyNumberFormat="0" applyBorder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9" applyNumberFormat="0" applyAlignment="0" applyProtection="0"/>
    <xf numFmtId="0" fontId="57" fillId="26" borderId="9" applyNumberFormat="0" applyAlignment="0" applyProtection="0"/>
    <xf numFmtId="0" fontId="58" fillId="26" borderId="10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justify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wrapText="1"/>
    </xf>
    <xf numFmtId="0" fontId="6" fillId="0" borderId="0" xfId="49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4" fontId="6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" fontId="24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top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1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69" fontId="6" fillId="0" borderId="0" xfId="0" applyNumberFormat="1" applyFont="1" applyFill="1" applyAlignment="1">
      <alignment wrapText="1"/>
    </xf>
    <xf numFmtId="19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wrapText="1"/>
    </xf>
    <xf numFmtId="172" fontId="6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49" fontId="6" fillId="0" borderId="0" xfId="5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justify"/>
    </xf>
    <xf numFmtId="0" fontId="6" fillId="0" borderId="0" xfId="56" applyFont="1" applyFill="1" applyAlignment="1">
      <alignment horizontal="justify"/>
      <protection/>
    </xf>
    <xf numFmtId="49" fontId="20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center" vertical="top" wrapText="1"/>
    </xf>
    <xf numFmtId="49" fontId="0" fillId="0" borderId="0" xfId="79" applyNumberFormat="1" applyFont="1" applyFill="1" applyBorder="1" applyAlignment="1">
      <alignment horizontal="left" wrapText="1"/>
      <protection/>
    </xf>
    <xf numFmtId="1" fontId="6" fillId="0" borderId="0" xfId="0" applyNumberFormat="1" applyFont="1" applyFill="1" applyAlignment="1">
      <alignment horizontal="right" wrapText="1"/>
    </xf>
    <xf numFmtId="2" fontId="6" fillId="0" borderId="0" xfId="0" applyNumberFormat="1" applyFont="1" applyFill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6" fillId="0" borderId="0" xfId="59" applyFont="1" applyFill="1" applyAlignment="1">
      <alignment horizontal="left" wrapText="1"/>
      <protection/>
    </xf>
    <xf numFmtId="0" fontId="9" fillId="0" borderId="0" xfId="59" applyFont="1" applyFill="1" applyAlignment="1">
      <alignment horizontal="center" wrapText="1"/>
      <protection/>
    </xf>
    <xf numFmtId="0" fontId="6" fillId="0" borderId="0" xfId="60" applyFont="1" applyFill="1" applyAlignment="1">
      <alignment horizontal="left"/>
      <protection/>
    </xf>
    <xf numFmtId="0" fontId="9" fillId="0" borderId="0" xfId="60" applyFont="1" applyFill="1" applyAlignment="1">
      <alignment horizontal="right" vertical="top" wrapText="1"/>
      <protection/>
    </xf>
    <xf numFmtId="3" fontId="6" fillId="0" borderId="0" xfId="69" applyNumberFormat="1" applyFont="1" applyFill="1" applyAlignment="1">
      <alignment horizontal="right" vertical="top" wrapText="1"/>
      <protection/>
    </xf>
    <xf numFmtId="0" fontId="9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58" applyFont="1" applyFill="1" applyAlignment="1">
      <alignment horizontal="left" vertical="top" wrapText="1"/>
      <protection/>
    </xf>
    <xf numFmtId="2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9" fillId="0" borderId="0" xfId="0" applyNumberFormat="1" applyFont="1" applyFill="1" applyAlignment="1">
      <alignment horizontal="left" wrapText="1"/>
    </xf>
    <xf numFmtId="0" fontId="2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4" fontId="6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2" fillId="0" borderId="0" xfId="57" applyFont="1" applyFill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9" fillId="0" borderId="0" xfId="59" applyFont="1" applyFill="1" applyAlignment="1">
      <alignment horizontal="left" vertical="top"/>
      <protection/>
    </xf>
    <xf numFmtId="49" fontId="9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49" fontId="9" fillId="0" borderId="0" xfId="0" applyNumberFormat="1" applyFont="1" applyFill="1" applyAlignment="1">
      <alignment horizontal="right" wrapText="1"/>
    </xf>
    <xf numFmtId="49" fontId="24" fillId="0" borderId="11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right" wrapText="1"/>
    </xf>
    <xf numFmtId="0" fontId="12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167" fontId="6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top"/>
    </xf>
    <xf numFmtId="172" fontId="6" fillId="0" borderId="0" xfId="0" applyNumberFormat="1" applyFont="1" applyFill="1" applyAlignment="1">
      <alignment horizontal="center" wrapText="1"/>
    </xf>
    <xf numFmtId="172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174" fontId="20" fillId="0" borderId="0" xfId="0" applyNumberFormat="1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172" fontId="6" fillId="0" borderId="0" xfId="0" applyNumberFormat="1" applyFont="1" applyFill="1" applyAlignment="1">
      <alignment horizontal="center" vertical="top" wrapText="1"/>
    </xf>
    <xf numFmtId="172" fontId="20" fillId="0" borderId="0" xfId="0" applyNumberFormat="1" applyFont="1" applyFill="1" applyAlignment="1">
      <alignment horizontal="center" vertical="top" wrapText="1"/>
    </xf>
    <xf numFmtId="172" fontId="0" fillId="0" borderId="0" xfId="0" applyNumberFormat="1" applyFont="1" applyFill="1" applyAlignment="1">
      <alignment horizontal="center" vertical="top" wrapText="1"/>
    </xf>
    <xf numFmtId="172" fontId="20" fillId="0" borderId="0" xfId="0" applyNumberFormat="1" applyFont="1" applyFill="1" applyAlignment="1">
      <alignment horizontal="center" wrapText="1"/>
    </xf>
    <xf numFmtId="172" fontId="8" fillId="0" borderId="0" xfId="0" applyNumberFormat="1" applyFont="1" applyFill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top" wrapText="1"/>
    </xf>
    <xf numFmtId="2" fontId="6" fillId="0" borderId="0" xfId="0" applyNumberFormat="1" applyFont="1" applyFill="1" applyAlignment="1">
      <alignment horizontal="center" wrapText="1"/>
    </xf>
    <xf numFmtId="172" fontId="6" fillId="0" borderId="0" xfId="0" applyNumberFormat="1" applyFont="1" applyFill="1" applyAlignment="1">
      <alignment horizontal="center" vertical="top"/>
    </xf>
    <xf numFmtId="172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top"/>
    </xf>
    <xf numFmtId="1" fontId="6" fillId="0" borderId="0" xfId="0" applyNumberFormat="1" applyFont="1" applyFill="1" applyAlignment="1">
      <alignment horizontal="center" vertical="top" wrapText="1"/>
    </xf>
    <xf numFmtId="0" fontId="1" fillId="0" borderId="0" xfId="58" applyFont="1" applyFill="1" applyAlignment="1">
      <alignment horizontal="center" vertical="top" wrapText="1"/>
      <protection/>
    </xf>
    <xf numFmtId="0" fontId="6" fillId="0" borderId="0" xfId="0" applyNumberFormat="1" applyFont="1" applyFill="1" applyAlignment="1">
      <alignment horizontal="center" wrapText="1"/>
    </xf>
    <xf numFmtId="172" fontId="23" fillId="0" borderId="0" xfId="0" applyNumberFormat="1" applyFont="1" applyFill="1" applyAlignment="1">
      <alignment horizontal="center" vertical="top" wrapText="1"/>
    </xf>
    <xf numFmtId="166" fontId="6" fillId="0" borderId="0" xfId="0" applyNumberFormat="1" applyFont="1" applyFill="1" applyAlignment="1">
      <alignment horizontal="center" wrapText="1"/>
    </xf>
    <xf numFmtId="172" fontId="23" fillId="0" borderId="0" xfId="0" applyNumberFormat="1" applyFont="1" applyFill="1" applyAlignment="1">
      <alignment horizontal="center" wrapText="1"/>
    </xf>
    <xf numFmtId="169" fontId="6" fillId="0" borderId="0" xfId="0" applyNumberFormat="1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2" fontId="6" fillId="0" borderId="0" xfId="59" applyNumberFormat="1" applyFont="1" applyFill="1" applyAlignment="1">
      <alignment horizontal="center" wrapText="1"/>
      <protection/>
    </xf>
    <xf numFmtId="4" fontId="6" fillId="0" borderId="0" xfId="0" applyNumberFormat="1" applyFont="1" applyFill="1" applyAlignment="1">
      <alignment horizontal="center" vertical="top"/>
    </xf>
    <xf numFmtId="197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97" fontId="6" fillId="0" borderId="0" xfId="0" applyNumberFormat="1" applyFont="1" applyFill="1" applyAlignment="1">
      <alignment horizontal="center" wrapText="1"/>
    </xf>
    <xf numFmtId="197" fontId="6" fillId="0" borderId="0" xfId="0" applyNumberFormat="1" applyFont="1" applyFill="1" applyAlignment="1">
      <alignment horizontal="center"/>
    </xf>
    <xf numFmtId="2" fontId="6" fillId="0" borderId="0" xfId="60" applyNumberFormat="1" applyFont="1" applyFill="1" applyAlignment="1">
      <alignment horizontal="center" vertical="top" wrapText="1"/>
      <protection/>
    </xf>
    <xf numFmtId="169" fontId="9" fillId="0" borderId="0" xfId="0" applyNumberFormat="1" applyFont="1" applyFill="1" applyAlignment="1">
      <alignment horizontal="center" vertical="top" wrapText="1"/>
    </xf>
    <xf numFmtId="169" fontId="9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 wrapText="1"/>
    </xf>
    <xf numFmtId="168" fontId="9" fillId="0" borderId="0" xfId="0" applyNumberFormat="1" applyFont="1" applyFill="1" applyAlignment="1">
      <alignment horizontal="center" vertical="top" wrapText="1"/>
    </xf>
    <xf numFmtId="169" fontId="9" fillId="0" borderId="0" xfId="0" applyNumberFormat="1" applyFont="1" applyFill="1" applyAlignment="1">
      <alignment horizontal="center" wrapText="1"/>
    </xf>
    <xf numFmtId="4" fontId="20" fillId="0" borderId="0" xfId="0" applyNumberFormat="1" applyFont="1" applyFill="1" applyAlignment="1">
      <alignment horizontal="center" vertical="top" wrapText="1"/>
    </xf>
    <xf numFmtId="169" fontId="23" fillId="0" borderId="0" xfId="0" applyNumberFormat="1" applyFont="1" applyFill="1" applyAlignment="1">
      <alignment horizontal="center" vertical="top" wrapText="1"/>
    </xf>
    <xf numFmtId="4" fontId="20" fillId="0" borderId="0" xfId="0" applyNumberFormat="1" applyFont="1" applyFill="1" applyAlignment="1">
      <alignment horizontal="center" wrapText="1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74" fontId="20" fillId="0" borderId="0" xfId="0" applyNumberFormat="1" applyFont="1" applyFill="1" applyAlignment="1">
      <alignment horizontal="center" wrapText="1"/>
    </xf>
    <xf numFmtId="174" fontId="20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 applyProtection="1">
      <alignment horizontal="center" vertical="top" wrapText="1"/>
      <protection locked="0"/>
    </xf>
    <xf numFmtId="167" fontId="20" fillId="0" borderId="0" xfId="0" applyNumberFormat="1" applyFont="1" applyFill="1" applyAlignment="1" applyProtection="1">
      <alignment horizontal="center" vertical="top" wrapText="1"/>
      <protection locked="0"/>
    </xf>
    <xf numFmtId="167" fontId="0" fillId="0" borderId="0" xfId="0" applyNumberFormat="1" applyFont="1" applyFill="1" applyAlignment="1" applyProtection="1">
      <alignment horizontal="center" vertical="top" wrapText="1"/>
      <protection locked="0"/>
    </xf>
    <xf numFmtId="167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Fill="1" applyAlignment="1" applyProtection="1">
      <alignment horizontal="center" wrapText="1"/>
      <protection locked="0"/>
    </xf>
    <xf numFmtId="167" fontId="6" fillId="0" borderId="0" xfId="0" applyNumberFormat="1" applyFont="1" applyFill="1" applyAlignment="1" applyProtection="1">
      <alignment horizontal="center" wrapText="1"/>
      <protection locked="0"/>
    </xf>
    <xf numFmtId="167" fontId="20" fillId="0" borderId="0" xfId="0" applyNumberFormat="1" applyFont="1" applyFill="1" applyAlignment="1" applyProtection="1">
      <alignment horizontal="center" wrapText="1"/>
      <protection locked="0"/>
    </xf>
    <xf numFmtId="167" fontId="6" fillId="0" borderId="0" xfId="0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Border="1" applyAlignment="1" applyProtection="1">
      <alignment horizontal="center" vertical="top"/>
      <protection locked="0"/>
    </xf>
    <xf numFmtId="166" fontId="6" fillId="0" borderId="0" xfId="0" applyNumberFormat="1" applyFont="1" applyFill="1" applyAlignment="1" applyProtection="1">
      <alignment horizontal="center" wrapText="1"/>
      <protection locked="0"/>
    </xf>
    <xf numFmtId="10" fontId="6" fillId="0" borderId="0" xfId="89" applyNumberFormat="1" applyFont="1" applyFill="1" applyAlignment="1" applyProtection="1">
      <alignment horizontal="center" wrapText="1"/>
      <protection locked="0"/>
    </xf>
    <xf numFmtId="167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Alignment="1" applyProtection="1">
      <alignment horizontal="center"/>
      <protection locked="0"/>
    </xf>
    <xf numFmtId="167" fontId="9" fillId="0" borderId="0" xfId="0" applyNumberFormat="1" applyFont="1" applyFill="1" applyAlignment="1" applyProtection="1">
      <alignment horizontal="center" wrapText="1"/>
      <protection locked="0"/>
    </xf>
    <xf numFmtId="167" fontId="6" fillId="0" borderId="0" xfId="59" applyNumberFormat="1" applyFont="1" applyFill="1" applyAlignment="1" applyProtection="1">
      <alignment horizontal="center" wrapText="1"/>
      <protection locked="0"/>
    </xf>
    <xf numFmtId="171" fontId="6" fillId="0" borderId="0" xfId="0" applyNumberFormat="1" applyFont="1" applyFill="1" applyAlignment="1" applyProtection="1">
      <alignment horizontal="center"/>
      <protection locked="0"/>
    </xf>
    <xf numFmtId="167" fontId="6" fillId="0" borderId="0" xfId="0" applyNumberFormat="1" applyFont="1" applyFill="1" applyAlignment="1" applyProtection="1">
      <alignment horizontal="center" vertical="top"/>
      <protection locked="0"/>
    </xf>
    <xf numFmtId="166" fontId="6" fillId="0" borderId="0" xfId="0" applyNumberFormat="1" applyFont="1" applyFill="1" applyAlignment="1" applyProtection="1">
      <alignment horizontal="center" vertical="top" wrapText="1"/>
      <protection locked="0"/>
    </xf>
    <xf numFmtId="171" fontId="6" fillId="0" borderId="0" xfId="0" applyNumberFormat="1" applyFont="1" applyFill="1" applyAlignment="1" applyProtection="1">
      <alignment horizontal="center" vertical="top" wrapText="1"/>
      <protection locked="0"/>
    </xf>
    <xf numFmtId="167" fontId="1" fillId="0" borderId="0" xfId="0" applyNumberFormat="1" applyFont="1" applyFill="1" applyAlignment="1" applyProtection="1">
      <alignment horizontal="center" wrapText="1"/>
      <protection locked="0"/>
    </xf>
    <xf numFmtId="167" fontId="25" fillId="0" borderId="0" xfId="0" applyNumberFormat="1" applyFont="1" applyFill="1" applyAlignment="1" applyProtection="1">
      <alignment horizontal="center"/>
      <protection locked="0"/>
    </xf>
    <xf numFmtId="167" fontId="6" fillId="0" borderId="0" xfId="60" applyNumberFormat="1" applyFont="1" applyFill="1" applyAlignment="1" applyProtection="1">
      <alignment horizontal="center" vertical="top" wrapText="1"/>
      <protection locked="0"/>
    </xf>
    <xf numFmtId="3" fontId="6" fillId="0" borderId="0" xfId="0" applyNumberFormat="1" applyFont="1" applyFill="1" applyAlignment="1" applyProtection="1">
      <alignment horizontal="center" vertical="top" wrapText="1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0 2" xfId="50"/>
    <cellStyle name="Normální 10 3" xfId="51"/>
    <cellStyle name="Normální 11" xfId="52"/>
    <cellStyle name="Normální 12" xfId="53"/>
    <cellStyle name="Normální 13" xfId="54"/>
    <cellStyle name="Normální 14" xfId="55"/>
    <cellStyle name="Normální 15" xfId="56"/>
    <cellStyle name="normální 16" xfId="57"/>
    <cellStyle name="normální 17" xfId="58"/>
    <cellStyle name="normální 18" xfId="59"/>
    <cellStyle name="normální 19" xfId="60"/>
    <cellStyle name="normální 2" xfId="61"/>
    <cellStyle name="normální 2 2" xfId="62"/>
    <cellStyle name="normální 2 2 2" xfId="63"/>
    <cellStyle name="normální 2 3" xfId="64"/>
    <cellStyle name="normální 20" xfId="65"/>
    <cellStyle name="normální 21" xfId="66"/>
    <cellStyle name="normální 22" xfId="67"/>
    <cellStyle name="normální 23" xfId="68"/>
    <cellStyle name="normální 24" xfId="69"/>
    <cellStyle name="Normální 28" xfId="70"/>
    <cellStyle name="normální 3" xfId="71"/>
    <cellStyle name="Normální 3 2" xfId="72"/>
    <cellStyle name="Normální 4" xfId="73"/>
    <cellStyle name="Normální 5" xfId="74"/>
    <cellStyle name="Normální 5 2" xfId="75"/>
    <cellStyle name="Normální 6" xfId="76"/>
    <cellStyle name="Normální 6 2" xfId="77"/>
    <cellStyle name="Normální 6 3" xfId="78"/>
    <cellStyle name="Normální 7" xfId="79"/>
    <cellStyle name="Normální 7 2" xfId="80"/>
    <cellStyle name="Normální 8" xfId="81"/>
    <cellStyle name="Normální 8 2" xfId="82"/>
    <cellStyle name="Normální 8 3" xfId="83"/>
    <cellStyle name="Normální 9" xfId="84"/>
    <cellStyle name="Normální 9 2" xfId="85"/>
    <cellStyle name="Normální 9 3" xfId="86"/>
    <cellStyle name="Followed Hyperlink" xfId="87"/>
    <cellStyle name="Poznámka" xfId="88"/>
    <cellStyle name="Percent" xfId="89"/>
    <cellStyle name="Propojená buňka" xfId="90"/>
    <cellStyle name="R_text" xfId="91"/>
    <cellStyle name="Správně" xfId="92"/>
    <cellStyle name="Styl 1" xfId="93"/>
    <cellStyle name="Text upozornění" xfId="94"/>
    <cellStyle name="Vstup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2.7109375" style="32" customWidth="1"/>
    <col min="2" max="2" width="9.140625" style="32" customWidth="1"/>
    <col min="3" max="3" width="56.28125" style="32" customWidth="1"/>
    <col min="4" max="16384" width="9.140625" style="32" customWidth="1"/>
  </cols>
  <sheetData>
    <row r="1" ht="12.75">
      <c r="A1" s="31" t="s">
        <v>38</v>
      </c>
    </row>
    <row r="2" spans="1:5" ht="12.75">
      <c r="A2" s="33" t="s">
        <v>39</v>
      </c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5" ht="12.75">
      <c r="A4" s="35" t="s">
        <v>40</v>
      </c>
      <c r="B4" s="35"/>
      <c r="C4" s="35"/>
      <c r="D4" s="34"/>
      <c r="E4" s="34"/>
    </row>
    <row r="5" spans="1:5" ht="12.75">
      <c r="A5" s="35"/>
      <c r="B5" s="35"/>
      <c r="C5" s="35"/>
      <c r="D5" s="34"/>
      <c r="E5" s="34"/>
    </row>
    <row r="6" spans="1:5" ht="12.75">
      <c r="A6" s="35" t="s">
        <v>41</v>
      </c>
      <c r="B6" s="35"/>
      <c r="C6" s="35"/>
      <c r="D6" s="34"/>
      <c r="E6" s="34"/>
    </row>
    <row r="7" spans="1:5" ht="12.75">
      <c r="A7" s="35"/>
      <c r="B7" s="35"/>
      <c r="C7" s="35"/>
      <c r="D7" s="34"/>
      <c r="E7" s="34"/>
    </row>
    <row r="8" spans="1:5" ht="25.5">
      <c r="A8" s="35" t="s">
        <v>42</v>
      </c>
      <c r="B8" s="35"/>
      <c r="C8" s="35"/>
      <c r="D8" s="34"/>
      <c r="E8" s="34"/>
    </row>
    <row r="9" spans="1:5" ht="12.75">
      <c r="A9" s="35"/>
      <c r="B9" s="35"/>
      <c r="C9" s="35"/>
      <c r="D9" s="34"/>
      <c r="E9" s="34"/>
    </row>
    <row r="10" spans="1:5" ht="25.5">
      <c r="A10" s="35" t="s">
        <v>43</v>
      </c>
      <c r="B10" s="35"/>
      <c r="C10" s="35"/>
      <c r="D10" s="34"/>
      <c r="E10" s="34"/>
    </row>
    <row r="11" spans="1:5" ht="12.75">
      <c r="A11" s="36"/>
      <c r="B11" s="35"/>
      <c r="C11" s="35"/>
      <c r="D11" s="34"/>
      <c r="E11" s="34"/>
    </row>
    <row r="12" spans="1:5" ht="63.75">
      <c r="A12" s="35" t="s">
        <v>97</v>
      </c>
      <c r="B12" s="35"/>
      <c r="C12" s="35"/>
      <c r="D12" s="34"/>
      <c r="E12" s="34"/>
    </row>
    <row r="13" spans="1:5" ht="12.75">
      <c r="A13" s="35"/>
      <c r="B13" s="35"/>
      <c r="C13" s="35"/>
      <c r="D13" s="34"/>
      <c r="E13" s="34"/>
    </row>
    <row r="14" spans="1:5" ht="38.25">
      <c r="A14" s="35" t="s">
        <v>44</v>
      </c>
      <c r="B14" s="35"/>
      <c r="C14" s="35"/>
      <c r="D14" s="34"/>
      <c r="E14" s="34"/>
    </row>
    <row r="15" spans="1:5" ht="12.75">
      <c r="A15" s="35"/>
      <c r="B15" s="35"/>
      <c r="C15" s="35"/>
      <c r="D15" s="34"/>
      <c r="E15" s="34"/>
    </row>
    <row r="16" spans="1:5" ht="38.25">
      <c r="A16" s="35" t="s">
        <v>45</v>
      </c>
      <c r="B16" s="35"/>
      <c r="C16" s="35"/>
      <c r="D16" s="34"/>
      <c r="E16" s="34"/>
    </row>
    <row r="17" spans="1:5" ht="12.75">
      <c r="A17" s="35"/>
      <c r="B17" s="35"/>
      <c r="C17" s="35"/>
      <c r="D17" s="34"/>
      <c r="E17" s="34"/>
    </row>
    <row r="18" spans="1:5" ht="12.75">
      <c r="A18" s="35" t="s">
        <v>46</v>
      </c>
      <c r="B18" s="35"/>
      <c r="C18" s="35"/>
      <c r="D18" s="34"/>
      <c r="E18" s="34"/>
    </row>
    <row r="19" spans="1:5" ht="12.75">
      <c r="A19" s="35"/>
      <c r="B19" s="35"/>
      <c r="C19" s="35"/>
      <c r="D19" s="34"/>
      <c r="E19" s="34"/>
    </row>
    <row r="20" spans="1:5" ht="25.5">
      <c r="A20" s="35" t="s">
        <v>98</v>
      </c>
      <c r="B20" s="35"/>
      <c r="C20" s="35"/>
      <c r="D20" s="34"/>
      <c r="E20" s="34"/>
    </row>
    <row r="21" spans="1:5" ht="12.75">
      <c r="A21" s="35"/>
      <c r="B21" s="35"/>
      <c r="C21" s="35"/>
      <c r="D21" s="34"/>
      <c r="E21" s="34"/>
    </row>
    <row r="22" spans="1:5" ht="38.25">
      <c r="A22" s="35" t="s">
        <v>47</v>
      </c>
      <c r="B22" s="35"/>
      <c r="C22" s="35"/>
      <c r="D22" s="34"/>
      <c r="E22" s="34"/>
    </row>
    <row r="23" spans="1:5" ht="12.75">
      <c r="A23" s="35"/>
      <c r="B23" s="35"/>
      <c r="C23" s="35"/>
      <c r="D23" s="34"/>
      <c r="E23" s="34"/>
    </row>
    <row r="24" spans="1:5" ht="25.5">
      <c r="A24" s="35" t="s">
        <v>0</v>
      </c>
      <c r="B24" s="35"/>
      <c r="C24" s="35"/>
      <c r="D24" s="34"/>
      <c r="E24" s="34"/>
    </row>
    <row r="25" spans="1:5" ht="12.75">
      <c r="A25" s="35"/>
      <c r="B25" s="35"/>
      <c r="C25" s="35"/>
      <c r="D25" s="34"/>
      <c r="E25" s="34"/>
    </row>
    <row r="26" spans="1:5" ht="25.5">
      <c r="A26" s="35" t="s">
        <v>1</v>
      </c>
      <c r="B26" s="35"/>
      <c r="C26" s="35"/>
      <c r="D26" s="34"/>
      <c r="E26" s="34"/>
    </row>
    <row r="27" spans="1:5" ht="12.75">
      <c r="A27" s="35"/>
      <c r="B27" s="35"/>
      <c r="C27" s="35"/>
      <c r="D27" s="34"/>
      <c r="E27" s="34"/>
    </row>
    <row r="28" spans="1:5" ht="12.75">
      <c r="A28" s="35" t="s">
        <v>2</v>
      </c>
      <c r="B28" s="35"/>
      <c r="C28" s="35"/>
      <c r="D28" s="34"/>
      <c r="E28" s="34"/>
    </row>
    <row r="29" spans="1:5" ht="12.75">
      <c r="A29" s="35"/>
      <c r="B29" s="35"/>
      <c r="C29" s="35"/>
      <c r="D29" s="34"/>
      <c r="E29" s="34"/>
    </row>
    <row r="30" spans="1:5" ht="12.75">
      <c r="A30" s="35" t="s">
        <v>3</v>
      </c>
      <c r="B30" s="35"/>
      <c r="C30" s="35"/>
      <c r="D30" s="34"/>
      <c r="E30" s="34"/>
    </row>
    <row r="31" spans="1:5" ht="12.75">
      <c r="A31" s="35"/>
      <c r="B31" s="35"/>
      <c r="C31" s="35"/>
      <c r="D31" s="34"/>
      <c r="E31" s="34"/>
    </row>
    <row r="32" spans="1:5" ht="25.5">
      <c r="A32" s="35" t="s">
        <v>4</v>
      </c>
      <c r="B32" s="35"/>
      <c r="C32" s="35"/>
      <c r="D32" s="34"/>
      <c r="E32" s="34"/>
    </row>
    <row r="33" spans="1:5" ht="12.75">
      <c r="A33" s="35"/>
      <c r="B33" s="35"/>
      <c r="C33" s="35"/>
      <c r="D33" s="34"/>
      <c r="E33" s="34"/>
    </row>
    <row r="34" spans="1:5" ht="25.5">
      <c r="A34" s="35" t="s">
        <v>5</v>
      </c>
      <c r="B34" s="35"/>
      <c r="C34" s="35"/>
      <c r="D34" s="34"/>
      <c r="E34" s="34"/>
    </row>
    <row r="35" spans="1:5" ht="12.75">
      <c r="A35" s="35"/>
      <c r="B35" s="35"/>
      <c r="C35" s="35"/>
      <c r="D35" s="34"/>
      <c r="E35" s="34"/>
    </row>
    <row r="36" spans="1:5" ht="38.25">
      <c r="A36" s="35" t="s">
        <v>6</v>
      </c>
      <c r="B36" s="35"/>
      <c r="C36" s="35"/>
      <c r="D36" s="34"/>
      <c r="E36" s="34"/>
    </row>
    <row r="37" spans="1:5" ht="12.75">
      <c r="A37" s="35"/>
      <c r="B37" s="35"/>
      <c r="C37" s="35"/>
      <c r="D37" s="34"/>
      <c r="E37" s="34"/>
    </row>
    <row r="38" spans="1:5" ht="89.25">
      <c r="A38" s="37" t="s">
        <v>7</v>
      </c>
      <c r="B38" s="35"/>
      <c r="C38" s="35"/>
      <c r="D38" s="34"/>
      <c r="E38" s="34"/>
    </row>
    <row r="39" spans="1:5" ht="12.75">
      <c r="A39" s="37"/>
      <c r="B39" s="35"/>
      <c r="C39" s="35"/>
      <c r="D39" s="34"/>
      <c r="E39" s="34"/>
    </row>
    <row r="40" spans="1:5" ht="89.25">
      <c r="A40" s="38" t="s">
        <v>8</v>
      </c>
      <c r="B40" s="35"/>
      <c r="C40" s="35"/>
      <c r="D40" s="34"/>
      <c r="E40" s="34"/>
    </row>
    <row r="41" spans="1:5" s="30" customFormat="1" ht="12.75">
      <c r="A41" s="35"/>
      <c r="B41" s="35"/>
      <c r="C41" s="35"/>
      <c r="D41" s="35"/>
      <c r="E41" s="35"/>
    </row>
    <row r="42" spans="1:5" ht="51">
      <c r="A42" s="37" t="s">
        <v>9</v>
      </c>
      <c r="B42" s="35"/>
      <c r="C42" s="35"/>
      <c r="D42" s="34"/>
      <c r="E42" s="34"/>
    </row>
    <row r="43" spans="1:5" ht="12.75">
      <c r="A43" s="37"/>
      <c r="B43" s="35"/>
      <c r="C43" s="35"/>
      <c r="D43" s="34"/>
      <c r="E43" s="34"/>
    </row>
    <row r="44" spans="1:5" ht="76.5">
      <c r="A44" s="37" t="s">
        <v>10</v>
      </c>
      <c r="B44" s="35"/>
      <c r="C44" s="35"/>
      <c r="D44" s="34"/>
      <c r="E44" s="34"/>
    </row>
    <row r="45" spans="1:5" ht="12.75">
      <c r="A45" s="28"/>
      <c r="B45" s="30"/>
      <c r="C45" s="30"/>
      <c r="D45" s="31"/>
      <c r="E45" s="31"/>
    </row>
    <row r="46" ht="25.5">
      <c r="A46" s="29" t="s">
        <v>11</v>
      </c>
    </row>
    <row r="47" ht="12.75">
      <c r="A47" s="29"/>
    </row>
    <row r="48" ht="76.5">
      <c r="A48" s="29" t="s">
        <v>12</v>
      </c>
    </row>
    <row r="49" ht="12.75">
      <c r="A49" s="29"/>
    </row>
    <row r="50" ht="63.75">
      <c r="A50" s="29" t="s">
        <v>13</v>
      </c>
    </row>
    <row r="51" ht="12.75">
      <c r="A51" s="29"/>
    </row>
    <row r="52" ht="25.5">
      <c r="A52" s="29" t="s">
        <v>14</v>
      </c>
    </row>
    <row r="54" ht="38.25">
      <c r="A54" s="29" t="s">
        <v>15</v>
      </c>
    </row>
    <row r="56" ht="25.5">
      <c r="A56" s="39" t="s">
        <v>16</v>
      </c>
    </row>
    <row r="58" ht="12.75">
      <c r="A58" s="42"/>
    </row>
    <row r="70" spans="1:12" ht="12.7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1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00390625" style="1" customWidth="1"/>
    <col min="2" max="2" width="61.8515625" style="16" customWidth="1"/>
    <col min="3" max="3" width="12.57421875" style="1" customWidth="1"/>
    <col min="4" max="16384" width="9.140625" style="1" customWidth="1"/>
  </cols>
  <sheetData>
    <row r="3" spans="1:4" ht="15.75">
      <c r="A3" s="2"/>
      <c r="B3" s="15" t="s">
        <v>1099</v>
      </c>
      <c r="C3" s="4"/>
      <c r="D3" s="4"/>
    </row>
    <row r="5" ht="15">
      <c r="B5" s="17"/>
    </row>
    <row r="6" ht="15">
      <c r="B6" s="17"/>
    </row>
    <row r="7" ht="12.75">
      <c r="B7" s="156" t="s">
        <v>52</v>
      </c>
    </row>
    <row r="8" spans="1:3" ht="12.75">
      <c r="A8" s="2"/>
      <c r="B8" s="157" t="s">
        <v>232</v>
      </c>
      <c r="C8" s="2"/>
    </row>
    <row r="9" spans="1:3" ht="12.75">
      <c r="A9" s="2"/>
      <c r="B9" s="8"/>
      <c r="C9" s="2"/>
    </row>
    <row r="10" spans="1:3" ht="12.75">
      <c r="A10" s="2"/>
      <c r="B10" s="20"/>
      <c r="C10" s="2"/>
    </row>
    <row r="11" spans="1:3" ht="12.75">
      <c r="A11" s="5"/>
      <c r="B11" s="5"/>
      <c r="C11" s="5"/>
    </row>
    <row r="12" ht="12.75">
      <c r="B12" s="5"/>
    </row>
    <row r="13" spans="2:10" ht="15.75">
      <c r="B13" s="156" t="s">
        <v>64</v>
      </c>
      <c r="C13" s="6"/>
      <c r="D13" s="7"/>
      <c r="E13" s="7"/>
      <c r="F13" s="7"/>
      <c r="G13" s="7"/>
      <c r="H13" s="7"/>
      <c r="I13" s="7"/>
      <c r="J13" s="7"/>
    </row>
    <row r="14" ht="24">
      <c r="B14" s="158" t="s">
        <v>99</v>
      </c>
    </row>
    <row r="15" ht="12.75">
      <c r="B15" s="21"/>
    </row>
    <row r="16" ht="12.75">
      <c r="B16" s="5"/>
    </row>
    <row r="17" ht="12.75">
      <c r="B17" s="5"/>
    </row>
    <row r="18" spans="1:10" ht="15.75">
      <c r="A18" s="4"/>
      <c r="B18" s="8"/>
      <c r="C18" s="9"/>
      <c r="D18" s="9"/>
      <c r="E18" s="9"/>
      <c r="F18" s="9"/>
      <c r="G18" s="9"/>
      <c r="H18" s="9"/>
      <c r="I18" s="9"/>
      <c r="J18" s="9"/>
    </row>
    <row r="20" ht="12.75">
      <c r="B20" s="159" t="s">
        <v>100</v>
      </c>
    </row>
    <row r="21" ht="24">
      <c r="B21" s="158" t="s">
        <v>99</v>
      </c>
    </row>
    <row r="22" ht="12.75">
      <c r="B22" s="8"/>
    </row>
    <row r="25" ht="12.75">
      <c r="B25" s="8"/>
    </row>
    <row r="26" ht="12.75">
      <c r="B26" s="5" t="s">
        <v>56</v>
      </c>
    </row>
    <row r="27" ht="12.75">
      <c r="B27" s="8" t="s">
        <v>67</v>
      </c>
    </row>
    <row r="28" ht="12.75">
      <c r="B28" s="43" t="s">
        <v>69</v>
      </c>
    </row>
    <row r="29" s="10" customFormat="1" ht="12.75">
      <c r="B29" s="44" t="s">
        <v>91</v>
      </c>
    </row>
    <row r="35" ht="12.75">
      <c r="B35" s="5" t="s">
        <v>53</v>
      </c>
    </row>
    <row r="36" ht="12.75">
      <c r="B36" s="8" t="s">
        <v>92</v>
      </c>
    </row>
    <row r="37" ht="12.75">
      <c r="B37" s="8" t="s">
        <v>54</v>
      </c>
    </row>
    <row r="38" ht="12.75">
      <c r="B38" s="23" t="s">
        <v>55</v>
      </c>
    </row>
    <row r="43" ht="12.75">
      <c r="B43" s="12"/>
    </row>
    <row r="44" ht="12.75">
      <c r="B44" s="12"/>
    </row>
    <row r="45" ht="12.75">
      <c r="B45" s="12"/>
    </row>
    <row r="46" ht="12.75">
      <c r="B46" s="12" t="s">
        <v>1100</v>
      </c>
    </row>
    <row r="47" ht="12.75">
      <c r="B47" s="12"/>
    </row>
    <row r="48" spans="1:3" ht="12.75">
      <c r="A48" s="186"/>
      <c r="B48" s="186"/>
      <c r="C48" s="186"/>
    </row>
    <row r="49" spans="1:5" ht="12.75">
      <c r="A49" s="186"/>
      <c r="B49" s="186"/>
      <c r="C49" s="186"/>
      <c r="D49" s="14"/>
      <c r="E49" s="14"/>
    </row>
    <row r="52" spans="1:4" ht="15.75">
      <c r="A52" s="2"/>
      <c r="B52" s="3"/>
      <c r="C52" s="4"/>
      <c r="D52" s="4"/>
    </row>
    <row r="54" ht="15">
      <c r="B54" s="17"/>
    </row>
    <row r="55" ht="15">
      <c r="B55" s="17"/>
    </row>
    <row r="56" ht="14.25">
      <c r="B56" s="18"/>
    </row>
    <row r="57" spans="1:3" ht="15.75">
      <c r="A57" s="4"/>
      <c r="B57" s="19"/>
      <c r="C57" s="4"/>
    </row>
    <row r="58" spans="1:3" ht="15">
      <c r="A58" s="2"/>
      <c r="B58" s="24"/>
      <c r="C58" s="2"/>
    </row>
    <row r="59" spans="1:3" ht="12.75">
      <c r="A59" s="2"/>
      <c r="B59" s="20"/>
      <c r="C59" s="2"/>
    </row>
    <row r="60" spans="1:3" ht="12.75">
      <c r="A60" s="2"/>
      <c r="B60" s="20"/>
      <c r="C60" s="2"/>
    </row>
    <row r="61" spans="1:3" ht="12.75">
      <c r="A61" s="5"/>
      <c r="B61" s="5"/>
      <c r="C61" s="5"/>
    </row>
    <row r="62" ht="12.75">
      <c r="B62" s="5"/>
    </row>
    <row r="63" spans="2:10" ht="15.75">
      <c r="B63" s="24"/>
      <c r="C63" s="6"/>
      <c r="D63" s="7"/>
      <c r="E63" s="7"/>
      <c r="F63" s="7"/>
      <c r="G63" s="7"/>
      <c r="H63" s="7"/>
      <c r="I63" s="7"/>
      <c r="J63" s="7"/>
    </row>
    <row r="64" ht="15.75">
      <c r="B64" s="4"/>
    </row>
    <row r="65" ht="12.75">
      <c r="B65" s="8"/>
    </row>
    <row r="66" ht="12.75">
      <c r="B66" s="5"/>
    </row>
    <row r="67" ht="12.75">
      <c r="B67" s="5"/>
    </row>
    <row r="68" spans="2:10" ht="12.75">
      <c r="B68" s="22"/>
      <c r="C68" s="9"/>
      <c r="D68" s="9"/>
      <c r="E68" s="9"/>
      <c r="F68" s="9"/>
      <c r="G68" s="9"/>
      <c r="H68" s="9"/>
      <c r="I68" s="9"/>
      <c r="J68" s="9"/>
    </row>
    <row r="69" spans="2:10" ht="12.75">
      <c r="B69" s="22"/>
      <c r="C69" s="9"/>
      <c r="D69" s="9"/>
      <c r="E69" s="9"/>
      <c r="F69" s="9"/>
      <c r="G69" s="9"/>
      <c r="H69" s="9"/>
      <c r="I69" s="9"/>
      <c r="J69" s="9"/>
    </row>
    <row r="70" spans="1:10" ht="15.75">
      <c r="A70" s="4"/>
      <c r="B70" s="8"/>
      <c r="C70" s="9"/>
      <c r="D70" s="9"/>
      <c r="E70" s="9"/>
      <c r="F70" s="9"/>
      <c r="G70" s="9"/>
      <c r="H70" s="9"/>
      <c r="I70" s="9"/>
      <c r="J70" s="9"/>
    </row>
    <row r="72" ht="12.75">
      <c r="B72" s="5"/>
    </row>
    <row r="73" ht="12.75">
      <c r="B73" s="22"/>
    </row>
    <row r="74" ht="12.75">
      <c r="B74" s="8"/>
    </row>
    <row r="77" ht="12.75">
      <c r="B77" s="8"/>
    </row>
    <row r="78" ht="12.75">
      <c r="B78" s="5"/>
    </row>
    <row r="79" ht="12.75">
      <c r="B79" s="8"/>
    </row>
    <row r="80" ht="12.75">
      <c r="B80" s="11"/>
    </row>
    <row r="81" ht="12.75">
      <c r="B81" s="5"/>
    </row>
    <row r="88" ht="12.75">
      <c r="B88" s="5"/>
    </row>
    <row r="89" ht="12.75">
      <c r="B89" s="8"/>
    </row>
    <row r="90" ht="12.75">
      <c r="B90" s="8"/>
    </row>
    <row r="91" ht="12.75">
      <c r="B91" s="23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spans="1:3" ht="12.75">
      <c r="A101" s="186"/>
      <c r="B101" s="186"/>
      <c r="C101" s="186"/>
    </row>
    <row r="102" spans="1:5" ht="12.75">
      <c r="A102" s="186"/>
      <c r="B102" s="186"/>
      <c r="C102" s="186"/>
      <c r="D102" s="14"/>
      <c r="E102" s="14"/>
    </row>
    <row r="105" spans="1:4" ht="15.75">
      <c r="A105" s="2"/>
      <c r="B105" s="3"/>
      <c r="C105" s="4"/>
      <c r="D105" s="4"/>
    </row>
    <row r="107" ht="15">
      <c r="B107" s="17"/>
    </row>
    <row r="108" ht="15">
      <c r="B108" s="17"/>
    </row>
    <row r="109" ht="14.25">
      <c r="B109" s="18"/>
    </row>
    <row r="110" spans="1:3" ht="15.75">
      <c r="A110" s="4"/>
      <c r="B110" s="19"/>
      <c r="C110" s="4"/>
    </row>
    <row r="111" spans="1:3" ht="15">
      <c r="A111" s="2"/>
      <c r="B111" s="24"/>
      <c r="C111" s="2"/>
    </row>
    <row r="112" spans="1:3" ht="12.75">
      <c r="A112" s="2"/>
      <c r="B112" s="20"/>
      <c r="C112" s="2"/>
    </row>
    <row r="113" spans="1:3" ht="12.75">
      <c r="A113" s="2"/>
      <c r="B113" s="20"/>
      <c r="C113" s="2"/>
    </row>
    <row r="114" spans="1:3" ht="12.75">
      <c r="A114" s="5"/>
      <c r="B114" s="5"/>
      <c r="C114" s="5"/>
    </row>
    <row r="115" ht="12.75">
      <c r="B115" s="5"/>
    </row>
    <row r="116" spans="2:10" ht="15.75">
      <c r="B116" s="24"/>
      <c r="C116" s="6"/>
      <c r="D116" s="7"/>
      <c r="E116" s="7"/>
      <c r="F116" s="7"/>
      <c r="G116" s="7"/>
      <c r="H116" s="7"/>
      <c r="I116" s="7"/>
      <c r="J116" s="7"/>
    </row>
    <row r="117" ht="15.75">
      <c r="B117" s="4"/>
    </row>
    <row r="118" ht="12.75">
      <c r="B118" s="8"/>
    </row>
    <row r="119" ht="12.75">
      <c r="B119" s="5"/>
    </row>
    <row r="120" ht="12.75">
      <c r="B120" s="5"/>
    </row>
    <row r="121" spans="2:10" ht="12.75">
      <c r="B121" s="22"/>
      <c r="C121" s="9"/>
      <c r="D121" s="9"/>
      <c r="E121" s="9"/>
      <c r="F121" s="9"/>
      <c r="G121" s="9"/>
      <c r="H121" s="9"/>
      <c r="I121" s="9"/>
      <c r="J121" s="9"/>
    </row>
    <row r="122" spans="2:10" ht="12.75">
      <c r="B122" s="22"/>
      <c r="C122" s="9"/>
      <c r="D122" s="9"/>
      <c r="E122" s="9"/>
      <c r="F122" s="9"/>
      <c r="G122" s="9"/>
      <c r="H122" s="9"/>
      <c r="I122" s="9"/>
      <c r="J122" s="9"/>
    </row>
    <row r="123" spans="1:10" ht="15.75">
      <c r="A123" s="4"/>
      <c r="B123" s="8"/>
      <c r="C123" s="9"/>
      <c r="D123" s="9"/>
      <c r="E123" s="9"/>
      <c r="F123" s="9"/>
      <c r="G123" s="9"/>
      <c r="H123" s="9"/>
      <c r="I123" s="9"/>
      <c r="J123" s="9"/>
    </row>
    <row r="125" ht="12.75">
      <c r="B125" s="5"/>
    </row>
    <row r="126" ht="12.75">
      <c r="B126" s="22"/>
    </row>
    <row r="127" ht="12.75">
      <c r="B127" s="8"/>
    </row>
    <row r="130" ht="12.75">
      <c r="B130" s="8"/>
    </row>
    <row r="131" ht="12.75">
      <c r="B131" s="5"/>
    </row>
    <row r="132" ht="12.75">
      <c r="B132" s="8"/>
    </row>
    <row r="133" ht="12.75">
      <c r="B133" s="11"/>
    </row>
    <row r="134" ht="12.75">
      <c r="B134" s="5"/>
    </row>
    <row r="141" ht="12.75">
      <c r="B141" s="5"/>
    </row>
    <row r="142" ht="12.75">
      <c r="B142" s="8"/>
    </row>
    <row r="143" ht="12.75">
      <c r="B143" s="8"/>
    </row>
    <row r="144" ht="12.75">
      <c r="B144" s="23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spans="1:3" ht="12.75">
      <c r="A154" s="186"/>
      <c r="B154" s="186"/>
      <c r="C154" s="186"/>
    </row>
    <row r="155" spans="1:5" ht="12.75">
      <c r="A155" s="186"/>
      <c r="B155" s="186"/>
      <c r="C155" s="186"/>
      <c r="D155" s="14"/>
      <c r="E155" s="14"/>
    </row>
    <row r="158" spans="1:4" ht="15.75">
      <c r="A158" s="2"/>
      <c r="B158" s="3"/>
      <c r="C158" s="4"/>
      <c r="D158" s="4"/>
    </row>
    <row r="160" ht="15">
      <c r="B160" s="17"/>
    </row>
    <row r="161" ht="15">
      <c r="B161" s="17"/>
    </row>
    <row r="162" ht="14.25">
      <c r="B162" s="18"/>
    </row>
    <row r="163" spans="1:3" ht="15.75">
      <c r="A163" s="4"/>
      <c r="B163" s="19"/>
      <c r="C163" s="4"/>
    </row>
    <row r="164" spans="1:3" ht="15">
      <c r="A164" s="2"/>
      <c r="B164" s="24"/>
      <c r="C164" s="2"/>
    </row>
    <row r="165" spans="1:3" ht="12.75">
      <c r="A165" s="2"/>
      <c r="B165" s="20"/>
      <c r="C165" s="2"/>
    </row>
    <row r="166" spans="1:3" ht="12.75">
      <c r="A166" s="2"/>
      <c r="B166" s="20"/>
      <c r="C166" s="2"/>
    </row>
    <row r="167" spans="1:3" ht="12.75">
      <c r="A167" s="5"/>
      <c r="B167" s="5"/>
      <c r="C167" s="5"/>
    </row>
    <row r="168" ht="12.75">
      <c r="B168" s="5"/>
    </row>
    <row r="169" spans="2:10" ht="15.75">
      <c r="B169" s="24"/>
      <c r="C169" s="6"/>
      <c r="D169" s="7"/>
      <c r="E169" s="7"/>
      <c r="F169" s="7"/>
      <c r="G169" s="7"/>
      <c r="H169" s="7"/>
      <c r="I169" s="7"/>
      <c r="J169" s="7"/>
    </row>
    <row r="170" ht="15.75">
      <c r="B170" s="4"/>
    </row>
    <row r="171" ht="12.75">
      <c r="B171" s="8"/>
    </row>
    <row r="172" ht="12.75">
      <c r="B172" s="5"/>
    </row>
    <row r="173" ht="12.75">
      <c r="B173" s="5"/>
    </row>
    <row r="174" spans="2:10" ht="12.75">
      <c r="B174" s="22"/>
      <c r="C174" s="9"/>
      <c r="D174" s="9"/>
      <c r="E174" s="9"/>
      <c r="F174" s="9"/>
      <c r="G174" s="9"/>
      <c r="H174" s="9"/>
      <c r="I174" s="9"/>
      <c r="J174" s="9"/>
    </row>
    <row r="175" spans="2:10" ht="12.75">
      <c r="B175" s="22"/>
      <c r="C175" s="9"/>
      <c r="D175" s="9"/>
      <c r="E175" s="9"/>
      <c r="F175" s="9"/>
      <c r="G175" s="9"/>
      <c r="H175" s="9"/>
      <c r="I175" s="9"/>
      <c r="J175" s="9"/>
    </row>
    <row r="176" spans="1:10" ht="15.75">
      <c r="A176" s="4"/>
      <c r="B176" s="8"/>
      <c r="C176" s="9"/>
      <c r="D176" s="9"/>
      <c r="E176" s="9"/>
      <c r="F176" s="9"/>
      <c r="G176" s="9"/>
      <c r="H176" s="9"/>
      <c r="I176" s="9"/>
      <c r="J176" s="9"/>
    </row>
    <row r="178" ht="12.75">
      <c r="B178" s="5"/>
    </row>
    <row r="179" ht="12.75">
      <c r="B179" s="22"/>
    </row>
    <row r="180" ht="12.75">
      <c r="B180" s="8"/>
    </row>
    <row r="183" ht="12.75">
      <c r="B183" s="8"/>
    </row>
    <row r="184" ht="12.75">
      <c r="B184" s="5"/>
    </row>
    <row r="185" ht="12.75">
      <c r="B185" s="8"/>
    </row>
    <row r="186" ht="12.75">
      <c r="B186" s="11"/>
    </row>
    <row r="187" ht="12.75">
      <c r="B187" s="5"/>
    </row>
    <row r="194" ht="12.75">
      <c r="B194" s="5"/>
    </row>
    <row r="195" ht="12.75">
      <c r="B195" s="8"/>
    </row>
    <row r="196" ht="12.75">
      <c r="B196" s="8"/>
    </row>
    <row r="197" ht="12.75">
      <c r="B197" s="23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spans="1:3" ht="12.75">
      <c r="A207" s="186"/>
      <c r="B207" s="186"/>
      <c r="C207" s="186"/>
    </row>
    <row r="208" spans="1:5" ht="12.75">
      <c r="A208" s="186"/>
      <c r="B208" s="186"/>
      <c r="C208" s="186"/>
      <c r="D208" s="14"/>
      <c r="E208" s="14"/>
    </row>
    <row r="211" spans="1:4" ht="15.75">
      <c r="A211" s="2"/>
      <c r="B211" s="3"/>
      <c r="C211" s="4"/>
      <c r="D211" s="4"/>
    </row>
    <row r="213" ht="15">
      <c r="B213" s="17"/>
    </row>
    <row r="214" ht="15">
      <c r="B214" s="17"/>
    </row>
    <row r="215" ht="14.25">
      <c r="B215" s="18"/>
    </row>
    <row r="216" spans="1:3" ht="15.75">
      <c r="A216" s="4"/>
      <c r="B216" s="19"/>
      <c r="C216" s="4"/>
    </row>
    <row r="217" spans="1:3" ht="15">
      <c r="A217" s="2"/>
      <c r="B217" s="24"/>
      <c r="C217" s="2"/>
    </row>
    <row r="218" spans="1:3" ht="12.75">
      <c r="A218" s="2"/>
      <c r="B218" s="20"/>
      <c r="C218" s="2"/>
    </row>
    <row r="219" spans="1:3" ht="12.75">
      <c r="A219" s="2"/>
      <c r="B219" s="20"/>
      <c r="C219" s="2"/>
    </row>
    <row r="220" spans="1:3" ht="12.75">
      <c r="A220" s="5"/>
      <c r="B220" s="5"/>
      <c r="C220" s="5"/>
    </row>
    <row r="221" ht="12.75">
      <c r="B221" s="5"/>
    </row>
    <row r="222" spans="2:10" ht="15.75">
      <c r="B222" s="24"/>
      <c r="C222" s="6"/>
      <c r="D222" s="7"/>
      <c r="E222" s="7"/>
      <c r="F222" s="7"/>
      <c r="G222" s="7"/>
      <c r="H222" s="7"/>
      <c r="I222" s="7"/>
      <c r="J222" s="7"/>
    </row>
    <row r="223" ht="15.75">
      <c r="B223" s="4"/>
    </row>
    <row r="224" ht="12.75">
      <c r="B224" s="8"/>
    </row>
    <row r="225" ht="12.75">
      <c r="B225" s="5"/>
    </row>
    <row r="226" ht="12.75">
      <c r="B226" s="5"/>
    </row>
    <row r="227" spans="2:10" ht="12.75">
      <c r="B227" s="22"/>
      <c r="C227" s="9"/>
      <c r="D227" s="9"/>
      <c r="E227" s="9"/>
      <c r="F227" s="9"/>
      <c r="G227" s="9"/>
      <c r="H227" s="9"/>
      <c r="I227" s="9"/>
      <c r="J227" s="9"/>
    </row>
    <row r="228" spans="2:10" ht="12.75">
      <c r="B228" s="22"/>
      <c r="C228" s="9"/>
      <c r="D228" s="9"/>
      <c r="E228" s="9"/>
      <c r="F228" s="9"/>
      <c r="G228" s="9"/>
      <c r="H228" s="9"/>
      <c r="I228" s="9"/>
      <c r="J228" s="9"/>
    </row>
    <row r="229" spans="1:10" ht="15.75">
      <c r="A229" s="4"/>
      <c r="B229" s="8"/>
      <c r="C229" s="9"/>
      <c r="D229" s="9"/>
      <c r="E229" s="9"/>
      <c r="F229" s="9"/>
      <c r="G229" s="9"/>
      <c r="H229" s="9"/>
      <c r="I229" s="9"/>
      <c r="J229" s="9"/>
    </row>
    <row r="231" ht="12.75">
      <c r="B231" s="5"/>
    </row>
    <row r="232" ht="12.75">
      <c r="B232" s="22"/>
    </row>
    <row r="233" ht="12.75">
      <c r="B233" s="8"/>
    </row>
    <row r="236" ht="12.75">
      <c r="B236" s="8"/>
    </row>
    <row r="237" ht="12.75">
      <c r="B237" s="5"/>
    </row>
    <row r="238" ht="12.75">
      <c r="B238" s="8"/>
    </row>
    <row r="239" ht="12.75">
      <c r="B239" s="11"/>
    </row>
    <row r="240" ht="12.75">
      <c r="B240" s="5"/>
    </row>
    <row r="247" ht="12.75">
      <c r="B247" s="5"/>
    </row>
    <row r="248" ht="12.75">
      <c r="B248" s="8"/>
    </row>
    <row r="249" ht="12.75">
      <c r="B249" s="8"/>
    </row>
    <row r="250" ht="12.75">
      <c r="B250" s="23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spans="1:3" ht="12.75">
      <c r="A260" s="186"/>
      <c r="B260" s="186"/>
      <c r="C260" s="186"/>
    </row>
    <row r="261" spans="1:5" ht="12.75">
      <c r="A261" s="186"/>
      <c r="B261" s="186"/>
      <c r="C261" s="186"/>
      <c r="D261" s="14"/>
      <c r="E261" s="14"/>
    </row>
    <row r="263" s="2" customFormat="1" ht="12.75">
      <c r="B263" s="20"/>
    </row>
    <row r="264" s="2" customFormat="1" ht="12.75">
      <c r="B264" s="20"/>
    </row>
    <row r="265" s="2" customFormat="1" ht="12.75">
      <c r="B265" s="20"/>
    </row>
    <row r="266" s="2" customFormat="1" ht="12.75">
      <c r="B266" s="20"/>
    </row>
    <row r="267" s="2" customFormat="1" ht="12.75">
      <c r="B267" s="20"/>
    </row>
    <row r="268" s="2" customFormat="1" ht="12.75">
      <c r="B268" s="20"/>
    </row>
    <row r="269" s="2" customFormat="1" ht="12.75">
      <c r="B269" s="20"/>
    </row>
    <row r="270" s="2" customFormat="1" ht="12.75">
      <c r="B270" s="20"/>
    </row>
    <row r="271" s="2" customFormat="1" ht="12.75">
      <c r="B271" s="20"/>
    </row>
    <row r="272" spans="1:3" s="2" customFormat="1" ht="15.75">
      <c r="A272" s="4"/>
      <c r="B272" s="4"/>
      <c r="C272" s="4"/>
    </row>
    <row r="273" s="2" customFormat="1" ht="12.75">
      <c r="B273" s="20"/>
    </row>
    <row r="274" s="2" customFormat="1" ht="12.75">
      <c r="B274" s="20"/>
    </row>
    <row r="275" s="2" customFormat="1" ht="12.75">
      <c r="B275" s="20"/>
    </row>
    <row r="276" spans="1:3" s="2" customFormat="1" ht="12.75">
      <c r="A276" s="5"/>
      <c r="B276" s="5"/>
      <c r="C276" s="5"/>
    </row>
    <row r="277" s="2" customFormat="1" ht="12.75">
      <c r="B277" s="5"/>
    </row>
    <row r="278" spans="1:3" s="2" customFormat="1" ht="15.75">
      <c r="A278" s="6"/>
      <c r="B278" s="25"/>
      <c r="C278" s="6"/>
    </row>
    <row r="279" s="2" customFormat="1" ht="15.75">
      <c r="B279" s="4"/>
    </row>
    <row r="280" s="2" customFormat="1" ht="12.75">
      <c r="B280" s="8"/>
    </row>
    <row r="281" s="2" customFormat="1" ht="12.75">
      <c r="B281" s="5"/>
    </row>
    <row r="282" s="2" customFormat="1" ht="12.75">
      <c r="B282" s="5"/>
    </row>
    <row r="283" spans="2:3" s="2" customFormat="1" ht="12.75">
      <c r="B283" s="22"/>
      <c r="C283" s="9"/>
    </row>
    <row r="284" spans="1:3" s="2" customFormat="1" ht="15.75">
      <c r="A284" s="4"/>
      <c r="B284" s="8"/>
      <c r="C284" s="9"/>
    </row>
    <row r="285" spans="1:3" s="2" customFormat="1" ht="15.75">
      <c r="A285" s="4"/>
      <c r="B285" s="8"/>
      <c r="C285" s="9"/>
    </row>
    <row r="286" spans="1:3" s="2" customFormat="1" ht="15.75">
      <c r="A286" s="4"/>
      <c r="B286" s="8"/>
      <c r="C286" s="9"/>
    </row>
    <row r="287" spans="1:3" s="2" customFormat="1" ht="12.75">
      <c r="A287" s="10"/>
      <c r="B287" s="22"/>
      <c r="C287" s="10"/>
    </row>
    <row r="288" s="2" customFormat="1" ht="12.75">
      <c r="B288" s="8"/>
    </row>
    <row r="289" s="2" customFormat="1" ht="12.75">
      <c r="B289" s="5"/>
    </row>
    <row r="290" s="2" customFormat="1" ht="12.75">
      <c r="B290" s="8"/>
    </row>
    <row r="291" s="2" customFormat="1" ht="12.75">
      <c r="B291" s="8"/>
    </row>
    <row r="292" s="2" customFormat="1" ht="12.75">
      <c r="B292" s="5"/>
    </row>
    <row r="293" s="2" customFormat="1" ht="12.75">
      <c r="B293" s="20"/>
    </row>
    <row r="294" s="2" customFormat="1" ht="12.75">
      <c r="B294" s="20"/>
    </row>
    <row r="295" s="2" customFormat="1" ht="12.75">
      <c r="B295" s="20"/>
    </row>
    <row r="296" s="2" customFormat="1" ht="12.75">
      <c r="B296" s="20"/>
    </row>
    <row r="297" s="2" customFormat="1" ht="12.75">
      <c r="B297" s="20"/>
    </row>
    <row r="298" s="2" customFormat="1" ht="12.75">
      <c r="B298" s="20"/>
    </row>
    <row r="299" s="2" customFormat="1" ht="12.75">
      <c r="B299" s="20"/>
    </row>
    <row r="300" s="2" customFormat="1" ht="12.75">
      <c r="B300" s="20"/>
    </row>
    <row r="301" s="2" customFormat="1" ht="12.75">
      <c r="B301" s="20"/>
    </row>
    <row r="302" s="2" customFormat="1" ht="12.75">
      <c r="B302" s="20"/>
    </row>
    <row r="303" s="2" customFormat="1" ht="12.75">
      <c r="B303" s="20"/>
    </row>
    <row r="304" s="2" customFormat="1" ht="12.75">
      <c r="B304" s="20"/>
    </row>
    <row r="305" s="2" customFormat="1" ht="12.75" customHeight="1">
      <c r="B305" s="12"/>
    </row>
    <row r="306" spans="2:5" s="2" customFormat="1" ht="12.75" customHeight="1">
      <c r="B306" s="12"/>
      <c r="D306" s="14"/>
      <c r="E306" s="14"/>
    </row>
    <row r="307" s="2" customFormat="1" ht="12.75">
      <c r="B307" s="12"/>
    </row>
    <row r="308" s="2" customFormat="1" ht="12.75">
      <c r="B308" s="26"/>
    </row>
    <row r="309" s="2" customFormat="1" ht="12.75">
      <c r="B309" s="12"/>
    </row>
    <row r="310" spans="1:3" s="2" customFormat="1" ht="26.25">
      <c r="A310" s="13"/>
      <c r="B310" s="27"/>
      <c r="C310" s="13"/>
    </row>
    <row r="311" spans="1:3" s="2" customFormat="1" ht="26.25">
      <c r="A311" s="13"/>
      <c r="B311" s="27"/>
      <c r="C311" s="13"/>
    </row>
    <row r="312" s="2" customFormat="1" ht="12.75">
      <c r="B312" s="20"/>
    </row>
    <row r="313" s="2" customFormat="1" ht="12.75">
      <c r="B313" s="20"/>
    </row>
    <row r="314" s="2" customFormat="1" ht="12.75">
      <c r="B314" s="20"/>
    </row>
    <row r="315" s="2" customFormat="1" ht="12.75">
      <c r="B315" s="20"/>
    </row>
    <row r="316" s="2" customFormat="1" ht="12.75">
      <c r="B316" s="20"/>
    </row>
    <row r="317" s="2" customFormat="1" ht="12.75">
      <c r="B317" s="20"/>
    </row>
    <row r="318" s="2" customFormat="1" ht="12.75">
      <c r="B318" s="20"/>
    </row>
    <row r="319" s="2" customFormat="1" ht="12.75">
      <c r="B319" s="20"/>
    </row>
    <row r="320" s="2" customFormat="1" ht="12.75">
      <c r="B320" s="20"/>
    </row>
    <row r="321" s="2" customFormat="1" ht="12.75">
      <c r="B321" s="20"/>
    </row>
    <row r="322" s="2" customFormat="1" ht="12.75">
      <c r="B322" s="20"/>
    </row>
    <row r="323" s="2" customFormat="1" ht="12.75">
      <c r="B323" s="20"/>
    </row>
    <row r="324" s="2" customFormat="1" ht="12.75">
      <c r="B324" s="20"/>
    </row>
    <row r="325" s="2" customFormat="1" ht="12.75">
      <c r="B325" s="20"/>
    </row>
    <row r="326" s="2" customFormat="1" ht="12.75">
      <c r="B326" s="20"/>
    </row>
    <row r="327" s="2" customFormat="1" ht="12.75">
      <c r="B327" s="20"/>
    </row>
    <row r="328" s="2" customFormat="1" ht="12.75">
      <c r="B328" s="20"/>
    </row>
    <row r="329" s="2" customFormat="1" ht="12.75">
      <c r="B329" s="20"/>
    </row>
    <row r="330" s="2" customFormat="1" ht="12.75">
      <c r="B330" s="20"/>
    </row>
    <row r="331" s="2" customFormat="1" ht="12.75">
      <c r="B331" s="20"/>
    </row>
    <row r="332" s="2" customFormat="1" ht="12.75">
      <c r="B332" s="20"/>
    </row>
    <row r="333" s="2" customFormat="1" ht="12.75">
      <c r="B333" s="20"/>
    </row>
    <row r="334" s="2" customFormat="1" ht="12.75">
      <c r="B334" s="20"/>
    </row>
    <row r="335" s="2" customFormat="1" ht="12.75">
      <c r="B335" s="20"/>
    </row>
    <row r="336" s="2" customFormat="1" ht="12.75">
      <c r="B336" s="20"/>
    </row>
    <row r="337" s="2" customFormat="1" ht="12.75">
      <c r="B337" s="20"/>
    </row>
    <row r="338" s="2" customFormat="1" ht="12.75">
      <c r="B338" s="20"/>
    </row>
    <row r="339" s="2" customFormat="1" ht="12.75">
      <c r="B339" s="20"/>
    </row>
    <row r="340" s="2" customFormat="1" ht="12.75">
      <c r="B340" s="20"/>
    </row>
    <row r="341" s="2" customFormat="1" ht="12.75">
      <c r="B341" s="20"/>
    </row>
    <row r="342" s="2" customFormat="1" ht="12.75">
      <c r="B342" s="20"/>
    </row>
    <row r="343" s="2" customFormat="1" ht="12.75">
      <c r="B343" s="20"/>
    </row>
    <row r="344" s="2" customFormat="1" ht="12.75">
      <c r="B344" s="20"/>
    </row>
    <row r="345" s="2" customFormat="1" ht="12.75">
      <c r="B345" s="20"/>
    </row>
    <row r="346" s="2" customFormat="1" ht="12.75">
      <c r="B346" s="20"/>
    </row>
    <row r="347" s="2" customFormat="1" ht="12.75">
      <c r="B347" s="20"/>
    </row>
    <row r="348" s="2" customFormat="1" ht="12.75">
      <c r="B348" s="20"/>
    </row>
    <row r="349" s="2" customFormat="1" ht="12.75">
      <c r="B349" s="20"/>
    </row>
    <row r="350" s="2" customFormat="1" ht="12.75">
      <c r="B350" s="20"/>
    </row>
    <row r="351" s="2" customFormat="1" ht="12.75">
      <c r="B351" s="20"/>
    </row>
    <row r="352" s="2" customFormat="1" ht="12.75">
      <c r="B352" s="20"/>
    </row>
    <row r="353" s="2" customFormat="1" ht="12.75">
      <c r="B353" s="20"/>
    </row>
    <row r="354" s="2" customFormat="1" ht="12.75">
      <c r="B354" s="20"/>
    </row>
    <row r="355" s="2" customFormat="1" ht="12.75">
      <c r="B355" s="20"/>
    </row>
    <row r="356" s="2" customFormat="1" ht="12.75">
      <c r="B356" s="20"/>
    </row>
    <row r="357" s="2" customFormat="1" ht="12.75">
      <c r="B357" s="20"/>
    </row>
    <row r="358" s="2" customFormat="1" ht="12.75">
      <c r="B358" s="20"/>
    </row>
    <row r="359" s="2" customFormat="1" ht="12.75">
      <c r="B359" s="20"/>
    </row>
    <row r="360" s="2" customFormat="1" ht="12.75">
      <c r="B360" s="20"/>
    </row>
    <row r="361" s="2" customFormat="1" ht="12.75">
      <c r="B361" s="20"/>
    </row>
    <row r="362" s="2" customFormat="1" ht="12.75">
      <c r="B362" s="20"/>
    </row>
    <row r="363" s="2" customFormat="1" ht="12.75">
      <c r="B363" s="20"/>
    </row>
    <row r="364" s="2" customFormat="1" ht="12.75">
      <c r="B364" s="20"/>
    </row>
    <row r="365" s="2" customFormat="1" ht="12.75">
      <c r="B365" s="20"/>
    </row>
    <row r="366" s="2" customFormat="1" ht="12.75">
      <c r="B366" s="20"/>
    </row>
    <row r="367" s="2" customFormat="1" ht="12.75">
      <c r="B367" s="20"/>
    </row>
    <row r="368" s="2" customFormat="1" ht="12.75">
      <c r="B368" s="20"/>
    </row>
    <row r="369" s="2" customFormat="1" ht="12.75">
      <c r="B369" s="20"/>
    </row>
    <row r="370" s="2" customFormat="1" ht="12.75">
      <c r="B370" s="20"/>
    </row>
    <row r="371" s="2" customFormat="1" ht="12.75">
      <c r="B371" s="20"/>
    </row>
    <row r="372" s="2" customFormat="1" ht="12.75">
      <c r="B372" s="20"/>
    </row>
    <row r="373" s="2" customFormat="1" ht="12.75">
      <c r="B373" s="20"/>
    </row>
    <row r="374" s="2" customFormat="1" ht="12.75">
      <c r="B374" s="20"/>
    </row>
    <row r="375" s="2" customFormat="1" ht="12.75">
      <c r="B375" s="20"/>
    </row>
    <row r="376" s="2" customFormat="1" ht="12.75">
      <c r="B376" s="20"/>
    </row>
    <row r="377" s="2" customFormat="1" ht="12.75">
      <c r="B377" s="20"/>
    </row>
    <row r="378" s="2" customFormat="1" ht="12.75">
      <c r="B378" s="20"/>
    </row>
    <row r="379" s="2" customFormat="1" ht="12.75">
      <c r="B379" s="20"/>
    </row>
    <row r="380" s="2" customFormat="1" ht="12.75">
      <c r="B380" s="20"/>
    </row>
    <row r="381" s="2" customFormat="1" ht="12.75">
      <c r="B381" s="20"/>
    </row>
    <row r="382" s="2" customFormat="1" ht="12.75">
      <c r="B382" s="20"/>
    </row>
    <row r="383" s="2" customFormat="1" ht="12.75">
      <c r="B383" s="20"/>
    </row>
    <row r="384" s="2" customFormat="1" ht="12.75">
      <c r="B384" s="20"/>
    </row>
    <row r="385" s="2" customFormat="1" ht="12.75">
      <c r="B385" s="20"/>
    </row>
    <row r="386" s="2" customFormat="1" ht="12.75">
      <c r="B386" s="20"/>
    </row>
    <row r="387" s="2" customFormat="1" ht="12.75">
      <c r="B387" s="20"/>
    </row>
    <row r="388" s="2" customFormat="1" ht="12.75">
      <c r="B388" s="20"/>
    </row>
    <row r="389" s="2" customFormat="1" ht="12.75">
      <c r="B389" s="20"/>
    </row>
    <row r="390" s="2" customFormat="1" ht="12.75">
      <c r="B390" s="20"/>
    </row>
    <row r="391" s="2" customFormat="1" ht="12.75">
      <c r="B391" s="20"/>
    </row>
    <row r="392" s="2" customFormat="1" ht="12.75">
      <c r="B392" s="20"/>
    </row>
    <row r="393" s="2" customFormat="1" ht="12.75">
      <c r="B393" s="20"/>
    </row>
    <row r="394" s="2" customFormat="1" ht="12.75">
      <c r="B394" s="20"/>
    </row>
    <row r="395" s="2" customFormat="1" ht="12.75">
      <c r="B395" s="20"/>
    </row>
    <row r="396" s="2" customFormat="1" ht="12.75">
      <c r="B396" s="20"/>
    </row>
    <row r="397" s="2" customFormat="1" ht="12.75">
      <c r="B397" s="20"/>
    </row>
    <row r="398" s="2" customFormat="1" ht="12.75">
      <c r="B398" s="20"/>
    </row>
    <row r="399" s="2" customFormat="1" ht="12.75">
      <c r="B399" s="20"/>
    </row>
    <row r="400" s="2" customFormat="1" ht="12.75">
      <c r="B400" s="20"/>
    </row>
    <row r="401" s="2" customFormat="1" ht="12.75">
      <c r="B401" s="20"/>
    </row>
    <row r="402" s="2" customFormat="1" ht="12.75">
      <c r="B402" s="20"/>
    </row>
    <row r="403" s="2" customFormat="1" ht="12.75">
      <c r="B403" s="20"/>
    </row>
    <row r="404" s="2" customFormat="1" ht="12.75">
      <c r="B404" s="20"/>
    </row>
    <row r="405" s="2" customFormat="1" ht="12.75">
      <c r="B405" s="20"/>
    </row>
    <row r="406" s="2" customFormat="1" ht="12.75">
      <c r="B406" s="20"/>
    </row>
    <row r="407" s="2" customFormat="1" ht="12.75">
      <c r="B407" s="20"/>
    </row>
    <row r="408" s="2" customFormat="1" ht="12.75">
      <c r="B408" s="20"/>
    </row>
    <row r="409" s="2" customFormat="1" ht="12.75">
      <c r="B409" s="20"/>
    </row>
    <row r="410" s="2" customFormat="1" ht="12.75">
      <c r="B410" s="20"/>
    </row>
    <row r="411" s="2" customFormat="1" ht="12.75">
      <c r="B411" s="20"/>
    </row>
    <row r="412" s="2" customFormat="1" ht="12.75">
      <c r="B412" s="20"/>
    </row>
    <row r="413" s="2" customFormat="1" ht="12.75">
      <c r="B413" s="20"/>
    </row>
    <row r="414" s="2" customFormat="1" ht="12.75">
      <c r="B414" s="20"/>
    </row>
    <row r="415" s="2" customFormat="1" ht="12.75">
      <c r="B415" s="20"/>
    </row>
  </sheetData>
  <sheetProtection/>
  <mergeCells count="5">
    <mergeCell ref="A260:C261"/>
    <mergeCell ref="A48:C49"/>
    <mergeCell ref="A101:C102"/>
    <mergeCell ref="A154:C155"/>
    <mergeCell ref="A207:C20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8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7109375" style="182" customWidth="1"/>
    <col min="2" max="2" width="12.421875" style="71" customWidth="1"/>
    <col min="3" max="3" width="43.421875" style="64" customWidth="1"/>
    <col min="4" max="4" width="4.8515625" style="71" customWidth="1"/>
    <col min="5" max="5" width="9.140625" style="204" customWidth="1"/>
    <col min="6" max="6" width="10.140625" style="250" customWidth="1"/>
    <col min="7" max="7" width="12.421875" style="187" customWidth="1"/>
    <col min="8" max="8" width="6.140625" style="235" customWidth="1"/>
    <col min="9" max="9" width="7.421875" style="220" customWidth="1"/>
    <col min="10" max="10" width="11.421875" style="72" bestFit="1" customWidth="1"/>
    <col min="11" max="11" width="13.28125" style="64" customWidth="1"/>
    <col min="12" max="12" width="28.421875" style="64" customWidth="1"/>
    <col min="13" max="13" width="9.140625" style="64" customWidth="1"/>
    <col min="14" max="14" width="10.421875" style="64" bestFit="1" customWidth="1"/>
    <col min="15" max="15" width="9.421875" style="64" bestFit="1" customWidth="1"/>
    <col min="16" max="16384" width="9.140625" style="64" customWidth="1"/>
  </cols>
  <sheetData>
    <row r="2" ht="12.75">
      <c r="C2" s="60" t="s">
        <v>1099</v>
      </c>
    </row>
    <row r="3" ht="12">
      <c r="C3" s="97"/>
    </row>
    <row r="4" ht="12">
      <c r="C4" s="97" t="s">
        <v>52</v>
      </c>
    </row>
    <row r="5" ht="12.75">
      <c r="C5" s="60" t="s">
        <v>232</v>
      </c>
    </row>
    <row r="7" ht="12">
      <c r="C7" s="97" t="s">
        <v>64</v>
      </c>
    </row>
    <row r="8" ht="24">
      <c r="C8" s="73" t="s">
        <v>99</v>
      </c>
    </row>
    <row r="9" ht="12">
      <c r="C9" s="73"/>
    </row>
    <row r="10" ht="12">
      <c r="C10" s="107" t="s">
        <v>100</v>
      </c>
    </row>
    <row r="11" ht="24">
      <c r="C11" s="73" t="s">
        <v>99</v>
      </c>
    </row>
    <row r="12" ht="12">
      <c r="C12" s="73"/>
    </row>
    <row r="13" ht="12.75">
      <c r="C13" s="74" t="s">
        <v>65</v>
      </c>
    </row>
    <row r="14" spans="1:9" ht="12">
      <c r="A14" s="182" t="s">
        <v>48</v>
      </c>
      <c r="C14" s="64" t="s">
        <v>172</v>
      </c>
      <c r="D14" s="71" t="s">
        <v>51</v>
      </c>
      <c r="G14" s="187">
        <f>G48</f>
        <v>0</v>
      </c>
      <c r="I14" s="75"/>
    </row>
    <row r="15" spans="1:9" ht="12">
      <c r="A15" s="182" t="s">
        <v>49</v>
      </c>
      <c r="C15" s="64" t="s">
        <v>202</v>
      </c>
      <c r="D15" s="71" t="s">
        <v>51</v>
      </c>
      <c r="G15" s="187">
        <f>G200</f>
        <v>0</v>
      </c>
      <c r="I15" s="75"/>
    </row>
    <row r="16" spans="1:9" ht="12">
      <c r="A16" s="182" t="s">
        <v>50</v>
      </c>
      <c r="C16" s="64" t="s">
        <v>307</v>
      </c>
      <c r="D16" s="71" t="s">
        <v>51</v>
      </c>
      <c r="G16" s="187">
        <f>G230</f>
        <v>0</v>
      </c>
      <c r="I16" s="75"/>
    </row>
    <row r="17" spans="1:7" ht="12">
      <c r="A17" s="182" t="s">
        <v>18</v>
      </c>
      <c r="C17" s="50" t="s">
        <v>173</v>
      </c>
      <c r="D17" s="71" t="s">
        <v>51</v>
      </c>
      <c r="G17" s="187">
        <f>G234</f>
        <v>0</v>
      </c>
    </row>
    <row r="18" spans="1:7" ht="12">
      <c r="A18" s="182" t="s">
        <v>19</v>
      </c>
      <c r="C18" s="50" t="s">
        <v>94</v>
      </c>
      <c r="D18" s="71" t="s">
        <v>51</v>
      </c>
      <c r="G18" s="187">
        <f>G298</f>
        <v>0</v>
      </c>
    </row>
    <row r="19" spans="1:7" ht="12">
      <c r="A19" s="182" t="s">
        <v>20</v>
      </c>
      <c r="C19" s="45" t="s">
        <v>72</v>
      </c>
      <c r="D19" s="71" t="s">
        <v>51</v>
      </c>
      <c r="G19" s="187">
        <f>G322</f>
        <v>0</v>
      </c>
    </row>
    <row r="20" spans="1:7" ht="12">
      <c r="A20" s="182" t="s">
        <v>21</v>
      </c>
      <c r="C20" s="65" t="s">
        <v>138</v>
      </c>
      <c r="D20" s="71" t="s">
        <v>51</v>
      </c>
      <c r="G20" s="187">
        <f>G333</f>
        <v>0</v>
      </c>
    </row>
    <row r="21" spans="1:7" ht="12">
      <c r="A21" s="182" t="s">
        <v>22</v>
      </c>
      <c r="C21" s="65" t="s">
        <v>141</v>
      </c>
      <c r="D21" s="71" t="s">
        <v>51</v>
      </c>
      <c r="G21" s="187">
        <f>G345</f>
        <v>0</v>
      </c>
    </row>
    <row r="22" spans="1:7" ht="12">
      <c r="A22" s="182" t="s">
        <v>23</v>
      </c>
      <c r="C22" s="65" t="s">
        <v>143</v>
      </c>
      <c r="D22" s="71" t="s">
        <v>51</v>
      </c>
      <c r="G22" s="187">
        <f>G370</f>
        <v>0</v>
      </c>
    </row>
    <row r="23" spans="1:7" ht="12">
      <c r="A23" s="182" t="s">
        <v>24</v>
      </c>
      <c r="C23" s="65" t="s">
        <v>174</v>
      </c>
      <c r="D23" s="71" t="s">
        <v>51</v>
      </c>
      <c r="G23" s="187">
        <f>G379</f>
        <v>0</v>
      </c>
    </row>
    <row r="24" spans="1:7" ht="12">
      <c r="A24" s="182" t="s">
        <v>25</v>
      </c>
      <c r="C24" s="65" t="s">
        <v>520</v>
      </c>
      <c r="D24" s="71" t="s">
        <v>51</v>
      </c>
      <c r="G24" s="187">
        <f>G411</f>
        <v>0</v>
      </c>
    </row>
    <row r="25" spans="1:7" ht="12">
      <c r="A25" s="182" t="s">
        <v>26</v>
      </c>
      <c r="C25" s="180" t="s">
        <v>518</v>
      </c>
      <c r="D25" s="71" t="s">
        <v>51</v>
      </c>
      <c r="G25" s="187">
        <f>G417</f>
        <v>0</v>
      </c>
    </row>
    <row r="26" spans="1:7" ht="12.75">
      <c r="A26" s="182" t="s">
        <v>27</v>
      </c>
      <c r="C26" s="46" t="s">
        <v>73</v>
      </c>
      <c r="D26" s="71" t="s">
        <v>51</v>
      </c>
      <c r="G26" s="187">
        <f>G432</f>
        <v>0</v>
      </c>
    </row>
    <row r="27" spans="1:11" ht="12.75">
      <c r="A27" s="182" t="s">
        <v>28</v>
      </c>
      <c r="C27" s="46" t="s">
        <v>175</v>
      </c>
      <c r="D27" s="71" t="s">
        <v>51</v>
      </c>
      <c r="G27" s="187">
        <f>G479</f>
        <v>0</v>
      </c>
      <c r="K27" s="142"/>
    </row>
    <row r="28" spans="1:7" ht="12.75">
      <c r="A28" s="182" t="s">
        <v>29</v>
      </c>
      <c r="C28" s="104" t="s">
        <v>182</v>
      </c>
      <c r="D28" s="71" t="s">
        <v>51</v>
      </c>
      <c r="G28" s="187">
        <f>G490</f>
        <v>0</v>
      </c>
    </row>
    <row r="29" spans="1:7" ht="12.75">
      <c r="A29" s="182" t="s">
        <v>60</v>
      </c>
      <c r="C29" s="104" t="s">
        <v>183</v>
      </c>
      <c r="D29" s="71" t="s">
        <v>51</v>
      </c>
      <c r="G29" s="187">
        <f>G521</f>
        <v>0</v>
      </c>
    </row>
    <row r="30" spans="1:3" ht="12.75">
      <c r="A30" s="182" t="s">
        <v>61</v>
      </c>
      <c r="C30" s="104"/>
    </row>
    <row r="31" spans="1:7" ht="12.75">
      <c r="A31" s="182" t="s">
        <v>62</v>
      </c>
      <c r="C31" s="181" t="s">
        <v>523</v>
      </c>
      <c r="D31" s="78" t="s">
        <v>51</v>
      </c>
      <c r="E31" s="205"/>
      <c r="F31" s="251"/>
      <c r="G31" s="133">
        <f>SUM(G14:G30)</f>
        <v>0</v>
      </c>
    </row>
    <row r="32" spans="1:3" ht="12.75">
      <c r="A32" s="182" t="s">
        <v>74</v>
      </c>
      <c r="C32" s="46"/>
    </row>
    <row r="33" spans="1:9" ht="25.5">
      <c r="A33" s="182" t="s">
        <v>75</v>
      </c>
      <c r="C33" s="134" t="s">
        <v>522</v>
      </c>
      <c r="D33" s="71" t="s">
        <v>51</v>
      </c>
      <c r="G33" s="274">
        <v>0</v>
      </c>
      <c r="I33" s="218"/>
    </row>
    <row r="34" ht="12">
      <c r="A34" s="182" t="s">
        <v>76</v>
      </c>
    </row>
    <row r="35" spans="1:9" ht="12">
      <c r="A35" s="182" t="s">
        <v>77</v>
      </c>
      <c r="C35" s="73" t="s">
        <v>30</v>
      </c>
      <c r="D35" s="76" t="s">
        <v>51</v>
      </c>
      <c r="G35" s="202">
        <f>SUM(G31:G33)</f>
        <v>0</v>
      </c>
      <c r="I35" s="187"/>
    </row>
    <row r="36" spans="1:7" ht="13.5" customHeight="1">
      <c r="A36" s="182" t="s">
        <v>78</v>
      </c>
      <c r="C36" s="77"/>
      <c r="D36" s="78"/>
      <c r="G36" s="202"/>
    </row>
    <row r="37" spans="1:7" ht="13.5" customHeight="1">
      <c r="A37" s="182" t="s">
        <v>524</v>
      </c>
      <c r="C37" s="79" t="s">
        <v>63</v>
      </c>
      <c r="D37" s="71" t="s">
        <v>51</v>
      </c>
      <c r="G37" s="203">
        <f>G35*0.21</f>
        <v>0</v>
      </c>
    </row>
    <row r="38" spans="1:7" ht="12.75">
      <c r="A38" s="182" t="s">
        <v>79</v>
      </c>
      <c r="C38" s="80" t="s">
        <v>145</v>
      </c>
      <c r="D38" s="80" t="s">
        <v>51</v>
      </c>
      <c r="E38" s="206"/>
      <c r="F38" s="252"/>
      <c r="G38" s="202">
        <f>SUM(G35:G37)</f>
        <v>0</v>
      </c>
    </row>
    <row r="39" spans="1:3" ht="12">
      <c r="A39" s="182" t="s">
        <v>80</v>
      </c>
      <c r="C39" s="73"/>
    </row>
    <row r="40" spans="1:7" ht="12">
      <c r="A40" s="182" t="s">
        <v>525</v>
      </c>
      <c r="B40" s="169"/>
      <c r="C40" s="81"/>
      <c r="G40" s="133"/>
    </row>
    <row r="41" spans="1:7" ht="22.5">
      <c r="A41" s="182" t="s">
        <v>526</v>
      </c>
      <c r="B41" s="169"/>
      <c r="C41" s="82" t="s">
        <v>57</v>
      </c>
      <c r="G41" s="133"/>
    </row>
    <row r="42" spans="1:7" ht="12">
      <c r="A42" s="182" t="s">
        <v>527</v>
      </c>
      <c r="B42" s="169"/>
      <c r="C42" s="81" t="s">
        <v>180</v>
      </c>
      <c r="G42" s="133"/>
    </row>
    <row r="43" spans="1:7" ht="22.5">
      <c r="A43" s="182" t="s">
        <v>528</v>
      </c>
      <c r="B43" s="169"/>
      <c r="C43" s="83" t="s">
        <v>93</v>
      </c>
      <c r="G43" s="133"/>
    </row>
    <row r="44" spans="1:7" ht="12">
      <c r="A44" s="182" t="s">
        <v>529</v>
      </c>
      <c r="B44" s="169"/>
      <c r="C44" s="83" t="s">
        <v>181</v>
      </c>
      <c r="G44" s="133"/>
    </row>
    <row r="45" ht="12">
      <c r="A45" s="182" t="s">
        <v>530</v>
      </c>
    </row>
    <row r="46" spans="1:10" s="90" customFormat="1" ht="19.5">
      <c r="A46" s="183" t="s">
        <v>32</v>
      </c>
      <c r="B46" s="170" t="s">
        <v>66</v>
      </c>
      <c r="C46" s="85" t="s">
        <v>33</v>
      </c>
      <c r="D46" s="84" t="s">
        <v>34</v>
      </c>
      <c r="E46" s="110" t="s">
        <v>35</v>
      </c>
      <c r="F46" s="253" t="s">
        <v>36</v>
      </c>
      <c r="G46" s="86" t="s">
        <v>37</v>
      </c>
      <c r="H46" s="87"/>
      <c r="I46" s="88"/>
      <c r="J46" s="89"/>
    </row>
    <row r="47" spans="1:10" s="90" customFormat="1" ht="11.25">
      <c r="A47" s="184" t="s">
        <v>531</v>
      </c>
      <c r="B47" s="171"/>
      <c r="C47" s="91"/>
      <c r="D47" s="91"/>
      <c r="E47" s="111"/>
      <c r="F47" s="254"/>
      <c r="G47" s="92"/>
      <c r="H47" s="236"/>
      <c r="I47" s="88"/>
      <c r="J47" s="89"/>
    </row>
    <row r="48" spans="1:9" ht="13.5" customHeight="1">
      <c r="A48" s="184" t="s">
        <v>532</v>
      </c>
      <c r="B48" s="145"/>
      <c r="C48" s="60" t="s">
        <v>119</v>
      </c>
      <c r="D48" s="94" t="s">
        <v>51</v>
      </c>
      <c r="E48" s="207" t="s">
        <v>31</v>
      </c>
      <c r="F48" s="255"/>
      <c r="G48" s="248">
        <f>SUM(G50:G194)</f>
        <v>0</v>
      </c>
      <c r="I48" s="190"/>
    </row>
    <row r="49" spans="1:9" ht="12.75">
      <c r="A49" s="184" t="s">
        <v>533</v>
      </c>
      <c r="B49" s="145"/>
      <c r="C49" s="117" t="s">
        <v>188</v>
      </c>
      <c r="D49" s="78"/>
      <c r="E49" s="208"/>
      <c r="F49" s="252"/>
      <c r="G49" s="188"/>
      <c r="I49" s="190"/>
    </row>
    <row r="50" spans="1:9" ht="48">
      <c r="A50" s="184" t="s">
        <v>534</v>
      </c>
      <c r="B50" s="154" t="s">
        <v>48</v>
      </c>
      <c r="C50" s="64" t="s">
        <v>189</v>
      </c>
      <c r="D50" s="95"/>
      <c r="E50" s="195"/>
      <c r="F50" s="256"/>
      <c r="G50" s="189"/>
      <c r="I50" s="190"/>
    </row>
    <row r="51" spans="1:9" ht="12">
      <c r="A51" s="184" t="s">
        <v>535</v>
      </c>
      <c r="B51" s="154" t="s">
        <v>104</v>
      </c>
      <c r="C51" s="64" t="s">
        <v>101</v>
      </c>
      <c r="D51" s="95" t="s">
        <v>70</v>
      </c>
      <c r="E51" s="195">
        <v>1</v>
      </c>
      <c r="F51" s="256">
        <v>0</v>
      </c>
      <c r="G51" s="189">
        <f>E51*F51</f>
        <v>0</v>
      </c>
      <c r="I51" s="190"/>
    </row>
    <row r="52" spans="1:9" ht="12">
      <c r="A52" s="184" t="s">
        <v>536</v>
      </c>
      <c r="B52" s="154" t="s">
        <v>103</v>
      </c>
      <c r="C52" s="64" t="s">
        <v>102</v>
      </c>
      <c r="D52" s="95" t="s">
        <v>70</v>
      </c>
      <c r="E52" s="195">
        <v>1</v>
      </c>
      <c r="F52" s="256">
        <v>0</v>
      </c>
      <c r="G52" s="189">
        <f>E52*F52</f>
        <v>0</v>
      </c>
      <c r="I52" s="190"/>
    </row>
    <row r="53" spans="1:9" ht="24">
      <c r="A53" s="184" t="s">
        <v>537</v>
      </c>
      <c r="B53" s="154" t="s">
        <v>105</v>
      </c>
      <c r="C53" s="64" t="s">
        <v>1076</v>
      </c>
      <c r="D53" s="95" t="s">
        <v>68</v>
      </c>
      <c r="E53" s="195">
        <v>1</v>
      </c>
      <c r="F53" s="256">
        <v>0</v>
      </c>
      <c r="G53" s="189">
        <f>E53*F53</f>
        <v>0</v>
      </c>
      <c r="I53" s="190"/>
    </row>
    <row r="54" spans="1:9" ht="54" customHeight="1">
      <c r="A54" s="184" t="s">
        <v>538</v>
      </c>
      <c r="B54" s="145"/>
      <c r="C54" s="64" t="s">
        <v>402</v>
      </c>
      <c r="D54" s="95"/>
      <c r="E54" s="195"/>
      <c r="F54" s="256">
        <v>0</v>
      </c>
      <c r="G54" s="189"/>
      <c r="I54" s="190"/>
    </row>
    <row r="55" spans="1:9" ht="69.75" customHeight="1">
      <c r="A55" s="184" t="s">
        <v>539</v>
      </c>
      <c r="B55" s="145" t="s">
        <v>403</v>
      </c>
      <c r="C55" s="50" t="s">
        <v>404</v>
      </c>
      <c r="D55" s="79" t="s">
        <v>71</v>
      </c>
      <c r="E55" s="204">
        <f>13+10+17+15</f>
        <v>55</v>
      </c>
      <c r="F55" s="250">
        <v>0</v>
      </c>
      <c r="G55" s="187">
        <f>E55*F55</f>
        <v>0</v>
      </c>
      <c r="H55" s="235">
        <v>0.0005</v>
      </c>
      <c r="I55" s="237">
        <f>E55*H55</f>
        <v>0.0275</v>
      </c>
    </row>
    <row r="56" spans="1:9" ht="24">
      <c r="A56" s="184" t="s">
        <v>540</v>
      </c>
      <c r="B56" s="145">
        <v>766811820</v>
      </c>
      <c r="C56" s="66" t="s">
        <v>395</v>
      </c>
      <c r="D56" s="79" t="s">
        <v>68</v>
      </c>
      <c r="E56" s="204">
        <v>1</v>
      </c>
      <c r="F56" s="250">
        <v>0</v>
      </c>
      <c r="G56" s="187">
        <f>E56*F56</f>
        <v>0</v>
      </c>
      <c r="H56" s="235">
        <v>0.131</v>
      </c>
      <c r="I56" s="237">
        <f>E56*H56</f>
        <v>0.131</v>
      </c>
    </row>
    <row r="57" spans="1:9" ht="24">
      <c r="A57" s="184" t="s">
        <v>541</v>
      </c>
      <c r="B57" s="145">
        <v>766691914</v>
      </c>
      <c r="C57" s="64" t="s">
        <v>1082</v>
      </c>
      <c r="D57" s="143" t="s">
        <v>71</v>
      </c>
      <c r="E57" s="204">
        <v>25</v>
      </c>
      <c r="F57" s="250">
        <v>0</v>
      </c>
      <c r="G57" s="187">
        <f>E57*F57</f>
        <v>0</v>
      </c>
      <c r="H57" s="235">
        <v>0.024</v>
      </c>
      <c r="I57" s="237">
        <f>E57*H57</f>
        <v>0.6</v>
      </c>
    </row>
    <row r="58" spans="1:9" ht="12">
      <c r="A58" s="184" t="s">
        <v>542</v>
      </c>
      <c r="B58" s="145" t="s">
        <v>405</v>
      </c>
      <c r="C58" s="64" t="s">
        <v>1083</v>
      </c>
      <c r="D58" s="143" t="s">
        <v>71</v>
      </c>
      <c r="E58" s="204">
        <v>25</v>
      </c>
      <c r="F58" s="250">
        <v>0</v>
      </c>
      <c r="G58" s="187">
        <f>E58*F58</f>
        <v>0</v>
      </c>
      <c r="H58" s="235">
        <v>0.001</v>
      </c>
      <c r="I58" s="237">
        <f>E58*H58</f>
        <v>0.025</v>
      </c>
    </row>
    <row r="59" spans="1:10" s="66" customFormat="1" ht="24">
      <c r="A59" s="184" t="s">
        <v>543</v>
      </c>
      <c r="B59" s="145">
        <v>978059541</v>
      </c>
      <c r="C59" s="66" t="s">
        <v>411</v>
      </c>
      <c r="D59" s="107" t="s">
        <v>58</v>
      </c>
      <c r="E59" s="204">
        <f>SUM(E61:E94)</f>
        <v>224.364</v>
      </c>
      <c r="F59" s="250">
        <v>0</v>
      </c>
      <c r="G59" s="187">
        <f>E59*F59</f>
        <v>0</v>
      </c>
      <c r="H59" s="238">
        <v>0.068</v>
      </c>
      <c r="I59" s="237">
        <f>E59*H59</f>
        <v>15.256752</v>
      </c>
      <c r="J59" s="79"/>
    </row>
    <row r="60" spans="1:9" ht="12">
      <c r="A60" s="184" t="s">
        <v>544</v>
      </c>
      <c r="B60" s="145"/>
      <c r="C60" s="68" t="s">
        <v>406</v>
      </c>
      <c r="D60" s="153"/>
      <c r="E60" s="195"/>
      <c r="F60" s="256"/>
      <c r="G60" s="189"/>
      <c r="I60" s="237"/>
    </row>
    <row r="61" spans="1:9" ht="28.5" customHeight="1">
      <c r="A61" s="184" t="s">
        <v>545</v>
      </c>
      <c r="B61" s="145" t="s">
        <v>233</v>
      </c>
      <c r="C61" s="66" t="s">
        <v>234</v>
      </c>
      <c r="D61" s="145" t="s">
        <v>58</v>
      </c>
      <c r="E61" s="209">
        <f>0.75*2+0.25*0.35+0.9*1.65+0.63*0.35+0.83*2+0.8*2+0.62*2</f>
        <v>7.792999999999999</v>
      </c>
      <c r="F61" s="256"/>
      <c r="G61" s="189"/>
      <c r="I61" s="190"/>
    </row>
    <row r="62" spans="1:9" ht="12">
      <c r="A62" s="184" t="s">
        <v>546</v>
      </c>
      <c r="B62" s="145" t="s">
        <v>235</v>
      </c>
      <c r="C62" s="66" t="s">
        <v>238</v>
      </c>
      <c r="D62" s="145" t="s">
        <v>58</v>
      </c>
      <c r="E62" s="107">
        <f>4.46*2</f>
        <v>8.92</v>
      </c>
      <c r="F62" s="256"/>
      <c r="G62" s="189"/>
      <c r="I62" s="190"/>
    </row>
    <row r="63" spans="1:9" ht="12">
      <c r="A63" s="184" t="s">
        <v>547</v>
      </c>
      <c r="B63" s="145" t="s">
        <v>236</v>
      </c>
      <c r="C63" s="66" t="s">
        <v>267</v>
      </c>
      <c r="D63" s="145" t="s">
        <v>58</v>
      </c>
      <c r="E63" s="107">
        <f>4.36*2</f>
        <v>8.72</v>
      </c>
      <c r="F63" s="256"/>
      <c r="G63" s="189"/>
      <c r="I63" s="190"/>
    </row>
    <row r="64" spans="1:9" ht="15.75" customHeight="1">
      <c r="A64" s="184" t="s">
        <v>548</v>
      </c>
      <c r="B64" s="145" t="s">
        <v>237</v>
      </c>
      <c r="C64" s="66" t="s">
        <v>239</v>
      </c>
      <c r="D64" s="145" t="s">
        <v>58</v>
      </c>
      <c r="E64" s="107">
        <f>3.92*2+0.84*2</f>
        <v>9.52</v>
      </c>
      <c r="F64" s="256"/>
      <c r="G64" s="189"/>
      <c r="I64" s="190"/>
    </row>
    <row r="65" spans="1:9" ht="12">
      <c r="A65" s="184" t="s">
        <v>549</v>
      </c>
      <c r="B65" s="145"/>
      <c r="D65" s="93"/>
      <c r="E65" s="207"/>
      <c r="F65" s="256"/>
      <c r="G65" s="97"/>
      <c r="I65" s="190"/>
    </row>
    <row r="66" spans="1:9" ht="12">
      <c r="A66" s="184" t="s">
        <v>550</v>
      </c>
      <c r="B66" s="145"/>
      <c r="C66" s="68" t="s">
        <v>407</v>
      </c>
      <c r="D66" s="160"/>
      <c r="E66" s="195"/>
      <c r="F66" s="256"/>
      <c r="G66" s="189"/>
      <c r="I66" s="190"/>
    </row>
    <row r="67" spans="1:9" ht="16.5" customHeight="1">
      <c r="A67" s="184" t="s">
        <v>551</v>
      </c>
      <c r="B67" s="145" t="s">
        <v>241</v>
      </c>
      <c r="C67" s="64" t="s">
        <v>243</v>
      </c>
      <c r="D67" s="93" t="s">
        <v>58</v>
      </c>
      <c r="E67" s="97">
        <f>(1.93+1.03+0.26)*2</f>
        <v>6.4399999999999995</v>
      </c>
      <c r="F67" s="256"/>
      <c r="G67" s="189"/>
      <c r="I67" s="190"/>
    </row>
    <row r="68" spans="1:9" ht="15.75" customHeight="1">
      <c r="A68" s="184" t="s">
        <v>552</v>
      </c>
      <c r="B68" s="145" t="s">
        <v>240</v>
      </c>
      <c r="C68" s="64" t="s">
        <v>244</v>
      </c>
      <c r="D68" s="93" t="s">
        <v>58</v>
      </c>
      <c r="E68" s="97">
        <f>3.24*2</f>
        <v>6.48</v>
      </c>
      <c r="F68" s="256"/>
      <c r="G68" s="189"/>
      <c r="I68" s="190"/>
    </row>
    <row r="69" spans="1:9" ht="15" customHeight="1">
      <c r="A69" s="184" t="s">
        <v>553</v>
      </c>
      <c r="B69" s="145" t="s">
        <v>242</v>
      </c>
      <c r="C69" s="64" t="s">
        <v>268</v>
      </c>
      <c r="D69" s="93" t="s">
        <v>58</v>
      </c>
      <c r="E69" s="97">
        <f>3.3*2</f>
        <v>6.6</v>
      </c>
      <c r="F69" s="256"/>
      <c r="G69" s="189"/>
      <c r="I69" s="190"/>
    </row>
    <row r="70" spans="1:9" ht="12">
      <c r="A70" s="184" t="s">
        <v>554</v>
      </c>
      <c r="B70" s="145"/>
      <c r="D70" s="93"/>
      <c r="E70" s="97"/>
      <c r="F70" s="256"/>
      <c r="G70" s="189"/>
      <c r="I70" s="190"/>
    </row>
    <row r="71" spans="1:9" ht="12">
      <c r="A71" s="184" t="s">
        <v>555</v>
      </c>
      <c r="B71" s="145"/>
      <c r="C71" s="68" t="s">
        <v>245</v>
      </c>
      <c r="D71" s="160">
        <f>SUM(E72:E76)</f>
        <v>52.379000000000005</v>
      </c>
      <c r="E71" s="195"/>
      <c r="F71" s="256"/>
      <c r="G71" s="189"/>
      <c r="I71" s="190"/>
    </row>
    <row r="72" spans="1:9" ht="24.75" customHeight="1">
      <c r="A72" s="184" t="s">
        <v>556</v>
      </c>
      <c r="B72" s="145" t="s">
        <v>246</v>
      </c>
      <c r="C72" s="66" t="s">
        <v>251</v>
      </c>
      <c r="D72" s="93" t="s">
        <v>58</v>
      </c>
      <c r="E72" s="210">
        <f>1.1*2+0.2*0.35+0.64*1.65+0.2*0.35+0.22*2+3.15*2</f>
        <v>10.136</v>
      </c>
      <c r="F72" s="256"/>
      <c r="G72" s="189"/>
      <c r="I72" s="190"/>
    </row>
    <row r="73" spans="1:9" ht="29.25" customHeight="1">
      <c r="A73" s="184" t="s">
        <v>557</v>
      </c>
      <c r="B73" s="145" t="s">
        <v>247</v>
      </c>
      <c r="C73" s="66" t="s">
        <v>252</v>
      </c>
      <c r="D73" s="145" t="s">
        <v>58</v>
      </c>
      <c r="E73" s="209">
        <f>0.88*2+0.1*0.35+1.22*1.65+0.1*0.35+1.08*2+0.1*0.35+0.6*1.65+0.1*0.35+2.1*2+0.4*2+1.36*2+1.14*2</f>
        <v>17.063000000000002</v>
      </c>
      <c r="F73" s="256"/>
      <c r="G73" s="189"/>
      <c r="I73" s="190"/>
    </row>
    <row r="74" spans="1:9" ht="12">
      <c r="A74" s="184" t="s">
        <v>558</v>
      </c>
      <c r="B74" s="145" t="s">
        <v>248</v>
      </c>
      <c r="C74" s="66" t="s">
        <v>269</v>
      </c>
      <c r="D74" s="145" t="s">
        <v>58</v>
      </c>
      <c r="E74" s="107">
        <f>3.56*2</f>
        <v>7.12</v>
      </c>
      <c r="F74" s="256"/>
      <c r="G74" s="189"/>
      <c r="I74" s="190"/>
    </row>
    <row r="75" spans="1:9" ht="14.25" customHeight="1">
      <c r="A75" s="184" t="s">
        <v>559</v>
      </c>
      <c r="B75" s="145" t="s">
        <v>249</v>
      </c>
      <c r="C75" s="66" t="s">
        <v>270</v>
      </c>
      <c r="D75" s="145" t="s">
        <v>58</v>
      </c>
      <c r="E75" s="107">
        <f>3.57*2</f>
        <v>7.14</v>
      </c>
      <c r="F75" s="256"/>
      <c r="G75" s="189"/>
      <c r="I75" s="190"/>
    </row>
    <row r="76" spans="1:9" ht="12">
      <c r="A76" s="184" t="s">
        <v>560</v>
      </c>
      <c r="B76" s="145" t="s">
        <v>250</v>
      </c>
      <c r="C76" s="66" t="s">
        <v>271</v>
      </c>
      <c r="D76" s="145"/>
      <c r="E76" s="211">
        <f>5.46*2</f>
        <v>10.92</v>
      </c>
      <c r="F76" s="256"/>
      <c r="G76" s="189"/>
      <c r="I76" s="190"/>
    </row>
    <row r="77" spans="1:9" ht="12">
      <c r="A77" s="184" t="s">
        <v>561</v>
      </c>
      <c r="B77" s="145"/>
      <c r="D77" s="93"/>
      <c r="E77" s="212"/>
      <c r="F77" s="256"/>
      <c r="G77" s="189"/>
      <c r="I77" s="190"/>
    </row>
    <row r="78" spans="1:9" ht="12">
      <c r="A78" s="184" t="s">
        <v>562</v>
      </c>
      <c r="B78" s="145"/>
      <c r="C78" s="68" t="s">
        <v>408</v>
      </c>
      <c r="D78" s="160"/>
      <c r="E78" s="195"/>
      <c r="F78" s="256"/>
      <c r="G78" s="189"/>
      <c r="I78" s="190"/>
    </row>
    <row r="79" spans="1:9" ht="26.25" customHeight="1">
      <c r="A79" s="184" t="s">
        <v>563</v>
      </c>
      <c r="B79" s="145" t="s">
        <v>253</v>
      </c>
      <c r="C79" s="64" t="s">
        <v>254</v>
      </c>
      <c r="D79" s="93" t="s">
        <v>58</v>
      </c>
      <c r="E79" s="97">
        <f>1.25*2+0.1*0.65+0.64*1.25+0.1*0.65+0.4*2+3.16*2</f>
        <v>10.55</v>
      </c>
      <c r="F79" s="256"/>
      <c r="G79" s="189"/>
      <c r="I79" s="190"/>
    </row>
    <row r="80" spans="1:9" ht="42.75" customHeight="1">
      <c r="A80" s="184" t="s">
        <v>564</v>
      </c>
      <c r="B80" s="145" t="s">
        <v>255</v>
      </c>
      <c r="C80" s="66" t="s">
        <v>256</v>
      </c>
      <c r="D80" s="145" t="s">
        <v>58</v>
      </c>
      <c r="E80" s="209">
        <f>0.72*2+0.1*0.65+1.22*1.35+0.1*0.65+1.08*2+0.1*0.65+0.6*1.35+0.1*0.65+2.1*2+0.4*2+0.4*2+0.4*2+0.99*2</f>
        <v>14.897000000000004</v>
      </c>
      <c r="F80" s="256"/>
      <c r="G80" s="189"/>
      <c r="I80" s="190"/>
    </row>
    <row r="81" spans="1:9" ht="12">
      <c r="A81" s="184" t="s">
        <v>565</v>
      </c>
      <c r="B81" s="145" t="s">
        <v>257</v>
      </c>
      <c r="C81" s="64" t="s">
        <v>272</v>
      </c>
      <c r="D81" s="93" t="s">
        <v>58</v>
      </c>
      <c r="E81" s="97">
        <f>3.73*2</f>
        <v>7.46</v>
      </c>
      <c r="F81" s="256"/>
      <c r="G81" s="189"/>
      <c r="I81" s="190"/>
    </row>
    <row r="82" spans="1:9" ht="12">
      <c r="A82" s="184" t="s">
        <v>81</v>
      </c>
      <c r="B82" s="145" t="s">
        <v>258</v>
      </c>
      <c r="C82" s="64" t="s">
        <v>273</v>
      </c>
      <c r="D82" s="93" t="s">
        <v>58</v>
      </c>
      <c r="E82" s="97">
        <f>3.66*2</f>
        <v>7.32</v>
      </c>
      <c r="F82" s="256"/>
      <c r="G82" s="189"/>
      <c r="I82" s="190"/>
    </row>
    <row r="83" spans="1:9" ht="12">
      <c r="A83" s="184" t="s">
        <v>82</v>
      </c>
      <c r="B83" s="145" t="s">
        <v>259</v>
      </c>
      <c r="C83" s="64" t="s">
        <v>274</v>
      </c>
      <c r="D83" s="93" t="s">
        <v>58</v>
      </c>
      <c r="E83" s="97">
        <f>3.54*2</f>
        <v>7.08</v>
      </c>
      <c r="F83" s="256"/>
      <c r="G83" s="189"/>
      <c r="I83" s="190"/>
    </row>
    <row r="84" spans="1:9" ht="12">
      <c r="A84" s="184" t="s">
        <v>83</v>
      </c>
      <c r="B84" s="145" t="s">
        <v>260</v>
      </c>
      <c r="C84" s="64" t="s">
        <v>261</v>
      </c>
      <c r="D84" s="93" t="s">
        <v>58</v>
      </c>
      <c r="E84" s="210">
        <f>3.44*2</f>
        <v>6.88</v>
      </c>
      <c r="F84" s="256"/>
      <c r="G84" s="189"/>
      <c r="I84" s="190"/>
    </row>
    <row r="85" spans="1:9" ht="12">
      <c r="A85" s="184" t="s">
        <v>84</v>
      </c>
      <c r="B85" s="145"/>
      <c r="D85" s="93"/>
      <c r="E85" s="213"/>
      <c r="F85" s="256"/>
      <c r="G85" s="189"/>
      <c r="I85" s="190"/>
    </row>
    <row r="86" spans="1:9" ht="12">
      <c r="A86" s="184" t="s">
        <v>566</v>
      </c>
      <c r="B86" s="145"/>
      <c r="C86" s="68" t="s">
        <v>409</v>
      </c>
      <c r="D86" s="93"/>
      <c r="E86" s="210"/>
      <c r="F86" s="256"/>
      <c r="G86" s="189"/>
      <c r="I86" s="190"/>
    </row>
    <row r="87" spans="1:9" ht="15" customHeight="1">
      <c r="A87" s="184" t="s">
        <v>567</v>
      </c>
      <c r="B87" s="145" t="s">
        <v>262</v>
      </c>
      <c r="C87" s="66" t="s">
        <v>263</v>
      </c>
      <c r="D87" s="145" t="s">
        <v>58</v>
      </c>
      <c r="E87" s="107">
        <f>1.06*2+0.2*1.25+0.64*1.25+0.2*1.25+0.33*2+2.79*2</f>
        <v>9.66</v>
      </c>
      <c r="F87" s="256"/>
      <c r="G87" s="189"/>
      <c r="I87" s="190"/>
    </row>
    <row r="88" spans="1:9" ht="29.25" customHeight="1">
      <c r="A88" s="184" t="s">
        <v>568</v>
      </c>
      <c r="B88" s="145" t="s">
        <v>264</v>
      </c>
      <c r="C88" s="66" t="s">
        <v>265</v>
      </c>
      <c r="D88" s="145" t="s">
        <v>58</v>
      </c>
      <c r="E88" s="209">
        <f>1.15*2+0.1*1.25+1.22*0.75+0.1*1.25+1.08*2+0.1*1.25+0.6*0.75+0.1*1.25+2.05*2+0.4*2+3.6*2</f>
        <v>18.425</v>
      </c>
      <c r="F88" s="256"/>
      <c r="G88" s="189"/>
      <c r="I88" s="190"/>
    </row>
    <row r="89" spans="1:9" ht="12" customHeight="1">
      <c r="A89" s="184" t="s">
        <v>569</v>
      </c>
      <c r="B89" s="145" t="s">
        <v>266</v>
      </c>
      <c r="C89" s="64" t="s">
        <v>191</v>
      </c>
      <c r="D89" s="93" t="s">
        <v>58</v>
      </c>
      <c r="E89" s="210">
        <f>4*2</f>
        <v>8</v>
      </c>
      <c r="F89" s="256"/>
      <c r="G89" s="189"/>
      <c r="I89" s="190"/>
    </row>
    <row r="90" spans="1:9" ht="12" customHeight="1">
      <c r="A90" s="184" t="s">
        <v>570</v>
      </c>
      <c r="B90" s="145" t="s">
        <v>275</v>
      </c>
      <c r="C90" s="64" t="s">
        <v>190</v>
      </c>
      <c r="D90" s="93" t="s">
        <v>58</v>
      </c>
      <c r="E90" s="97">
        <f>3.82*2</f>
        <v>7.64</v>
      </c>
      <c r="F90" s="256"/>
      <c r="G90" s="189"/>
      <c r="I90" s="190"/>
    </row>
    <row r="91" spans="1:9" ht="12" customHeight="1">
      <c r="A91" s="184" t="s">
        <v>571</v>
      </c>
      <c r="B91" s="145"/>
      <c r="D91" s="93"/>
      <c r="E91" s="97"/>
      <c r="F91" s="256"/>
      <c r="G91" s="189"/>
      <c r="I91" s="190"/>
    </row>
    <row r="92" spans="1:9" ht="18" customHeight="1">
      <c r="A92" s="184" t="s">
        <v>572</v>
      </c>
      <c r="B92" s="145"/>
      <c r="C92" s="67" t="s">
        <v>410</v>
      </c>
      <c r="D92" s="93"/>
      <c r="E92" s="97"/>
      <c r="F92" s="256"/>
      <c r="G92" s="189"/>
      <c r="I92" s="190"/>
    </row>
    <row r="93" spans="1:9" ht="12" customHeight="1">
      <c r="A93" s="184" t="s">
        <v>573</v>
      </c>
      <c r="B93" s="145" t="s">
        <v>277</v>
      </c>
      <c r="C93" s="64" t="s">
        <v>276</v>
      </c>
      <c r="D93" s="93" t="s">
        <v>58</v>
      </c>
      <c r="E93" s="97">
        <f>4.28*2+0.66*2</f>
        <v>9.88</v>
      </c>
      <c r="F93" s="256"/>
      <c r="G93" s="189"/>
      <c r="I93" s="190"/>
    </row>
    <row r="94" spans="1:9" ht="12" customHeight="1">
      <c r="A94" s="184" t="s">
        <v>574</v>
      </c>
      <c r="B94" s="145" t="s">
        <v>278</v>
      </c>
      <c r="C94" s="64" t="s">
        <v>279</v>
      </c>
      <c r="D94" s="93" t="s">
        <v>58</v>
      </c>
      <c r="E94" s="97">
        <f>4.86*2</f>
        <v>9.72</v>
      </c>
      <c r="F94" s="256"/>
      <c r="G94" s="189"/>
      <c r="I94" s="190"/>
    </row>
    <row r="95" spans="1:9" ht="12" customHeight="1">
      <c r="A95" s="184" t="s">
        <v>575</v>
      </c>
      <c r="B95" s="145"/>
      <c r="D95" s="93"/>
      <c r="E95" s="97"/>
      <c r="F95" s="256"/>
      <c r="G95" s="189"/>
      <c r="I95" s="190"/>
    </row>
    <row r="96" spans="1:9" ht="24">
      <c r="A96" s="184" t="s">
        <v>576</v>
      </c>
      <c r="B96" s="145">
        <v>965081382</v>
      </c>
      <c r="C96" s="50" t="s">
        <v>470</v>
      </c>
      <c r="D96" s="79" t="s">
        <v>58</v>
      </c>
      <c r="E96" s="211">
        <f>SUM(E100:E117)</f>
        <v>60.95</v>
      </c>
      <c r="F96" s="250">
        <v>0</v>
      </c>
      <c r="G96" s="187">
        <f>E96*F96</f>
        <v>0</v>
      </c>
      <c r="H96" s="235">
        <v>0.076</v>
      </c>
      <c r="I96" s="237">
        <f>E96*H96</f>
        <v>4.6322</v>
      </c>
    </row>
    <row r="97" spans="1:9" ht="24">
      <c r="A97" s="184" t="s">
        <v>577</v>
      </c>
      <c r="B97" s="145" t="s">
        <v>396</v>
      </c>
      <c r="C97" s="50" t="s">
        <v>1084</v>
      </c>
      <c r="D97" s="79" t="s">
        <v>58</v>
      </c>
      <c r="E97" s="211">
        <f>E96+3.24</f>
        <v>64.19</v>
      </c>
      <c r="F97" s="250">
        <v>0</v>
      </c>
      <c r="G97" s="187">
        <f>E97*F97</f>
        <v>0</v>
      </c>
      <c r="H97" s="235">
        <v>0</v>
      </c>
      <c r="I97" s="237">
        <f>E97*H97</f>
        <v>0</v>
      </c>
    </row>
    <row r="98" spans="1:9" ht="12">
      <c r="A98" s="184" t="s">
        <v>578</v>
      </c>
      <c r="B98" s="145">
        <v>771111011</v>
      </c>
      <c r="C98" s="50" t="s">
        <v>1085</v>
      </c>
      <c r="D98" s="79" t="s">
        <v>58</v>
      </c>
      <c r="E98" s="211">
        <f>E97</f>
        <v>64.19</v>
      </c>
      <c r="F98" s="250">
        <v>0</v>
      </c>
      <c r="G98" s="187">
        <f>E98*F98</f>
        <v>0</v>
      </c>
      <c r="H98" s="235">
        <v>0</v>
      </c>
      <c r="I98" s="237">
        <f>E98*H98</f>
        <v>0</v>
      </c>
    </row>
    <row r="99" spans="1:9" ht="12">
      <c r="A99" s="184" t="s">
        <v>579</v>
      </c>
      <c r="B99" s="145"/>
      <c r="C99" s="65"/>
      <c r="D99" s="95"/>
      <c r="E99" s="196"/>
      <c r="F99" s="256"/>
      <c r="G99" s="189"/>
      <c r="I99" s="190"/>
    </row>
    <row r="100" spans="1:9" ht="12">
      <c r="A100" s="184" t="s">
        <v>580</v>
      </c>
      <c r="B100" s="145"/>
      <c r="C100" s="68" t="s">
        <v>280</v>
      </c>
      <c r="D100" s="93" t="s">
        <v>58</v>
      </c>
      <c r="E100" s="214">
        <f>11.1</f>
        <v>11.1</v>
      </c>
      <c r="F100" s="256"/>
      <c r="G100" s="189"/>
      <c r="I100" s="190"/>
    </row>
    <row r="101" spans="1:9" ht="24">
      <c r="A101" s="184" t="s">
        <v>581</v>
      </c>
      <c r="B101" s="145"/>
      <c r="C101" s="65" t="s">
        <v>281</v>
      </c>
      <c r="D101" s="93"/>
      <c r="E101" s="214"/>
      <c r="F101" s="256"/>
      <c r="G101" s="189"/>
      <c r="I101" s="190"/>
    </row>
    <row r="102" spans="1:9" ht="12">
      <c r="A102" s="184" t="s">
        <v>582</v>
      </c>
      <c r="B102" s="145"/>
      <c r="C102" s="65"/>
      <c r="D102" s="93"/>
      <c r="E102" s="214"/>
      <c r="F102" s="256"/>
      <c r="G102" s="189"/>
      <c r="I102" s="190"/>
    </row>
    <row r="103" spans="1:9" ht="12">
      <c r="A103" s="184" t="s">
        <v>583</v>
      </c>
      <c r="B103" s="145"/>
      <c r="C103" s="68" t="s">
        <v>282</v>
      </c>
      <c r="D103" s="93" t="s">
        <v>58</v>
      </c>
      <c r="E103" s="215">
        <f>3.57</f>
        <v>3.57</v>
      </c>
      <c r="F103" s="256"/>
      <c r="G103" s="189"/>
      <c r="I103" s="190"/>
    </row>
    <row r="104" spans="1:9" ht="24">
      <c r="A104" s="184" t="s">
        <v>584</v>
      </c>
      <c r="B104" s="145"/>
      <c r="C104" s="65" t="s">
        <v>283</v>
      </c>
      <c r="D104" s="65"/>
      <c r="E104" s="210"/>
      <c r="F104" s="256"/>
      <c r="G104" s="189"/>
      <c r="I104" s="190"/>
    </row>
    <row r="105" spans="1:9" ht="12">
      <c r="A105" s="184" t="s">
        <v>585</v>
      </c>
      <c r="B105" s="145"/>
      <c r="C105" s="65"/>
      <c r="D105" s="93"/>
      <c r="E105" s="214"/>
      <c r="F105" s="256"/>
      <c r="G105" s="189"/>
      <c r="I105" s="190"/>
    </row>
    <row r="106" spans="1:9" ht="12">
      <c r="A106" s="184" t="s">
        <v>586</v>
      </c>
      <c r="B106" s="145"/>
      <c r="C106" s="68" t="s">
        <v>284</v>
      </c>
      <c r="D106" s="93"/>
      <c r="E106" s="214"/>
      <c r="F106" s="256"/>
      <c r="G106" s="189"/>
      <c r="I106" s="190"/>
    </row>
    <row r="107" spans="1:9" ht="24">
      <c r="A107" s="184" t="s">
        <v>587</v>
      </c>
      <c r="B107" s="145"/>
      <c r="C107" s="65" t="s">
        <v>285</v>
      </c>
      <c r="D107" s="93" t="s">
        <v>58</v>
      </c>
      <c r="E107" s="215">
        <f>14.6</f>
        <v>14.6</v>
      </c>
      <c r="F107" s="256"/>
      <c r="G107" s="189"/>
      <c r="I107" s="190"/>
    </row>
    <row r="108" spans="1:9" ht="12">
      <c r="A108" s="184" t="s">
        <v>85</v>
      </c>
      <c r="B108" s="145"/>
      <c r="C108" s="65"/>
      <c r="D108" s="93"/>
      <c r="E108" s="214"/>
      <c r="F108" s="256"/>
      <c r="G108" s="189"/>
      <c r="I108" s="190"/>
    </row>
    <row r="109" spans="1:9" ht="12">
      <c r="A109" s="184" t="s">
        <v>86</v>
      </c>
      <c r="B109" s="145"/>
      <c r="C109" s="68" t="s">
        <v>288</v>
      </c>
      <c r="D109" s="93"/>
      <c r="E109" s="214"/>
      <c r="F109" s="256"/>
      <c r="G109" s="189"/>
      <c r="I109" s="190"/>
    </row>
    <row r="110" spans="1:9" ht="24">
      <c r="A110" s="184" t="s">
        <v>87</v>
      </c>
      <c r="B110" s="145"/>
      <c r="C110" s="65" t="s">
        <v>286</v>
      </c>
      <c r="D110" s="93" t="s">
        <v>58</v>
      </c>
      <c r="E110" s="215">
        <v>14.68</v>
      </c>
      <c r="F110" s="256"/>
      <c r="G110" s="189"/>
      <c r="I110" s="190"/>
    </row>
    <row r="111" spans="1:9" ht="12">
      <c r="A111" s="184" t="s">
        <v>88</v>
      </c>
      <c r="B111" s="145"/>
      <c r="C111" s="65"/>
      <c r="D111" s="93"/>
      <c r="E111" s="214"/>
      <c r="F111" s="256"/>
      <c r="G111" s="189"/>
      <c r="I111" s="190"/>
    </row>
    <row r="112" spans="1:9" ht="12">
      <c r="A112" s="184" t="s">
        <v>588</v>
      </c>
      <c r="B112" s="145"/>
      <c r="C112" s="68" t="s">
        <v>287</v>
      </c>
      <c r="D112" s="93"/>
      <c r="E112" s="210"/>
      <c r="F112" s="256"/>
      <c r="G112" s="189"/>
      <c r="I112" s="190"/>
    </row>
    <row r="113" spans="1:9" ht="24">
      <c r="A113" s="184" t="s">
        <v>89</v>
      </c>
      <c r="B113" s="145"/>
      <c r="C113" s="65" t="s">
        <v>289</v>
      </c>
      <c r="D113" s="93" t="s">
        <v>58</v>
      </c>
      <c r="E113" s="215">
        <v>12.92</v>
      </c>
      <c r="F113" s="256"/>
      <c r="G113" s="189"/>
      <c r="I113" s="190"/>
    </row>
    <row r="114" spans="1:9" ht="12">
      <c r="A114" s="184" t="s">
        <v>90</v>
      </c>
      <c r="B114" s="145"/>
      <c r="C114" s="65"/>
      <c r="D114" s="93"/>
      <c r="E114" s="210"/>
      <c r="F114" s="256"/>
      <c r="G114" s="189"/>
      <c r="I114" s="190"/>
    </row>
    <row r="115" spans="1:9" ht="12">
      <c r="A115" s="184" t="s">
        <v>589</v>
      </c>
      <c r="B115" s="145"/>
      <c r="C115" s="68" t="s">
        <v>290</v>
      </c>
      <c r="D115" s="93"/>
      <c r="E115" s="210"/>
      <c r="F115" s="256"/>
      <c r="G115" s="189"/>
      <c r="I115" s="190"/>
    </row>
    <row r="116" spans="1:9" ht="24">
      <c r="A116" s="184" t="s">
        <v>590</v>
      </c>
      <c r="B116" s="145"/>
      <c r="C116" s="65" t="s">
        <v>291</v>
      </c>
      <c r="D116" s="93" t="s">
        <v>58</v>
      </c>
      <c r="E116" s="210">
        <v>4.08</v>
      </c>
      <c r="F116" s="256"/>
      <c r="G116" s="190"/>
      <c r="I116" s="190"/>
    </row>
    <row r="117" spans="1:9" ht="12">
      <c r="A117" s="184" t="s">
        <v>591</v>
      </c>
      <c r="B117" s="145"/>
      <c r="C117" s="65"/>
      <c r="D117" s="95"/>
      <c r="E117" s="210"/>
      <c r="F117" s="256"/>
      <c r="G117" s="189"/>
      <c r="I117" s="190"/>
    </row>
    <row r="118" spans="1:11" ht="24">
      <c r="A118" s="184" t="s">
        <v>592</v>
      </c>
      <c r="B118" s="145">
        <v>978059511</v>
      </c>
      <c r="C118" s="144" t="s">
        <v>414</v>
      </c>
      <c r="D118" s="79" t="s">
        <v>58</v>
      </c>
      <c r="E118" s="209">
        <f>SUM(E119:E122)</f>
        <v>3.24</v>
      </c>
      <c r="F118" s="250">
        <v>0</v>
      </c>
      <c r="G118" s="187">
        <f>E118*F118</f>
        <v>0</v>
      </c>
      <c r="H118" s="235">
        <v>0.068</v>
      </c>
      <c r="I118" s="237">
        <f>E118*H118</f>
        <v>0.22032000000000004</v>
      </c>
      <c r="K118" s="53"/>
    </row>
    <row r="119" spans="1:9" ht="12">
      <c r="A119" s="184" t="s">
        <v>593</v>
      </c>
      <c r="B119" s="145"/>
      <c r="C119" s="65" t="s">
        <v>413</v>
      </c>
      <c r="D119" s="93" t="s">
        <v>58</v>
      </c>
      <c r="E119" s="210">
        <f>0.3*0.7*6</f>
        <v>1.26</v>
      </c>
      <c r="F119" s="256"/>
      <c r="G119" s="189"/>
      <c r="I119" s="190"/>
    </row>
    <row r="120" spans="1:9" ht="12">
      <c r="A120" s="184" t="s">
        <v>594</v>
      </c>
      <c r="B120" s="145"/>
      <c r="C120" s="65" t="s">
        <v>415</v>
      </c>
      <c r="D120" s="93" t="s">
        <v>58</v>
      </c>
      <c r="E120" s="210">
        <f>0.3*1.31*3</f>
        <v>1.179</v>
      </c>
      <c r="F120" s="256"/>
      <c r="G120" s="189"/>
      <c r="I120" s="190"/>
    </row>
    <row r="121" spans="1:9" ht="12">
      <c r="A121" s="184" t="s">
        <v>595</v>
      </c>
      <c r="B121" s="145"/>
      <c r="C121" s="65" t="s">
        <v>416</v>
      </c>
      <c r="D121" s="93" t="s">
        <v>58</v>
      </c>
      <c r="E121" s="210">
        <f>0.3*0.685*2</f>
        <v>0.41100000000000003</v>
      </c>
      <c r="F121" s="256"/>
      <c r="G121" s="189"/>
      <c r="I121" s="190"/>
    </row>
    <row r="122" spans="1:9" ht="12">
      <c r="A122" s="184" t="s">
        <v>596</v>
      </c>
      <c r="B122" s="145"/>
      <c r="C122" s="65" t="s">
        <v>417</v>
      </c>
      <c r="D122" s="93" t="s">
        <v>58</v>
      </c>
      <c r="E122" s="210">
        <f>0.3*1.3*1</f>
        <v>0.39</v>
      </c>
      <c r="F122" s="256"/>
      <c r="G122" s="189"/>
      <c r="I122" s="190"/>
    </row>
    <row r="123" spans="1:9" ht="12">
      <c r="A123" s="184" t="s">
        <v>597</v>
      </c>
      <c r="B123" s="145"/>
      <c r="C123" s="65"/>
      <c r="D123" s="93"/>
      <c r="E123" s="210"/>
      <c r="F123" s="256"/>
      <c r="G123" s="189"/>
      <c r="I123" s="190"/>
    </row>
    <row r="124" spans="1:9" ht="36">
      <c r="A124" s="184" t="s">
        <v>598</v>
      </c>
      <c r="B124" s="145">
        <v>766622861</v>
      </c>
      <c r="C124" s="65" t="s">
        <v>418</v>
      </c>
      <c r="D124" s="71" t="s">
        <v>71</v>
      </c>
      <c r="E124" s="216">
        <f>((3*6)+(6*3)+(3*2)+(6*1))</f>
        <v>48</v>
      </c>
      <c r="F124" s="250">
        <v>0</v>
      </c>
      <c r="G124" s="187">
        <f>E124*F124</f>
        <v>0</v>
      </c>
      <c r="H124" s="235">
        <v>0</v>
      </c>
      <c r="I124" s="237"/>
    </row>
    <row r="125" spans="1:9" ht="24">
      <c r="A125" s="184" t="s">
        <v>599</v>
      </c>
      <c r="B125" s="145" t="s">
        <v>397</v>
      </c>
      <c r="C125" s="65" t="s">
        <v>399</v>
      </c>
      <c r="D125" s="71" t="s">
        <v>58</v>
      </c>
      <c r="E125" s="204">
        <f>SUM(E126:E127)</f>
        <v>24.829399999999996</v>
      </c>
      <c r="F125" s="250">
        <v>0</v>
      </c>
      <c r="G125" s="187">
        <f>E125*F125</f>
        <v>0</v>
      </c>
      <c r="H125" s="235">
        <v>0.062</v>
      </c>
      <c r="I125" s="237">
        <f>E125*H125</f>
        <v>1.5394227999999996</v>
      </c>
    </row>
    <row r="126" spans="1:9" ht="12">
      <c r="A126" s="184" t="s">
        <v>600</v>
      </c>
      <c r="B126" s="145"/>
      <c r="C126" s="64" t="s">
        <v>419</v>
      </c>
      <c r="D126" s="93" t="s">
        <v>58</v>
      </c>
      <c r="E126" s="195">
        <f>0.71*2.3*2*6</f>
        <v>19.595999999999997</v>
      </c>
      <c r="F126" s="256"/>
      <c r="G126" s="189"/>
      <c r="I126" s="190"/>
    </row>
    <row r="127" spans="1:9" ht="12">
      <c r="A127" s="184" t="s">
        <v>601</v>
      </c>
      <c r="B127" s="145"/>
      <c r="C127" s="64" t="s">
        <v>420</v>
      </c>
      <c r="D127" s="93" t="s">
        <v>58</v>
      </c>
      <c r="E127" s="195">
        <f>(0.685*1.91)*2*2</f>
        <v>5.2334000000000005</v>
      </c>
      <c r="F127" s="256"/>
      <c r="G127" s="189"/>
      <c r="I127" s="190"/>
    </row>
    <row r="128" spans="1:9" ht="12">
      <c r="A128" s="184" t="s">
        <v>602</v>
      </c>
      <c r="B128" s="145"/>
      <c r="D128" s="93"/>
      <c r="E128" s="195"/>
      <c r="F128" s="256"/>
      <c r="G128" s="189"/>
      <c r="I128" s="190"/>
    </row>
    <row r="129" spans="1:9" ht="24">
      <c r="A129" s="184" t="s">
        <v>603</v>
      </c>
      <c r="B129" s="145" t="s">
        <v>398</v>
      </c>
      <c r="C129" s="65" t="s">
        <v>421</v>
      </c>
      <c r="D129" s="71" t="s">
        <v>58</v>
      </c>
      <c r="E129" s="204">
        <f>SUM(E130:E131)</f>
        <v>23.928</v>
      </c>
      <c r="F129" s="250">
        <v>0</v>
      </c>
      <c r="G129" s="187">
        <f>E129*F129</f>
        <v>0</v>
      </c>
      <c r="H129" s="235">
        <v>0.054</v>
      </c>
      <c r="I129" s="237">
        <f>E129*H129</f>
        <v>1.292112</v>
      </c>
    </row>
    <row r="130" spans="1:9" ht="12">
      <c r="A130" s="184" t="s">
        <v>604</v>
      </c>
      <c r="B130" s="145"/>
      <c r="C130" s="64" t="s">
        <v>422</v>
      </c>
      <c r="D130" s="93" t="s">
        <v>58</v>
      </c>
      <c r="E130" s="210">
        <f>(1.31*2.3)*3*2</f>
        <v>18.078</v>
      </c>
      <c r="F130" s="256"/>
      <c r="G130" s="189"/>
      <c r="I130" s="190"/>
    </row>
    <row r="131" spans="1:9" ht="12">
      <c r="A131" s="184" t="s">
        <v>605</v>
      </c>
      <c r="B131" s="145"/>
      <c r="C131" s="66" t="s">
        <v>423</v>
      </c>
      <c r="D131" s="93" t="s">
        <v>58</v>
      </c>
      <c r="E131" s="210">
        <f>(1.3*2.25)*1*2</f>
        <v>5.8500000000000005</v>
      </c>
      <c r="F131" s="256"/>
      <c r="G131" s="189"/>
      <c r="I131" s="190"/>
    </row>
    <row r="132" spans="1:9" ht="12">
      <c r="A132" s="184" t="s">
        <v>606</v>
      </c>
      <c r="B132" s="145"/>
      <c r="D132" s="93"/>
      <c r="E132" s="195"/>
      <c r="F132" s="256"/>
      <c r="G132" s="189"/>
      <c r="I132" s="190"/>
    </row>
    <row r="133" spans="1:9" ht="24">
      <c r="A133" s="184" t="s">
        <v>607</v>
      </c>
      <c r="B133" s="145" t="s">
        <v>401</v>
      </c>
      <c r="C133" s="64" t="s">
        <v>400</v>
      </c>
      <c r="D133" s="79" t="s">
        <v>58</v>
      </c>
      <c r="E133" s="204">
        <f>SUM(E134:E137)</f>
        <v>22.577999999999996</v>
      </c>
      <c r="F133" s="250">
        <v>0</v>
      </c>
      <c r="G133" s="187">
        <f>E133*F133</f>
        <v>0</v>
      </c>
      <c r="H133" s="235">
        <v>0.004</v>
      </c>
      <c r="I133" s="237">
        <f>E133*H133</f>
        <v>0.09031199999999999</v>
      </c>
    </row>
    <row r="134" spans="1:11" ht="12">
      <c r="A134" s="184" t="s">
        <v>608</v>
      </c>
      <c r="B134" s="145"/>
      <c r="C134" s="64" t="s">
        <v>424</v>
      </c>
      <c r="D134" s="93" t="s">
        <v>58</v>
      </c>
      <c r="E134" s="107">
        <f>0.3*(0.685+1.91)*2*2</f>
        <v>3.1139999999999994</v>
      </c>
      <c r="F134" s="256"/>
      <c r="G134" s="189"/>
      <c r="I134" s="190"/>
      <c r="K134" s="53"/>
    </row>
    <row r="135" spans="1:9" ht="12">
      <c r="A135" s="184" t="s">
        <v>609</v>
      </c>
      <c r="B135" s="145"/>
      <c r="C135" s="66" t="s">
        <v>425</v>
      </c>
      <c r="D135" s="93" t="s">
        <v>58</v>
      </c>
      <c r="E135" s="107">
        <f>0.3*(0.71+2.3)*2*6</f>
        <v>10.835999999999999</v>
      </c>
      <c r="F135" s="256"/>
      <c r="G135" s="189"/>
      <c r="I135" s="190"/>
    </row>
    <row r="136" spans="1:9" ht="12">
      <c r="A136" s="184" t="s">
        <v>610</v>
      </c>
      <c r="B136" s="145"/>
      <c r="C136" s="66" t="s">
        <v>426</v>
      </c>
      <c r="D136" s="93" t="s">
        <v>58</v>
      </c>
      <c r="E136" s="107">
        <f>0.3*(1.31+2.3)*2*3</f>
        <v>6.497999999999999</v>
      </c>
      <c r="F136" s="256"/>
      <c r="G136" s="189"/>
      <c r="I136" s="190"/>
    </row>
    <row r="137" spans="1:9" ht="12">
      <c r="A137" s="184" t="s">
        <v>611</v>
      </c>
      <c r="B137" s="145"/>
      <c r="C137" s="66" t="s">
        <v>427</v>
      </c>
      <c r="D137" s="93" t="s">
        <v>58</v>
      </c>
      <c r="E137" s="107">
        <f>0.3*(1.3+2.25)*2*1</f>
        <v>2.13</v>
      </c>
      <c r="F137" s="256"/>
      <c r="G137" s="189"/>
      <c r="I137" s="190"/>
    </row>
    <row r="138" spans="1:9" ht="12">
      <c r="A138" s="184" t="s">
        <v>612</v>
      </c>
      <c r="B138" s="145"/>
      <c r="C138" s="66"/>
      <c r="D138" s="93"/>
      <c r="E138" s="107"/>
      <c r="F138" s="256"/>
      <c r="G138" s="189"/>
      <c r="I138" s="190"/>
    </row>
    <row r="139" spans="1:9" ht="24">
      <c r="A139" s="184" t="s">
        <v>613</v>
      </c>
      <c r="B139" s="145">
        <v>763131831</v>
      </c>
      <c r="C139" s="65" t="s">
        <v>428</v>
      </c>
      <c r="D139" s="107" t="s">
        <v>58</v>
      </c>
      <c r="E139" s="204">
        <f>SUM(E140:E143)</f>
        <v>43.86</v>
      </c>
      <c r="F139" s="250">
        <v>0</v>
      </c>
      <c r="G139" s="187">
        <f>E139*F139</f>
        <v>0</v>
      </c>
      <c r="H139" s="235">
        <v>0.01725</v>
      </c>
      <c r="I139" s="237">
        <f>E139*H139</f>
        <v>0.7565850000000001</v>
      </c>
    </row>
    <row r="140" spans="1:9" ht="12">
      <c r="A140" s="184" t="s">
        <v>614</v>
      </c>
      <c r="B140" s="145"/>
      <c r="C140" s="64" t="s">
        <v>292</v>
      </c>
      <c r="D140" s="145" t="s">
        <v>58</v>
      </c>
      <c r="E140" s="195">
        <v>11.01</v>
      </c>
      <c r="F140" s="256"/>
      <c r="G140" s="189"/>
      <c r="H140" s="239"/>
      <c r="I140" s="190"/>
    </row>
    <row r="141" spans="1:9" ht="12">
      <c r="A141" s="184" t="s">
        <v>615</v>
      </c>
      <c r="B141" s="145"/>
      <c r="C141" s="64" t="s">
        <v>282</v>
      </c>
      <c r="D141" s="145" t="s">
        <v>58</v>
      </c>
      <c r="E141" s="210">
        <v>3.57</v>
      </c>
      <c r="F141" s="256"/>
      <c r="G141" s="189"/>
      <c r="H141" s="239"/>
      <c r="I141" s="190"/>
    </row>
    <row r="142" spans="1:9" ht="12">
      <c r="A142" s="184" t="s">
        <v>616</v>
      </c>
      <c r="B142" s="145"/>
      <c r="C142" s="64" t="s">
        <v>284</v>
      </c>
      <c r="D142" s="145" t="s">
        <v>58</v>
      </c>
      <c r="E142" s="210">
        <v>14.6</v>
      </c>
      <c r="F142" s="256"/>
      <c r="G142" s="54"/>
      <c r="H142" s="239"/>
      <c r="I142" s="190"/>
    </row>
    <row r="143" spans="1:9" ht="12">
      <c r="A143" s="184" t="s">
        <v>617</v>
      </c>
      <c r="B143" s="145"/>
      <c r="C143" s="64" t="s">
        <v>288</v>
      </c>
      <c r="D143" s="145" t="s">
        <v>58</v>
      </c>
      <c r="E143" s="210">
        <v>14.68</v>
      </c>
      <c r="F143" s="256"/>
      <c r="G143" s="189"/>
      <c r="H143" s="239"/>
      <c r="I143" s="190"/>
    </row>
    <row r="144" spans="1:9" ht="12">
      <c r="A144" s="184" t="s">
        <v>618</v>
      </c>
      <c r="B144" s="145"/>
      <c r="D144" s="95"/>
      <c r="E144" s="210"/>
      <c r="F144" s="256"/>
      <c r="G144" s="189"/>
      <c r="H144" s="239"/>
      <c r="I144" s="190"/>
    </row>
    <row r="145" spans="1:9" ht="12" customHeight="1">
      <c r="A145" s="184" t="s">
        <v>619</v>
      </c>
      <c r="B145" s="145"/>
      <c r="C145" s="68" t="s">
        <v>203</v>
      </c>
      <c r="D145" s="95"/>
      <c r="E145" s="195"/>
      <c r="F145" s="256"/>
      <c r="G145" s="189"/>
      <c r="I145" s="190"/>
    </row>
    <row r="146" spans="1:9" ht="48">
      <c r="A146" s="184" t="s">
        <v>620</v>
      </c>
      <c r="B146" s="145">
        <v>974031167</v>
      </c>
      <c r="C146" s="65" t="s">
        <v>1077</v>
      </c>
      <c r="D146" s="143" t="s">
        <v>59</v>
      </c>
      <c r="E146" s="204">
        <v>46</v>
      </c>
      <c r="F146" s="250">
        <v>0</v>
      </c>
      <c r="G146" s="187">
        <f>E146*F146</f>
        <v>0</v>
      </c>
      <c r="H146" s="235">
        <v>0.081</v>
      </c>
      <c r="I146" s="237">
        <f>E146*H146</f>
        <v>3.726</v>
      </c>
    </row>
    <row r="147" spans="1:9" ht="24">
      <c r="A147" s="184" t="s">
        <v>621</v>
      </c>
      <c r="B147" s="145" t="s">
        <v>429</v>
      </c>
      <c r="C147" s="65" t="s">
        <v>435</v>
      </c>
      <c r="D147" s="143" t="s">
        <v>59</v>
      </c>
      <c r="E147" s="204">
        <f>E146</f>
        <v>46</v>
      </c>
      <c r="F147" s="250">
        <v>0</v>
      </c>
      <c r="G147" s="187">
        <f>E147*F147</f>
        <v>0</v>
      </c>
      <c r="H147" s="235">
        <v>0.008</v>
      </c>
      <c r="I147" s="237">
        <f>E147*H147</f>
        <v>0.368</v>
      </c>
    </row>
    <row r="148" spans="1:9" ht="12">
      <c r="A148" s="184" t="s">
        <v>622</v>
      </c>
      <c r="B148" s="145"/>
      <c r="D148" s="95"/>
      <c r="E148" s="195"/>
      <c r="F148" s="256"/>
      <c r="G148" s="189"/>
      <c r="I148" s="190"/>
    </row>
    <row r="149" spans="1:9" ht="24">
      <c r="A149" s="184" t="s">
        <v>623</v>
      </c>
      <c r="B149" s="145">
        <v>974031142</v>
      </c>
      <c r="C149" s="65" t="s">
        <v>434</v>
      </c>
      <c r="D149" s="143" t="s">
        <v>59</v>
      </c>
      <c r="E149" s="204">
        <v>20.5</v>
      </c>
      <c r="F149" s="250">
        <v>0</v>
      </c>
      <c r="G149" s="187">
        <f>E149*F149</f>
        <v>0</v>
      </c>
      <c r="H149" s="235">
        <v>0.009</v>
      </c>
      <c r="I149" s="237">
        <f>E149*H149</f>
        <v>0.1845</v>
      </c>
    </row>
    <row r="150" spans="1:9" ht="24">
      <c r="A150" s="184" t="s">
        <v>624</v>
      </c>
      <c r="B150" s="145"/>
      <c r="C150" s="65" t="s">
        <v>219</v>
      </c>
      <c r="D150" s="95"/>
      <c r="E150" s="195"/>
      <c r="F150" s="256"/>
      <c r="G150" s="189"/>
      <c r="I150" s="190"/>
    </row>
    <row r="151" spans="1:9" ht="12">
      <c r="A151" s="184" t="s">
        <v>625</v>
      </c>
      <c r="B151" s="145"/>
      <c r="D151" s="95"/>
      <c r="E151" s="195"/>
      <c r="F151" s="256"/>
      <c r="G151" s="189"/>
      <c r="I151" s="190"/>
    </row>
    <row r="152" spans="1:9" ht="24">
      <c r="A152" s="184" t="s">
        <v>626</v>
      </c>
      <c r="B152" s="145">
        <v>974031153</v>
      </c>
      <c r="C152" s="65" t="s">
        <v>433</v>
      </c>
      <c r="D152" s="143" t="s">
        <v>59</v>
      </c>
      <c r="E152" s="204">
        <v>7.5</v>
      </c>
      <c r="F152" s="250">
        <v>0</v>
      </c>
      <c r="G152" s="187">
        <f>E152*F152</f>
        <v>0</v>
      </c>
      <c r="H152" s="235">
        <v>0.018</v>
      </c>
      <c r="I152" s="237">
        <f>E152*H152</f>
        <v>0.13499999999999998</v>
      </c>
    </row>
    <row r="153" spans="1:9" ht="24">
      <c r="A153" s="184" t="s">
        <v>627</v>
      </c>
      <c r="B153" s="145"/>
      <c r="C153" s="65" t="s">
        <v>219</v>
      </c>
      <c r="D153" s="95"/>
      <c r="E153" s="195"/>
      <c r="F153" s="256"/>
      <c r="G153" s="189"/>
      <c r="I153" s="190"/>
    </row>
    <row r="154" spans="1:9" ht="12">
      <c r="A154" s="184" t="s">
        <v>628</v>
      </c>
      <c r="B154" s="145"/>
      <c r="D154" s="95"/>
      <c r="E154" s="195"/>
      <c r="F154" s="256"/>
      <c r="G154" s="189"/>
      <c r="I154" s="190"/>
    </row>
    <row r="155" spans="1:9" ht="24">
      <c r="A155" s="184" t="s">
        <v>629</v>
      </c>
      <c r="B155" s="145">
        <v>974031164</v>
      </c>
      <c r="C155" s="65" t="s">
        <v>432</v>
      </c>
      <c r="D155" s="143" t="s">
        <v>59</v>
      </c>
      <c r="E155" s="204">
        <v>12.5</v>
      </c>
      <c r="F155" s="250">
        <v>0</v>
      </c>
      <c r="G155" s="187">
        <f>E155*F155</f>
        <v>0</v>
      </c>
      <c r="H155" s="235">
        <v>0.04</v>
      </c>
      <c r="I155" s="237">
        <f>E155*H155</f>
        <v>0.5</v>
      </c>
    </row>
    <row r="156" spans="1:9" ht="24">
      <c r="A156" s="184" t="s">
        <v>630</v>
      </c>
      <c r="B156" s="145"/>
      <c r="C156" s="65" t="s">
        <v>219</v>
      </c>
      <c r="D156" s="95"/>
      <c r="E156" s="195"/>
      <c r="F156" s="256"/>
      <c r="G156" s="189"/>
      <c r="I156" s="190"/>
    </row>
    <row r="157" spans="1:9" ht="12">
      <c r="A157" s="184" t="s">
        <v>631</v>
      </c>
      <c r="B157" s="145"/>
      <c r="D157" s="95"/>
      <c r="E157" s="195"/>
      <c r="F157" s="256"/>
      <c r="G157" s="189"/>
      <c r="I157" s="190"/>
    </row>
    <row r="158" spans="1:9" ht="24">
      <c r="A158" s="184" t="s">
        <v>632</v>
      </c>
      <c r="B158" s="145">
        <v>974031132</v>
      </c>
      <c r="C158" s="65" t="s">
        <v>431</v>
      </c>
      <c r="D158" s="143" t="s">
        <v>59</v>
      </c>
      <c r="E158" s="204">
        <v>123</v>
      </c>
      <c r="F158" s="250">
        <v>0</v>
      </c>
      <c r="G158" s="187">
        <f>E158*F158</f>
        <v>0</v>
      </c>
      <c r="H158" s="235">
        <v>0.006</v>
      </c>
      <c r="I158" s="237">
        <f>E158*H158</f>
        <v>0.738</v>
      </c>
    </row>
    <row r="159" spans="1:9" ht="24">
      <c r="A159" s="184" t="s">
        <v>633</v>
      </c>
      <c r="B159" s="145"/>
      <c r="C159" s="65" t="s">
        <v>219</v>
      </c>
      <c r="D159" s="95"/>
      <c r="E159" s="195"/>
      <c r="F159" s="256"/>
      <c r="G159" s="189"/>
      <c r="I159" s="190"/>
    </row>
    <row r="160" spans="1:9" ht="12">
      <c r="A160" s="184" t="s">
        <v>634</v>
      </c>
      <c r="B160" s="145"/>
      <c r="D160" s="95"/>
      <c r="E160" s="195"/>
      <c r="F160" s="256"/>
      <c r="G160" s="189"/>
      <c r="I160" s="190"/>
    </row>
    <row r="161" spans="1:9" ht="36">
      <c r="A161" s="184" t="s">
        <v>635</v>
      </c>
      <c r="B161" s="145">
        <v>973031335</v>
      </c>
      <c r="C161" s="65" t="s">
        <v>430</v>
      </c>
      <c r="D161" s="143" t="s">
        <v>71</v>
      </c>
      <c r="E161" s="204">
        <v>39</v>
      </c>
      <c r="F161" s="250">
        <v>0</v>
      </c>
      <c r="G161" s="187">
        <f>E161*F161</f>
        <v>0</v>
      </c>
      <c r="H161" s="235">
        <v>0.062</v>
      </c>
      <c r="I161" s="237">
        <f>E161*H161</f>
        <v>2.418</v>
      </c>
    </row>
    <row r="162" spans="1:9" ht="24">
      <c r="A162" s="184" t="s">
        <v>636</v>
      </c>
      <c r="B162" s="145"/>
      <c r="C162" s="65" t="s">
        <v>219</v>
      </c>
      <c r="D162" s="95"/>
      <c r="E162" s="195"/>
      <c r="F162" s="256"/>
      <c r="G162" s="189"/>
      <c r="I162" s="190"/>
    </row>
    <row r="163" spans="1:9" ht="12">
      <c r="A163" s="184" t="s">
        <v>637</v>
      </c>
      <c r="B163" s="145"/>
      <c r="C163" s="65"/>
      <c r="D163" s="95"/>
      <c r="E163" s="195"/>
      <c r="F163" s="256"/>
      <c r="G163" s="189"/>
      <c r="I163" s="190"/>
    </row>
    <row r="164" spans="1:9" ht="18.75" customHeight="1">
      <c r="A164" s="184" t="s">
        <v>638</v>
      </c>
      <c r="B164" s="145" t="s">
        <v>436</v>
      </c>
      <c r="C164" s="50" t="s">
        <v>204</v>
      </c>
      <c r="D164" s="143" t="s">
        <v>71</v>
      </c>
      <c r="E164" s="204">
        <v>6</v>
      </c>
      <c r="F164" s="250">
        <v>0</v>
      </c>
      <c r="G164" s="187">
        <f>E164*F164</f>
        <v>0</v>
      </c>
      <c r="H164" s="235">
        <v>0.154</v>
      </c>
      <c r="I164" s="237">
        <f>E164*H164</f>
        <v>0.9239999999999999</v>
      </c>
    </row>
    <row r="165" spans="1:11" ht="12">
      <c r="A165" s="184" t="s">
        <v>639</v>
      </c>
      <c r="B165" s="145"/>
      <c r="D165" s="95"/>
      <c r="E165" s="195"/>
      <c r="F165" s="256"/>
      <c r="G165" s="189"/>
      <c r="I165" s="190"/>
      <c r="J165" s="164"/>
      <c r="K165" s="165"/>
    </row>
    <row r="166" spans="1:11" ht="12">
      <c r="A166" s="184" t="s">
        <v>640</v>
      </c>
      <c r="B166" s="145"/>
      <c r="C166" s="68" t="s">
        <v>123</v>
      </c>
      <c r="D166" s="95"/>
      <c r="E166" s="195"/>
      <c r="F166" s="256"/>
      <c r="G166" s="189"/>
      <c r="I166" s="190"/>
      <c r="J166" s="166"/>
      <c r="K166" s="165"/>
    </row>
    <row r="167" spans="1:9" ht="12" customHeight="1">
      <c r="A167" s="184" t="s">
        <v>641</v>
      </c>
      <c r="B167" s="145"/>
      <c r="C167" s="65" t="s">
        <v>205</v>
      </c>
      <c r="D167" s="95"/>
      <c r="E167" s="195"/>
      <c r="F167" s="256"/>
      <c r="G167" s="189"/>
      <c r="I167" s="190"/>
    </row>
    <row r="168" spans="1:9" ht="12" customHeight="1">
      <c r="A168" s="184" t="s">
        <v>642</v>
      </c>
      <c r="B168" s="145">
        <v>725110811</v>
      </c>
      <c r="C168" s="64" t="s">
        <v>109</v>
      </c>
      <c r="D168" s="95" t="s">
        <v>110</v>
      </c>
      <c r="E168" s="195">
        <v>11</v>
      </c>
      <c r="F168" s="256">
        <v>0</v>
      </c>
      <c r="G168" s="189">
        <f>E168*F168</f>
        <v>0</v>
      </c>
      <c r="H168" s="235">
        <v>0.01933</v>
      </c>
      <c r="I168" s="190">
        <f aca="true" t="shared" si="0" ref="I168:I176">E168*H168</f>
        <v>0.21262999999999999</v>
      </c>
    </row>
    <row r="169" spans="1:9" ht="12" customHeight="1">
      <c r="A169" s="184" t="s">
        <v>643</v>
      </c>
      <c r="B169" s="145">
        <v>725130811</v>
      </c>
      <c r="C169" s="64" t="s">
        <v>106</v>
      </c>
      <c r="D169" s="95"/>
      <c r="E169" s="195">
        <v>6</v>
      </c>
      <c r="F169" s="256">
        <v>0</v>
      </c>
      <c r="G169" s="189">
        <f aca="true" t="shared" si="1" ref="G169:G176">E169*F169</f>
        <v>0</v>
      </c>
      <c r="H169" s="235">
        <v>0.03968</v>
      </c>
      <c r="I169" s="190">
        <f t="shared" si="0"/>
        <v>0.23808</v>
      </c>
    </row>
    <row r="170" spans="1:9" ht="12" customHeight="1">
      <c r="A170" s="184" t="s">
        <v>644</v>
      </c>
      <c r="B170" s="145">
        <v>725210821</v>
      </c>
      <c r="C170" s="64" t="s">
        <v>107</v>
      </c>
      <c r="D170" s="95"/>
      <c r="E170" s="195">
        <v>9</v>
      </c>
      <c r="F170" s="256">
        <v>0</v>
      </c>
      <c r="G170" s="189">
        <f t="shared" si="1"/>
        <v>0</v>
      </c>
      <c r="H170" s="235">
        <v>0.01946</v>
      </c>
      <c r="I170" s="190">
        <f t="shared" si="0"/>
        <v>0.17514000000000002</v>
      </c>
    </row>
    <row r="171" spans="1:9" ht="15" customHeight="1">
      <c r="A171" s="184" t="s">
        <v>645</v>
      </c>
      <c r="B171" s="145">
        <v>725310821</v>
      </c>
      <c r="C171" s="64" t="s">
        <v>111</v>
      </c>
      <c r="D171" s="95" t="s">
        <v>438</v>
      </c>
      <c r="E171" s="195">
        <v>1</v>
      </c>
      <c r="F171" s="256">
        <v>0</v>
      </c>
      <c r="G171" s="189">
        <f t="shared" si="1"/>
        <v>0</v>
      </c>
      <c r="H171" s="235">
        <v>0.01707</v>
      </c>
      <c r="I171" s="190">
        <f t="shared" si="0"/>
        <v>0.01707</v>
      </c>
    </row>
    <row r="172" spans="1:9" ht="12" customHeight="1">
      <c r="A172" s="184" t="s">
        <v>646</v>
      </c>
      <c r="B172" s="145">
        <v>725240812</v>
      </c>
      <c r="C172" s="64" t="s">
        <v>108</v>
      </c>
      <c r="D172" s="95" t="s">
        <v>438</v>
      </c>
      <c r="E172" s="195">
        <v>1</v>
      </c>
      <c r="F172" s="256">
        <v>0</v>
      </c>
      <c r="G172" s="189">
        <f t="shared" si="1"/>
        <v>0</v>
      </c>
      <c r="H172" s="235">
        <v>0.0245</v>
      </c>
      <c r="I172" s="190">
        <f t="shared" si="0"/>
        <v>0.0245</v>
      </c>
    </row>
    <row r="173" spans="1:9" ht="12" customHeight="1">
      <c r="A173" s="184" t="s">
        <v>647</v>
      </c>
      <c r="B173" s="145">
        <v>725330820</v>
      </c>
      <c r="C173" s="64" t="s">
        <v>112</v>
      </c>
      <c r="D173" s="95" t="s">
        <v>438</v>
      </c>
      <c r="E173" s="195">
        <v>2</v>
      </c>
      <c r="F173" s="256">
        <v>0</v>
      </c>
      <c r="G173" s="189">
        <f t="shared" si="1"/>
        <v>0</v>
      </c>
      <c r="H173" s="235">
        <v>0.0347</v>
      </c>
      <c r="I173" s="190">
        <f t="shared" si="0"/>
        <v>0.0694</v>
      </c>
    </row>
    <row r="174" spans="1:9" ht="12" customHeight="1">
      <c r="A174" s="184" t="s">
        <v>648</v>
      </c>
      <c r="B174" s="145">
        <v>725820802</v>
      </c>
      <c r="C174" s="64" t="s">
        <v>439</v>
      </c>
      <c r="D174" s="95" t="s">
        <v>438</v>
      </c>
      <c r="E174" s="195">
        <v>8</v>
      </c>
      <c r="F174" s="256">
        <v>0</v>
      </c>
      <c r="G174" s="189">
        <f t="shared" si="1"/>
        <v>0</v>
      </c>
      <c r="H174" s="235">
        <v>0.00086</v>
      </c>
      <c r="I174" s="190">
        <f t="shared" si="0"/>
        <v>0.00688</v>
      </c>
    </row>
    <row r="175" spans="1:9" ht="12" customHeight="1">
      <c r="A175" s="184" t="s">
        <v>649</v>
      </c>
      <c r="B175" s="145">
        <v>725840860</v>
      </c>
      <c r="C175" s="64" t="s">
        <v>437</v>
      </c>
      <c r="D175" s="95" t="s">
        <v>438</v>
      </c>
      <c r="E175" s="195">
        <v>3</v>
      </c>
      <c r="F175" s="256">
        <v>0</v>
      </c>
      <c r="G175" s="189">
        <f t="shared" si="1"/>
        <v>0</v>
      </c>
      <c r="H175" s="235">
        <v>0.00052</v>
      </c>
      <c r="I175" s="190">
        <f t="shared" si="0"/>
        <v>0.0015599999999999998</v>
      </c>
    </row>
    <row r="176" spans="1:11" ht="25.5" customHeight="1">
      <c r="A176" s="184" t="s">
        <v>650</v>
      </c>
      <c r="B176" s="145">
        <v>725820801</v>
      </c>
      <c r="C176" s="64" t="s">
        <v>1078</v>
      </c>
      <c r="D176" s="143" t="s">
        <v>438</v>
      </c>
      <c r="E176" s="204">
        <v>5</v>
      </c>
      <c r="F176" s="250">
        <v>0</v>
      </c>
      <c r="G176" s="187">
        <f t="shared" si="1"/>
        <v>0</v>
      </c>
      <c r="H176" s="235">
        <v>0.000156</v>
      </c>
      <c r="I176" s="237">
        <f t="shared" si="0"/>
        <v>0.00078</v>
      </c>
      <c r="K176" s="53"/>
    </row>
    <row r="177" spans="1:9" ht="12" customHeight="1">
      <c r="A177" s="184" t="s">
        <v>651</v>
      </c>
      <c r="B177" s="145"/>
      <c r="D177" s="95"/>
      <c r="E177" s="195"/>
      <c r="F177" s="256"/>
      <c r="G177" s="189"/>
      <c r="I177" s="190"/>
    </row>
    <row r="178" spans="1:9" ht="39.75" customHeight="1">
      <c r="A178" s="184" t="s">
        <v>652</v>
      </c>
      <c r="B178" s="145" t="s">
        <v>440</v>
      </c>
      <c r="C178" s="66" t="s">
        <v>448</v>
      </c>
      <c r="D178" s="79" t="s">
        <v>59</v>
      </c>
      <c r="E178" s="204">
        <f>198-75</f>
        <v>123</v>
      </c>
      <c r="F178" s="250">
        <v>0</v>
      </c>
      <c r="G178" s="187">
        <f aca="true" t="shared" si="2" ref="G178:G194">E178*F178</f>
        <v>0</v>
      </c>
      <c r="H178" s="235">
        <v>1E-05</v>
      </c>
      <c r="I178" s="237">
        <f aca="true" t="shared" si="3" ref="I178:I185">E178*H178</f>
        <v>0.0012300000000000002</v>
      </c>
    </row>
    <row r="179" spans="1:9" ht="12.75" customHeight="1">
      <c r="A179" s="184" t="s">
        <v>653</v>
      </c>
      <c r="B179" s="145">
        <v>721910932</v>
      </c>
      <c r="C179" s="66" t="s">
        <v>442</v>
      </c>
      <c r="D179" s="79" t="s">
        <v>59</v>
      </c>
      <c r="E179" s="204">
        <v>50</v>
      </c>
      <c r="F179" s="250">
        <v>0</v>
      </c>
      <c r="G179" s="187">
        <f t="shared" si="2"/>
        <v>0</v>
      </c>
      <c r="H179" s="235">
        <v>0</v>
      </c>
      <c r="I179" s="237">
        <f t="shared" si="3"/>
        <v>0</v>
      </c>
    </row>
    <row r="180" spans="1:9" ht="26.25" customHeight="1">
      <c r="A180" s="184" t="s">
        <v>654</v>
      </c>
      <c r="B180" s="145" t="s">
        <v>444</v>
      </c>
      <c r="C180" s="64" t="s">
        <v>443</v>
      </c>
      <c r="D180" s="79" t="s">
        <v>59</v>
      </c>
      <c r="E180" s="204">
        <v>25</v>
      </c>
      <c r="F180" s="250">
        <v>0</v>
      </c>
      <c r="G180" s="187">
        <f t="shared" si="2"/>
        <v>0</v>
      </c>
      <c r="H180" s="235">
        <v>0.002</v>
      </c>
      <c r="I180" s="237">
        <f t="shared" si="3"/>
        <v>0.05</v>
      </c>
    </row>
    <row r="181" spans="1:9" ht="24" customHeight="1">
      <c r="A181" s="184" t="s">
        <v>655</v>
      </c>
      <c r="B181" s="145">
        <v>721910912</v>
      </c>
      <c r="C181" s="64" t="s">
        <v>446</v>
      </c>
      <c r="D181" s="79" t="s">
        <v>438</v>
      </c>
      <c r="E181" s="204">
        <v>5</v>
      </c>
      <c r="F181" s="250">
        <v>0</v>
      </c>
      <c r="G181" s="187">
        <f>E181*F181</f>
        <v>0</v>
      </c>
      <c r="H181" s="235">
        <v>0</v>
      </c>
      <c r="I181" s="237">
        <f t="shared" si="3"/>
        <v>0</v>
      </c>
    </row>
    <row r="182" spans="1:9" ht="12" customHeight="1">
      <c r="A182" s="184" t="s">
        <v>656</v>
      </c>
      <c r="B182" s="145">
        <v>969031111</v>
      </c>
      <c r="C182" s="64" t="s">
        <v>445</v>
      </c>
      <c r="D182" s="72" t="s">
        <v>59</v>
      </c>
      <c r="E182" s="195">
        <v>77.7</v>
      </c>
      <c r="F182" s="256">
        <v>0</v>
      </c>
      <c r="G182" s="187">
        <f>E182*F182</f>
        <v>0</v>
      </c>
      <c r="H182" s="235">
        <v>0.007</v>
      </c>
      <c r="I182" s="237">
        <f t="shared" si="3"/>
        <v>0.5439</v>
      </c>
    </row>
    <row r="183" spans="1:9" ht="12" customHeight="1">
      <c r="A183" s="184" t="s">
        <v>657</v>
      </c>
      <c r="B183" s="145">
        <v>969041113</v>
      </c>
      <c r="C183" s="64" t="s">
        <v>120</v>
      </c>
      <c r="D183" s="72" t="s">
        <v>59</v>
      </c>
      <c r="E183" s="195">
        <v>86.5</v>
      </c>
      <c r="F183" s="256">
        <v>0</v>
      </c>
      <c r="G183" s="189">
        <f t="shared" si="2"/>
        <v>0</v>
      </c>
      <c r="H183" s="239">
        <v>0.0065</v>
      </c>
      <c r="I183" s="190">
        <f t="shared" si="3"/>
        <v>0.56225</v>
      </c>
    </row>
    <row r="184" spans="1:9" ht="48">
      <c r="A184" s="184" t="s">
        <v>658</v>
      </c>
      <c r="B184" s="145" t="s">
        <v>447</v>
      </c>
      <c r="C184" s="66" t="s">
        <v>206</v>
      </c>
      <c r="D184" s="79" t="s">
        <v>59</v>
      </c>
      <c r="E184" s="204">
        <f>7*14</f>
        <v>98</v>
      </c>
      <c r="F184" s="250">
        <v>0</v>
      </c>
      <c r="G184" s="187">
        <f t="shared" si="2"/>
        <v>0</v>
      </c>
      <c r="H184" s="235">
        <v>0.001</v>
      </c>
      <c r="I184" s="237">
        <f t="shared" si="3"/>
        <v>0.098</v>
      </c>
    </row>
    <row r="185" spans="1:12" ht="75.75" customHeight="1">
      <c r="A185" s="184" t="s">
        <v>659</v>
      </c>
      <c r="B185" s="145">
        <v>735111810</v>
      </c>
      <c r="C185" s="66" t="s">
        <v>449</v>
      </c>
      <c r="D185" s="79" t="s">
        <v>58</v>
      </c>
      <c r="E185" s="204">
        <v>45</v>
      </c>
      <c r="F185" s="250">
        <v>0</v>
      </c>
      <c r="G185" s="187">
        <f t="shared" si="2"/>
        <v>0</v>
      </c>
      <c r="H185" s="238">
        <v>0.0238</v>
      </c>
      <c r="I185" s="237">
        <f t="shared" si="3"/>
        <v>1.0710000000000002</v>
      </c>
      <c r="K185" s="163"/>
      <c r="L185" s="66"/>
    </row>
    <row r="186" spans="1:11" ht="12" customHeight="1">
      <c r="A186" s="184" t="s">
        <v>660</v>
      </c>
      <c r="B186" s="145"/>
      <c r="D186" s="72"/>
      <c r="E186" s="195"/>
      <c r="F186" s="256"/>
      <c r="G186" s="189"/>
      <c r="H186" s="239"/>
      <c r="I186" s="190"/>
      <c r="K186" s="66"/>
    </row>
    <row r="187" spans="1:9" ht="36">
      <c r="A187" s="184" t="s">
        <v>661</v>
      </c>
      <c r="B187" s="145">
        <v>997013115</v>
      </c>
      <c r="C187" s="64" t="s">
        <v>1079</v>
      </c>
      <c r="D187" s="97" t="s">
        <v>17</v>
      </c>
      <c r="E187" s="195">
        <v>38.3</v>
      </c>
      <c r="F187" s="256">
        <v>0</v>
      </c>
      <c r="G187" s="189">
        <f t="shared" si="2"/>
        <v>0</v>
      </c>
      <c r="H187" s="239"/>
      <c r="I187" s="190"/>
    </row>
    <row r="188" spans="1:9" ht="24">
      <c r="A188" s="184" t="s">
        <v>662</v>
      </c>
      <c r="B188" s="145">
        <v>997013501</v>
      </c>
      <c r="C188" s="64" t="s">
        <v>207</v>
      </c>
      <c r="D188" s="97" t="s">
        <v>17</v>
      </c>
      <c r="E188" s="195">
        <f>E187</f>
        <v>38.3</v>
      </c>
      <c r="F188" s="256">
        <v>0</v>
      </c>
      <c r="G188" s="189">
        <f t="shared" si="2"/>
        <v>0</v>
      </c>
      <c r="H188" s="239"/>
      <c r="I188" s="190"/>
    </row>
    <row r="189" spans="1:9" ht="24">
      <c r="A189" s="184" t="s">
        <v>663</v>
      </c>
      <c r="B189" s="145">
        <v>997013509</v>
      </c>
      <c r="C189" s="64" t="s">
        <v>450</v>
      </c>
      <c r="D189" s="97" t="s">
        <v>17</v>
      </c>
      <c r="E189" s="195">
        <f>E188</f>
        <v>38.3</v>
      </c>
      <c r="F189" s="256">
        <v>0</v>
      </c>
      <c r="G189" s="189">
        <f t="shared" si="2"/>
        <v>0</v>
      </c>
      <c r="H189" s="239"/>
      <c r="I189" s="190"/>
    </row>
    <row r="190" spans="1:9" ht="24">
      <c r="A190" s="184" t="s">
        <v>664</v>
      </c>
      <c r="B190" s="145">
        <v>469973114</v>
      </c>
      <c r="C190" s="64" t="s">
        <v>208</v>
      </c>
      <c r="D190" s="97" t="s">
        <v>17</v>
      </c>
      <c r="E190" s="195">
        <f>15.26+4.87+0.75</f>
        <v>20.88</v>
      </c>
      <c r="F190" s="256">
        <v>0</v>
      </c>
      <c r="G190" s="189">
        <f t="shared" si="2"/>
        <v>0</v>
      </c>
      <c r="H190" s="239"/>
      <c r="I190" s="190"/>
    </row>
    <row r="191" spans="1:9" ht="24">
      <c r="A191" s="184" t="s">
        <v>665</v>
      </c>
      <c r="B191" s="145">
        <v>469973113</v>
      </c>
      <c r="C191" s="64" t="s">
        <v>451</v>
      </c>
      <c r="D191" s="97" t="s">
        <v>17</v>
      </c>
      <c r="E191" s="195">
        <f>8.99+4.63</f>
        <v>13.620000000000001</v>
      </c>
      <c r="F191" s="256">
        <v>0</v>
      </c>
      <c r="G191" s="189">
        <f t="shared" si="2"/>
        <v>0</v>
      </c>
      <c r="H191" s="239"/>
      <c r="I191" s="190"/>
    </row>
    <row r="192" spans="1:9" ht="24">
      <c r="A192" s="184" t="s">
        <v>666</v>
      </c>
      <c r="B192" s="145">
        <v>469973116</v>
      </c>
      <c r="C192" s="64" t="s">
        <v>452</v>
      </c>
      <c r="D192" s="97" t="s">
        <v>17</v>
      </c>
      <c r="E192" s="210">
        <f>0.03+1.2+0.13</f>
        <v>1.3599999999999999</v>
      </c>
      <c r="F192" s="256">
        <v>0</v>
      </c>
      <c r="G192" s="189">
        <f t="shared" si="2"/>
        <v>0</v>
      </c>
      <c r="H192" s="239"/>
      <c r="I192" s="190"/>
    </row>
    <row r="193" spans="1:9" ht="24.75" customHeight="1">
      <c r="A193" s="184" t="s">
        <v>667</v>
      </c>
      <c r="B193" s="145">
        <v>997013812</v>
      </c>
      <c r="C193" s="64" t="s">
        <v>1080</v>
      </c>
      <c r="D193" s="97" t="s">
        <v>17</v>
      </c>
      <c r="E193" s="210">
        <v>0.76</v>
      </c>
      <c r="F193" s="256">
        <v>0</v>
      </c>
      <c r="G193" s="189">
        <f t="shared" si="2"/>
        <v>0</v>
      </c>
      <c r="H193" s="239"/>
      <c r="I193" s="190"/>
    </row>
    <row r="194" spans="1:9" ht="24.75" customHeight="1">
      <c r="A194" s="184" t="s">
        <v>668</v>
      </c>
      <c r="B194" s="145">
        <v>997013804</v>
      </c>
      <c r="C194" s="64" t="s">
        <v>453</v>
      </c>
      <c r="D194" s="97" t="s">
        <v>17</v>
      </c>
      <c r="E194" s="210">
        <v>1.72</v>
      </c>
      <c r="F194" s="256">
        <v>0</v>
      </c>
      <c r="G194" s="189">
        <f t="shared" si="2"/>
        <v>0</v>
      </c>
      <c r="H194" s="239"/>
      <c r="I194" s="190"/>
    </row>
    <row r="195" spans="1:9" ht="13.5" customHeight="1">
      <c r="A195" s="184" t="s">
        <v>669</v>
      </c>
      <c r="B195" s="145"/>
      <c r="D195" s="97"/>
      <c r="E195" s="210"/>
      <c r="F195" s="256"/>
      <c r="G195" s="189"/>
      <c r="H195" s="239"/>
      <c r="I195" s="190"/>
    </row>
    <row r="196" spans="1:9" ht="67.5">
      <c r="A196" s="184" t="s">
        <v>670</v>
      </c>
      <c r="B196" s="145"/>
      <c r="C196" s="98" t="s">
        <v>519</v>
      </c>
      <c r="D196" s="97"/>
      <c r="E196" s="195"/>
      <c r="F196" s="256"/>
      <c r="G196" s="189"/>
      <c r="H196" s="239"/>
      <c r="I196" s="190"/>
    </row>
    <row r="197" spans="1:9" ht="12">
      <c r="A197" s="184" t="s">
        <v>671</v>
      </c>
      <c r="B197" s="145"/>
      <c r="D197" s="95"/>
      <c r="E197" s="195"/>
      <c r="F197" s="256"/>
      <c r="G197" s="189"/>
      <c r="I197" s="190"/>
    </row>
    <row r="198" spans="1:9" ht="12.75">
      <c r="A198" s="184" t="s">
        <v>672</v>
      </c>
      <c r="B198" s="145"/>
      <c r="C198" s="100" t="s">
        <v>121</v>
      </c>
      <c r="D198" s="95"/>
      <c r="E198" s="195"/>
      <c r="F198" s="256"/>
      <c r="G198" s="189"/>
      <c r="I198" s="190"/>
    </row>
    <row r="199" spans="1:9" ht="15" customHeight="1">
      <c r="A199" s="184" t="s">
        <v>673</v>
      </c>
      <c r="B199" s="145"/>
      <c r="C199" s="100"/>
      <c r="D199" s="95"/>
      <c r="E199" s="195"/>
      <c r="F199" s="256"/>
      <c r="G199" s="189"/>
      <c r="I199" s="190"/>
    </row>
    <row r="200" spans="1:9" ht="15.75" customHeight="1">
      <c r="A200" s="184" t="s">
        <v>674</v>
      </c>
      <c r="B200" s="145"/>
      <c r="C200" s="167" t="s">
        <v>201</v>
      </c>
      <c r="D200" s="143"/>
      <c r="G200" s="202">
        <f>SUM(G201:G228)</f>
        <v>0</v>
      </c>
      <c r="I200" s="240">
        <f>SUM(I202:I228)</f>
        <v>3.54884718</v>
      </c>
    </row>
    <row r="201" spans="1:9" ht="24">
      <c r="A201" s="184" t="s">
        <v>675</v>
      </c>
      <c r="B201" s="145">
        <v>342272205</v>
      </c>
      <c r="C201" s="152" t="s">
        <v>1086</v>
      </c>
      <c r="D201" s="107" t="s">
        <v>58</v>
      </c>
      <c r="E201" s="107">
        <f>SUM(E203:E213)</f>
        <v>35.760000000000005</v>
      </c>
      <c r="F201" s="251">
        <v>0</v>
      </c>
      <c r="G201" s="191">
        <f>E201*F201</f>
        <v>0</v>
      </c>
      <c r="H201" s="235">
        <v>0.04234</v>
      </c>
      <c r="I201" s="237">
        <f>E201*H201</f>
        <v>1.5140784000000003</v>
      </c>
    </row>
    <row r="202" spans="1:9" ht="12">
      <c r="A202" s="184" t="s">
        <v>676</v>
      </c>
      <c r="B202" s="145"/>
      <c r="C202" s="64" t="s">
        <v>293</v>
      </c>
      <c r="D202" s="95"/>
      <c r="E202" s="195"/>
      <c r="F202" s="256"/>
      <c r="G202" s="189"/>
      <c r="I202" s="190"/>
    </row>
    <row r="203" spans="1:9" ht="12">
      <c r="A203" s="184" t="s">
        <v>677</v>
      </c>
      <c r="B203" s="145"/>
      <c r="C203" s="64" t="s">
        <v>458</v>
      </c>
      <c r="D203" s="93" t="s">
        <v>58</v>
      </c>
      <c r="E203" s="97">
        <f>0.99*4</f>
        <v>3.96</v>
      </c>
      <c r="F203" s="256"/>
      <c r="G203" s="191"/>
      <c r="I203" s="237"/>
    </row>
    <row r="204" spans="1:9" ht="15" customHeight="1">
      <c r="A204" s="184" t="s">
        <v>678</v>
      </c>
      <c r="B204" s="145"/>
      <c r="C204" s="64" t="s">
        <v>294</v>
      </c>
      <c r="D204" s="93"/>
      <c r="E204" s="195"/>
      <c r="F204" s="256"/>
      <c r="G204" s="189"/>
      <c r="I204" s="190"/>
    </row>
    <row r="205" spans="1:9" ht="12">
      <c r="A205" s="184" t="s">
        <v>679</v>
      </c>
      <c r="B205" s="145"/>
      <c r="C205" s="64" t="s">
        <v>295</v>
      </c>
      <c r="D205" s="93" t="s">
        <v>58</v>
      </c>
      <c r="E205" s="97">
        <f>0.81*4</f>
        <v>3.24</v>
      </c>
      <c r="F205" s="256"/>
      <c r="G205" s="189"/>
      <c r="I205" s="190"/>
    </row>
    <row r="206" spans="1:9" ht="12">
      <c r="A206" s="184" t="s">
        <v>680</v>
      </c>
      <c r="B206" s="145"/>
      <c r="C206" s="64" t="s">
        <v>296</v>
      </c>
      <c r="D206" s="93"/>
      <c r="E206" s="97"/>
      <c r="F206" s="256"/>
      <c r="G206" s="189"/>
      <c r="I206" s="190"/>
    </row>
    <row r="207" spans="1:9" ht="12">
      <c r="A207" s="184" t="s">
        <v>681</v>
      </c>
      <c r="B207" s="145"/>
      <c r="C207" s="64" t="s">
        <v>297</v>
      </c>
      <c r="D207" s="93" t="s">
        <v>58</v>
      </c>
      <c r="E207" s="97">
        <f>0.9*4*2</f>
        <v>7.2</v>
      </c>
      <c r="F207" s="256"/>
      <c r="G207" s="189"/>
      <c r="I207" s="190"/>
    </row>
    <row r="208" spans="1:9" ht="12">
      <c r="A208" s="184" t="s">
        <v>682</v>
      </c>
      <c r="B208" s="145"/>
      <c r="C208" s="64" t="s">
        <v>298</v>
      </c>
      <c r="D208" s="93"/>
      <c r="E208" s="97"/>
      <c r="F208" s="256"/>
      <c r="G208" s="189"/>
      <c r="I208" s="190"/>
    </row>
    <row r="209" spans="1:9" ht="12" customHeight="1">
      <c r="A209" s="184" t="s">
        <v>683</v>
      </c>
      <c r="B209" s="145"/>
      <c r="C209" s="64" t="s">
        <v>299</v>
      </c>
      <c r="D209" s="93" t="s">
        <v>58</v>
      </c>
      <c r="E209" s="97">
        <f>0.89*4+0.86*4+0.8*4</f>
        <v>10.2</v>
      </c>
      <c r="F209" s="256"/>
      <c r="G209" s="189"/>
      <c r="I209" s="190"/>
    </row>
    <row r="210" spans="1:9" ht="12" customHeight="1">
      <c r="A210" s="184" t="s">
        <v>684</v>
      </c>
      <c r="B210" s="145"/>
      <c r="C210" s="64" t="s">
        <v>300</v>
      </c>
      <c r="D210" s="93"/>
      <c r="E210" s="97"/>
      <c r="F210" s="256"/>
      <c r="G210" s="189"/>
      <c r="I210" s="190"/>
    </row>
    <row r="211" spans="1:9" ht="12" customHeight="1">
      <c r="A211" s="184" t="s">
        <v>685</v>
      </c>
      <c r="B211" s="145"/>
      <c r="C211" s="64" t="s">
        <v>301</v>
      </c>
      <c r="D211" s="93" t="s">
        <v>58</v>
      </c>
      <c r="E211" s="97">
        <f>0.9*4+0.99*4</f>
        <v>7.5600000000000005</v>
      </c>
      <c r="F211" s="256"/>
      <c r="G211" s="189"/>
      <c r="I211" s="190"/>
    </row>
    <row r="212" spans="1:9" ht="12">
      <c r="A212" s="184" t="s">
        <v>686</v>
      </c>
      <c r="B212" s="145"/>
      <c r="C212" s="64" t="s">
        <v>302</v>
      </c>
      <c r="D212" s="93"/>
      <c r="E212" s="97"/>
      <c r="F212" s="256"/>
      <c r="G212" s="189"/>
      <c r="I212" s="190"/>
    </row>
    <row r="213" spans="1:9" ht="12" customHeight="1">
      <c r="A213" s="184" t="s">
        <v>687</v>
      </c>
      <c r="B213" s="145"/>
      <c r="C213" s="64" t="s">
        <v>459</v>
      </c>
      <c r="D213" s="93" t="s">
        <v>58</v>
      </c>
      <c r="E213" s="97">
        <f>0.9*4</f>
        <v>3.6</v>
      </c>
      <c r="F213" s="256"/>
      <c r="G213" s="189"/>
      <c r="I213" s="190"/>
    </row>
    <row r="214" spans="1:9" ht="12">
      <c r="A214" s="184" t="s">
        <v>688</v>
      </c>
      <c r="B214" s="145"/>
      <c r="D214" s="95"/>
      <c r="E214" s="97"/>
      <c r="F214" s="256"/>
      <c r="G214" s="189"/>
      <c r="I214" s="190"/>
    </row>
    <row r="215" spans="1:9" ht="24">
      <c r="A215" s="184" t="s">
        <v>689</v>
      </c>
      <c r="B215" s="145">
        <v>342272215</v>
      </c>
      <c r="C215" s="152" t="s">
        <v>1087</v>
      </c>
      <c r="D215" s="143" t="s">
        <v>58</v>
      </c>
      <c r="E215" s="217">
        <f>0.4*4*10*1.05</f>
        <v>16.8</v>
      </c>
      <c r="F215" s="250">
        <v>0</v>
      </c>
      <c r="G215" s="191">
        <f>E215*F215</f>
        <v>0</v>
      </c>
      <c r="H215" s="235">
        <v>0.05015</v>
      </c>
      <c r="I215" s="237">
        <f>E215*H215</f>
        <v>0.84252</v>
      </c>
    </row>
    <row r="216" spans="1:9" ht="12">
      <c r="A216" s="184" t="s">
        <v>690</v>
      </c>
      <c r="B216" s="145"/>
      <c r="C216" s="64" t="s">
        <v>454</v>
      </c>
      <c r="D216" s="95"/>
      <c r="E216" s="97"/>
      <c r="F216" s="256"/>
      <c r="G216" s="189"/>
      <c r="I216" s="190"/>
    </row>
    <row r="217" spans="1:9" ht="12" customHeight="1">
      <c r="A217" s="184" t="s">
        <v>691</v>
      </c>
      <c r="B217" s="145"/>
      <c r="C217" s="152"/>
      <c r="D217" s="95"/>
      <c r="E217" s="97"/>
      <c r="F217" s="256"/>
      <c r="G217" s="189"/>
      <c r="I217" s="190"/>
    </row>
    <row r="218" spans="1:16" ht="27.75" customHeight="1">
      <c r="A218" s="184" t="s">
        <v>692</v>
      </c>
      <c r="B218" s="145">
        <v>342272225</v>
      </c>
      <c r="C218" s="152" t="s">
        <v>1088</v>
      </c>
      <c r="D218" s="143" t="s">
        <v>58</v>
      </c>
      <c r="E218" s="209">
        <f>SUM(E219:E224)</f>
        <v>11.8275</v>
      </c>
      <c r="F218" s="251">
        <v>0</v>
      </c>
      <c r="G218" s="187">
        <f>E218*F218</f>
        <v>0</v>
      </c>
      <c r="H218" s="235">
        <v>0.05897</v>
      </c>
      <c r="I218" s="237">
        <f>E218*H218</f>
        <v>0.6974676750000001</v>
      </c>
      <c r="P218" s="103"/>
    </row>
    <row r="219" spans="1:16" ht="14.25" customHeight="1">
      <c r="A219" s="184" t="s">
        <v>693</v>
      </c>
      <c r="B219" s="145"/>
      <c r="C219" s="64" t="s">
        <v>303</v>
      </c>
      <c r="D219" s="95"/>
      <c r="E219" s="97"/>
      <c r="F219" s="256"/>
      <c r="G219" s="189"/>
      <c r="H219" s="239"/>
      <c r="I219" s="190"/>
      <c r="P219" s="103"/>
    </row>
    <row r="220" spans="1:16" ht="12" customHeight="1">
      <c r="A220" s="184" t="s">
        <v>694</v>
      </c>
      <c r="B220" s="145"/>
      <c r="C220" s="64" t="s">
        <v>304</v>
      </c>
      <c r="D220" s="93" t="s">
        <v>58</v>
      </c>
      <c r="E220" s="97">
        <f>0.2*1.5*2</f>
        <v>0.6000000000000001</v>
      </c>
      <c r="F220" s="256"/>
      <c r="G220" s="189"/>
      <c r="H220" s="239"/>
      <c r="I220" s="190"/>
      <c r="O220" s="53"/>
      <c r="P220" s="103"/>
    </row>
    <row r="221" spans="1:16" ht="12" customHeight="1">
      <c r="A221" s="184" t="s">
        <v>695</v>
      </c>
      <c r="B221" s="145"/>
      <c r="C221" s="64" t="s">
        <v>298</v>
      </c>
      <c r="D221" s="93"/>
      <c r="E221" s="97"/>
      <c r="F221" s="256"/>
      <c r="G221" s="189"/>
      <c r="H221" s="239"/>
      <c r="I221" s="190"/>
      <c r="O221" s="53"/>
      <c r="P221" s="103"/>
    </row>
    <row r="222" spans="1:9" ht="12">
      <c r="A222" s="184" t="s">
        <v>696</v>
      </c>
      <c r="B222" s="145"/>
      <c r="C222" s="64" t="s">
        <v>305</v>
      </c>
      <c r="D222" s="93" t="s">
        <v>58</v>
      </c>
      <c r="E222" s="97">
        <f>1.75*3</f>
        <v>5.25</v>
      </c>
      <c r="F222" s="256"/>
      <c r="G222" s="189"/>
      <c r="H222" s="239"/>
      <c r="I222" s="190"/>
    </row>
    <row r="223" spans="1:9" ht="12">
      <c r="A223" s="184" t="s">
        <v>697</v>
      </c>
      <c r="B223" s="145"/>
      <c r="C223" s="64" t="s">
        <v>300</v>
      </c>
      <c r="D223" s="93"/>
      <c r="E223" s="210"/>
      <c r="F223" s="256"/>
      <c r="G223" s="189"/>
      <c r="H223" s="239"/>
      <c r="I223" s="190"/>
    </row>
    <row r="224" spans="1:9" ht="12">
      <c r="A224" s="184" t="s">
        <v>698</v>
      </c>
      <c r="B224" s="145"/>
      <c r="C224" s="64" t="s">
        <v>306</v>
      </c>
      <c r="D224" s="93" t="s">
        <v>58</v>
      </c>
      <c r="E224" s="210">
        <f>0.2*3*1+(1.93+0.46)*2.25</f>
        <v>5.977500000000001</v>
      </c>
      <c r="F224" s="256"/>
      <c r="G224" s="189"/>
      <c r="H224" s="239"/>
      <c r="I224" s="190"/>
    </row>
    <row r="225" spans="1:9" ht="12" customHeight="1">
      <c r="A225" s="184" t="s">
        <v>699</v>
      </c>
      <c r="B225" s="145" t="s">
        <v>412</v>
      </c>
      <c r="C225" s="64" t="s">
        <v>457</v>
      </c>
      <c r="D225" s="143" t="s">
        <v>58</v>
      </c>
      <c r="E225" s="209">
        <f>E226</f>
        <v>64.3875</v>
      </c>
      <c r="F225" s="250">
        <v>0</v>
      </c>
      <c r="G225" s="187">
        <f>E225*F225</f>
        <v>0</v>
      </c>
      <c r="H225" s="235">
        <v>0.01575</v>
      </c>
      <c r="I225" s="237">
        <f>E225*H225</f>
        <v>1.014103125</v>
      </c>
    </row>
    <row r="226" spans="1:9" ht="17.25" customHeight="1">
      <c r="A226" s="184" t="s">
        <v>700</v>
      </c>
      <c r="B226" s="145">
        <v>612142002</v>
      </c>
      <c r="C226" s="66" t="s">
        <v>455</v>
      </c>
      <c r="D226" s="109" t="s">
        <v>58</v>
      </c>
      <c r="E226" s="209">
        <f>E201+E215+E218</f>
        <v>64.3875</v>
      </c>
      <c r="F226" s="250">
        <v>0</v>
      </c>
      <c r="G226" s="187">
        <f>E226*F226</f>
        <v>0</v>
      </c>
      <c r="H226" s="235">
        <v>0.00028</v>
      </c>
      <c r="I226" s="237">
        <f>E226*H226</f>
        <v>0.0180285</v>
      </c>
    </row>
    <row r="227" spans="1:9" ht="48" customHeight="1">
      <c r="A227" s="184" t="s">
        <v>701</v>
      </c>
      <c r="B227" s="145">
        <v>612315302</v>
      </c>
      <c r="C227" s="64" t="s">
        <v>461</v>
      </c>
      <c r="D227" s="143" t="s">
        <v>58</v>
      </c>
      <c r="E227" s="209">
        <f>0.4*((0.71+2.3)*2*6+(1.31+2.3)*2*3+(0.685+1.91*2)*2+(1.3+2.25)*2*1)</f>
        <v>29.556</v>
      </c>
      <c r="F227" s="250">
        <v>0</v>
      </c>
      <c r="G227" s="187">
        <f>E227*F227</f>
        <v>0</v>
      </c>
      <c r="H227" s="235">
        <v>0.03273</v>
      </c>
      <c r="I227" s="237">
        <f>E227*H227</f>
        <v>0.9673678800000001</v>
      </c>
    </row>
    <row r="228" spans="1:9" ht="23.25" customHeight="1">
      <c r="A228" s="184" t="s">
        <v>702</v>
      </c>
      <c r="B228" s="145" t="s">
        <v>1090</v>
      </c>
      <c r="C228" s="64" t="s">
        <v>460</v>
      </c>
      <c r="D228" s="143" t="s">
        <v>441</v>
      </c>
      <c r="E228" s="107">
        <f>4*9*2</f>
        <v>72</v>
      </c>
      <c r="F228" s="250">
        <v>0</v>
      </c>
      <c r="G228" s="187">
        <f>E228*F228</f>
        <v>0</v>
      </c>
      <c r="H228" s="235">
        <v>0.00013</v>
      </c>
      <c r="I228" s="237">
        <f>E228*H228</f>
        <v>0.009359999999999999</v>
      </c>
    </row>
    <row r="229" spans="1:9" ht="12" customHeight="1">
      <c r="A229" s="184" t="s">
        <v>703</v>
      </c>
      <c r="B229" s="145"/>
      <c r="D229" s="95"/>
      <c r="E229" s="97"/>
      <c r="F229" s="256"/>
      <c r="I229" s="237"/>
    </row>
    <row r="230" spans="1:9" ht="19.5" customHeight="1">
      <c r="A230" s="184" t="s">
        <v>704</v>
      </c>
      <c r="B230" s="145"/>
      <c r="C230" s="73" t="s">
        <v>307</v>
      </c>
      <c r="D230" s="76" t="s">
        <v>51</v>
      </c>
      <c r="E230" s="73" t="s">
        <v>31</v>
      </c>
      <c r="F230" s="257"/>
      <c r="G230" s="202">
        <f>SUM(G231:G232)</f>
        <v>0</v>
      </c>
      <c r="I230" s="240"/>
    </row>
    <row r="231" spans="1:9" ht="26.25" customHeight="1">
      <c r="A231" s="184" t="s">
        <v>705</v>
      </c>
      <c r="B231" s="145">
        <v>761111114</v>
      </c>
      <c r="C231" s="68" t="s">
        <v>1081</v>
      </c>
      <c r="D231" s="143" t="s">
        <v>58</v>
      </c>
      <c r="E231" s="107">
        <v>2.5</v>
      </c>
      <c r="F231" s="251">
        <v>0</v>
      </c>
      <c r="G231" s="187">
        <f>E231*F231</f>
        <v>0</v>
      </c>
      <c r="I231" s="237"/>
    </row>
    <row r="232" spans="1:9" ht="12">
      <c r="A232" s="184" t="s">
        <v>706</v>
      </c>
      <c r="B232" s="145"/>
      <c r="C232" s="64" t="s">
        <v>142</v>
      </c>
      <c r="D232" s="95" t="s">
        <v>462</v>
      </c>
      <c r="E232" s="189">
        <f>G231</f>
        <v>0</v>
      </c>
      <c r="F232" s="256">
        <v>0</v>
      </c>
      <c r="G232" s="189">
        <f>E232*F232</f>
        <v>0</v>
      </c>
      <c r="I232" s="190"/>
    </row>
    <row r="233" spans="1:9" ht="12">
      <c r="A233" s="184" t="s">
        <v>707</v>
      </c>
      <c r="B233" s="145"/>
      <c r="D233" s="95"/>
      <c r="E233" s="97"/>
      <c r="F233" s="256"/>
      <c r="G233" s="189"/>
      <c r="I233" s="190"/>
    </row>
    <row r="234" spans="1:9" ht="12.75">
      <c r="A234" s="184" t="s">
        <v>708</v>
      </c>
      <c r="B234" s="145"/>
      <c r="C234" s="100" t="s">
        <v>173</v>
      </c>
      <c r="D234" s="99" t="s">
        <v>51</v>
      </c>
      <c r="E234" s="207" t="s">
        <v>31</v>
      </c>
      <c r="F234" s="256"/>
      <c r="G234" s="248">
        <f>SUM(G235:G296)</f>
        <v>0</v>
      </c>
      <c r="H234" s="241"/>
      <c r="I234" s="242">
        <f>SUM(I236:I296)</f>
        <v>10.460194920000001</v>
      </c>
    </row>
    <row r="235" spans="1:9" ht="24">
      <c r="A235" s="184" t="s">
        <v>709</v>
      </c>
      <c r="B235" s="145">
        <v>612131121</v>
      </c>
      <c r="C235" s="64" t="s">
        <v>471</v>
      </c>
      <c r="D235" s="95"/>
      <c r="E235" s="195"/>
      <c r="F235" s="256"/>
      <c r="G235" s="189"/>
      <c r="I235" s="190"/>
    </row>
    <row r="236" spans="1:9" ht="12">
      <c r="A236" s="184" t="s">
        <v>710</v>
      </c>
      <c r="B236" s="145"/>
      <c r="C236" s="64" t="s">
        <v>122</v>
      </c>
      <c r="D236" s="95" t="s">
        <v>58</v>
      </c>
      <c r="E236" s="195">
        <f>E59</f>
        <v>224.364</v>
      </c>
      <c r="F236" s="256">
        <v>0</v>
      </c>
      <c r="G236" s="189">
        <f>E236*F236</f>
        <v>0</v>
      </c>
      <c r="H236" s="238">
        <v>0.00026</v>
      </c>
      <c r="I236" s="190">
        <f>E236*H236</f>
        <v>0.05833463999999999</v>
      </c>
    </row>
    <row r="237" spans="1:9" ht="12">
      <c r="A237" s="184" t="s">
        <v>711</v>
      </c>
      <c r="B237" s="145"/>
      <c r="D237" s="95"/>
      <c r="E237" s="195"/>
      <c r="F237" s="256"/>
      <c r="G237" s="189"/>
      <c r="I237" s="190"/>
    </row>
    <row r="238" spans="1:9" ht="24">
      <c r="A238" s="184" t="s">
        <v>712</v>
      </c>
      <c r="B238" s="145" t="s">
        <v>412</v>
      </c>
      <c r="C238" s="64" t="s">
        <v>472</v>
      </c>
      <c r="D238" s="143" t="s">
        <v>58</v>
      </c>
      <c r="E238" s="204">
        <f>E236</f>
        <v>224.364</v>
      </c>
      <c r="F238" s="250">
        <v>0</v>
      </c>
      <c r="G238" s="187">
        <f>E238*F238</f>
        <v>0</v>
      </c>
      <c r="H238" s="235">
        <v>0.02048</v>
      </c>
      <c r="I238" s="237">
        <f>E238*H238</f>
        <v>4.594974720000001</v>
      </c>
    </row>
    <row r="239" spans="1:9" ht="12" customHeight="1">
      <c r="A239" s="184" t="s">
        <v>713</v>
      </c>
      <c r="B239" s="145"/>
      <c r="D239" s="95"/>
      <c r="E239" s="195"/>
      <c r="F239" s="256"/>
      <c r="G239" s="189"/>
      <c r="I239" s="190"/>
    </row>
    <row r="240" spans="1:9" ht="22.5" customHeight="1">
      <c r="A240" s="184" t="s">
        <v>714</v>
      </c>
      <c r="B240" s="145">
        <v>619995001</v>
      </c>
      <c r="C240" s="64" t="s">
        <v>456</v>
      </c>
      <c r="D240" s="143" t="s">
        <v>59</v>
      </c>
      <c r="E240" s="204">
        <f>SUM(E242:E275)</f>
        <v>124.275</v>
      </c>
      <c r="F240" s="250">
        <v>0</v>
      </c>
      <c r="G240" s="187">
        <f>E240*F240</f>
        <v>0</v>
      </c>
      <c r="H240" s="235">
        <v>0.015</v>
      </c>
      <c r="I240" s="237">
        <f>E240*H240</f>
        <v>1.864125</v>
      </c>
    </row>
    <row r="241" spans="1:9" ht="12">
      <c r="A241" s="184" t="s">
        <v>715</v>
      </c>
      <c r="B241" s="145"/>
      <c r="C241" s="68" t="s">
        <v>316</v>
      </c>
      <c r="D241" s="95"/>
      <c r="E241" s="195"/>
      <c r="F241" s="256"/>
      <c r="G241" s="189"/>
      <c r="I241" s="237"/>
    </row>
    <row r="242" spans="1:9" ht="12">
      <c r="A242" s="184" t="s">
        <v>716</v>
      </c>
      <c r="B242" s="145" t="s">
        <v>309</v>
      </c>
      <c r="C242" s="65" t="s">
        <v>308</v>
      </c>
      <c r="D242" s="95"/>
      <c r="E242" s="218">
        <f>6.94-0.7-0.6-0.6</f>
        <v>5.040000000000001</v>
      </c>
      <c r="F242" s="256"/>
      <c r="G242" s="189"/>
      <c r="I242" s="190"/>
    </row>
    <row r="243" spans="1:9" ht="12" customHeight="1">
      <c r="A243" s="184" t="s">
        <v>717</v>
      </c>
      <c r="B243" s="145" t="s">
        <v>311</v>
      </c>
      <c r="C243" s="64" t="s">
        <v>310</v>
      </c>
      <c r="D243" s="95"/>
      <c r="E243" s="97">
        <f>5.12-0.6</f>
        <v>4.5200000000000005</v>
      </c>
      <c r="F243" s="256"/>
      <c r="G243" s="189"/>
      <c r="I243" s="190"/>
    </row>
    <row r="244" spans="1:9" ht="12" customHeight="1">
      <c r="A244" s="184" t="s">
        <v>718</v>
      </c>
      <c r="B244" s="145" t="s">
        <v>313</v>
      </c>
      <c r="C244" s="64" t="s">
        <v>312</v>
      </c>
      <c r="D244" s="95"/>
      <c r="E244" s="97">
        <f>4.62-0.6</f>
        <v>4.0200000000000005</v>
      </c>
      <c r="F244" s="256"/>
      <c r="G244" s="189"/>
      <c r="I244" s="190"/>
    </row>
    <row r="245" spans="1:9" ht="12" customHeight="1">
      <c r="A245" s="184" t="s">
        <v>719</v>
      </c>
      <c r="B245" s="145" t="s">
        <v>315</v>
      </c>
      <c r="C245" s="64" t="s">
        <v>314</v>
      </c>
      <c r="D245" s="95"/>
      <c r="E245" s="97">
        <f>6.24-0.6-0.6</f>
        <v>5.040000000000001</v>
      </c>
      <c r="F245" s="256"/>
      <c r="G245" s="189"/>
      <c r="I245" s="190"/>
    </row>
    <row r="246" spans="1:9" ht="12">
      <c r="A246" s="184" t="s">
        <v>720</v>
      </c>
      <c r="B246" s="145"/>
      <c r="D246" s="95"/>
      <c r="E246" s="97"/>
      <c r="F246" s="256"/>
      <c r="G246" s="189"/>
      <c r="I246" s="190"/>
    </row>
    <row r="247" spans="1:9" ht="12" customHeight="1">
      <c r="A247" s="184" t="s">
        <v>721</v>
      </c>
      <c r="B247" s="145"/>
      <c r="C247" s="68" t="s">
        <v>282</v>
      </c>
      <c r="D247" s="95"/>
      <c r="E247" s="195"/>
      <c r="F247" s="256"/>
      <c r="G247" s="189"/>
      <c r="I247" s="190"/>
    </row>
    <row r="248" spans="1:9" ht="12">
      <c r="A248" s="184" t="s">
        <v>722</v>
      </c>
      <c r="B248" s="145" t="s">
        <v>317</v>
      </c>
      <c r="C248" s="64" t="s">
        <v>320</v>
      </c>
      <c r="D248" s="95"/>
      <c r="E248" s="97">
        <f>5.4-0.6</f>
        <v>4.800000000000001</v>
      </c>
      <c r="F248" s="256"/>
      <c r="G248" s="189"/>
      <c r="I248" s="190"/>
    </row>
    <row r="249" spans="1:9" ht="12">
      <c r="A249" s="184" t="s">
        <v>723</v>
      </c>
      <c r="B249" s="145" t="s">
        <v>318</v>
      </c>
      <c r="C249" s="65" t="s">
        <v>321</v>
      </c>
      <c r="D249" s="95"/>
      <c r="E249" s="97">
        <f>4.1-0.6</f>
        <v>3.4999999999999996</v>
      </c>
      <c r="F249" s="256"/>
      <c r="G249" s="189"/>
      <c r="I249" s="190"/>
    </row>
    <row r="250" spans="1:9" ht="12.75" customHeight="1">
      <c r="A250" s="184" t="s">
        <v>724</v>
      </c>
      <c r="B250" s="145" t="s">
        <v>319</v>
      </c>
      <c r="C250" s="64" t="s">
        <v>322</v>
      </c>
      <c r="D250" s="95"/>
      <c r="E250" s="97">
        <f>4.16-0.6</f>
        <v>3.56</v>
      </c>
      <c r="F250" s="256"/>
      <c r="G250" s="189"/>
      <c r="I250" s="190"/>
    </row>
    <row r="251" spans="1:9" ht="12">
      <c r="A251" s="184" t="s">
        <v>725</v>
      </c>
      <c r="B251" s="145"/>
      <c r="C251" s="65"/>
      <c r="D251" s="95"/>
      <c r="E251" s="196"/>
      <c r="F251" s="256"/>
      <c r="G251" s="189"/>
      <c r="I251" s="190"/>
    </row>
    <row r="252" spans="1:9" ht="15" customHeight="1">
      <c r="A252" s="184" t="s">
        <v>726</v>
      </c>
      <c r="B252" s="145"/>
      <c r="C252" s="68" t="s">
        <v>323</v>
      </c>
      <c r="D252" s="95"/>
      <c r="E252" s="195"/>
      <c r="F252" s="256"/>
      <c r="G252" s="189"/>
      <c r="I252" s="190"/>
    </row>
    <row r="253" spans="1:9" ht="12" customHeight="1">
      <c r="A253" s="184" t="s">
        <v>727</v>
      </c>
      <c r="B253" s="145" t="s">
        <v>246</v>
      </c>
      <c r="C253" s="64" t="s">
        <v>324</v>
      </c>
      <c r="D253" s="95"/>
      <c r="E253" s="97">
        <f>6.84-0.7-0.7</f>
        <v>5.4399999999999995</v>
      </c>
      <c r="F253" s="256"/>
      <c r="G253" s="189"/>
      <c r="I253" s="190"/>
    </row>
    <row r="254" spans="1:9" ht="12" customHeight="1">
      <c r="A254" s="184" t="s">
        <v>728</v>
      </c>
      <c r="B254" s="145" t="s">
        <v>247</v>
      </c>
      <c r="C254" s="64" t="s">
        <v>325</v>
      </c>
      <c r="D254" s="95"/>
      <c r="E254" s="97">
        <f>11.46-3*0.6-0.7</f>
        <v>8.96</v>
      </c>
      <c r="F254" s="256"/>
      <c r="G254" s="189"/>
      <c r="I254" s="190"/>
    </row>
    <row r="255" spans="1:9" ht="12">
      <c r="A255" s="184" t="s">
        <v>729</v>
      </c>
      <c r="B255" s="145" t="s">
        <v>248</v>
      </c>
      <c r="C255" s="65" t="s">
        <v>326</v>
      </c>
      <c r="D255" s="95"/>
      <c r="E255" s="97">
        <f>4.67-0.6</f>
        <v>4.07</v>
      </c>
      <c r="F255" s="256"/>
      <c r="G255" s="189"/>
      <c r="I255" s="190"/>
    </row>
    <row r="256" spans="1:9" ht="12">
      <c r="A256" s="184" t="s">
        <v>730</v>
      </c>
      <c r="B256" s="145" t="s">
        <v>249</v>
      </c>
      <c r="C256" s="64" t="s">
        <v>327</v>
      </c>
      <c r="D256" s="95"/>
      <c r="E256" s="97">
        <f>4.96-0.6</f>
        <v>4.36</v>
      </c>
      <c r="F256" s="256"/>
      <c r="G256" s="189"/>
      <c r="I256" s="190"/>
    </row>
    <row r="257" spans="1:9" ht="12">
      <c r="A257" s="184" t="s">
        <v>731</v>
      </c>
      <c r="B257" s="145" t="s">
        <v>250</v>
      </c>
      <c r="C257" s="65" t="s">
        <v>328</v>
      </c>
      <c r="D257" s="95"/>
      <c r="E257" s="97">
        <f>7.63-0.6</f>
        <v>7.03</v>
      </c>
      <c r="F257" s="256"/>
      <c r="G257" s="189"/>
      <c r="I257" s="190"/>
    </row>
    <row r="258" spans="1:9" ht="12">
      <c r="A258" s="184" t="s">
        <v>732</v>
      </c>
      <c r="B258" s="145"/>
      <c r="C258" s="65"/>
      <c r="D258" s="95"/>
      <c r="E258" s="195"/>
      <c r="F258" s="256"/>
      <c r="G258" s="189"/>
      <c r="I258" s="190"/>
    </row>
    <row r="259" spans="1:9" ht="13.5" customHeight="1">
      <c r="A259" s="184" t="s">
        <v>733</v>
      </c>
      <c r="B259" s="145"/>
      <c r="C259" s="68" t="s">
        <v>329</v>
      </c>
      <c r="D259" s="95"/>
      <c r="E259" s="195"/>
      <c r="F259" s="256"/>
      <c r="G259" s="189"/>
      <c r="I259" s="190"/>
    </row>
    <row r="260" spans="1:9" ht="12">
      <c r="A260" s="184" t="s">
        <v>734</v>
      </c>
      <c r="B260" s="145" t="s">
        <v>253</v>
      </c>
      <c r="C260" s="64" t="s">
        <v>330</v>
      </c>
      <c r="D260" s="95"/>
      <c r="E260" s="97">
        <f>7.3-1.6</f>
        <v>5.699999999999999</v>
      </c>
      <c r="F260" s="256"/>
      <c r="G260" s="189"/>
      <c r="I260" s="190"/>
    </row>
    <row r="261" spans="1:9" ht="12" customHeight="1">
      <c r="A261" s="184" t="s">
        <v>735</v>
      </c>
      <c r="B261" s="145" t="s">
        <v>255</v>
      </c>
      <c r="C261" s="64" t="s">
        <v>335</v>
      </c>
      <c r="D261" s="95"/>
      <c r="E261" s="97">
        <f>10.84-4*0.6-0.8</f>
        <v>7.64</v>
      </c>
      <c r="F261" s="256"/>
      <c r="G261" s="189"/>
      <c r="I261" s="190"/>
    </row>
    <row r="262" spans="1:9" ht="12" customHeight="1">
      <c r="A262" s="184" t="s">
        <v>736</v>
      </c>
      <c r="B262" s="145" t="s">
        <v>331</v>
      </c>
      <c r="C262" s="64" t="s">
        <v>336</v>
      </c>
      <c r="D262" s="95"/>
      <c r="E262" s="97">
        <f>4.59-0.6</f>
        <v>3.9899999999999998</v>
      </c>
      <c r="F262" s="256"/>
      <c r="G262" s="189"/>
      <c r="I262" s="190"/>
    </row>
    <row r="263" spans="1:9" ht="12">
      <c r="A263" s="184" t="s">
        <v>737</v>
      </c>
      <c r="B263" s="145" t="s">
        <v>332</v>
      </c>
      <c r="C263" s="136" t="s">
        <v>337</v>
      </c>
      <c r="D263" s="95"/>
      <c r="E263" s="210">
        <f>4.515-0.6</f>
        <v>3.9149999999999996</v>
      </c>
      <c r="F263" s="256"/>
      <c r="G263" s="189"/>
      <c r="I263" s="190"/>
    </row>
    <row r="264" spans="1:9" ht="12">
      <c r="A264" s="184" t="s">
        <v>738</v>
      </c>
      <c r="B264" s="145" t="s">
        <v>333</v>
      </c>
      <c r="C264" s="136" t="s">
        <v>338</v>
      </c>
      <c r="D264" s="95"/>
      <c r="E264" s="210">
        <f>4.4-0.6</f>
        <v>3.8000000000000003</v>
      </c>
      <c r="F264" s="256"/>
      <c r="G264" s="189"/>
      <c r="I264" s="190"/>
    </row>
    <row r="265" spans="1:9" ht="12">
      <c r="A265" s="184" t="s">
        <v>739</v>
      </c>
      <c r="B265" s="145" t="s">
        <v>334</v>
      </c>
      <c r="C265" s="65" t="s">
        <v>340</v>
      </c>
      <c r="D265" s="95"/>
      <c r="E265" s="97">
        <f>4.3-0.6</f>
        <v>3.6999999999999997</v>
      </c>
      <c r="F265" s="256"/>
      <c r="G265" s="189"/>
      <c r="I265" s="190"/>
    </row>
    <row r="266" spans="1:9" ht="12">
      <c r="A266" s="184" t="s">
        <v>740</v>
      </c>
      <c r="B266" s="145"/>
      <c r="D266" s="95"/>
      <c r="E266" s="195"/>
      <c r="F266" s="256"/>
      <c r="G266" s="189"/>
      <c r="I266" s="190"/>
    </row>
    <row r="267" spans="1:9" ht="12">
      <c r="A267" s="184" t="s">
        <v>741</v>
      </c>
      <c r="B267" s="145"/>
      <c r="C267" s="68" t="s">
        <v>339</v>
      </c>
      <c r="D267" s="95"/>
      <c r="E267" s="195"/>
      <c r="F267" s="256"/>
      <c r="G267" s="189"/>
      <c r="I267" s="190"/>
    </row>
    <row r="268" spans="1:9" ht="12" customHeight="1">
      <c r="A268" s="184" t="s">
        <v>742</v>
      </c>
      <c r="B268" s="145" t="s">
        <v>262</v>
      </c>
      <c r="C268" s="65" t="s">
        <v>341</v>
      </c>
      <c r="D268" s="95"/>
      <c r="E268" s="210">
        <f>6.68-0.8-0.7</f>
        <v>5.18</v>
      </c>
      <c r="F268" s="256"/>
      <c r="G268" s="189"/>
      <c r="I268" s="190"/>
    </row>
    <row r="269" spans="1:9" ht="12" customHeight="1">
      <c r="A269" s="184" t="s">
        <v>743</v>
      </c>
      <c r="B269" s="145" t="s">
        <v>264</v>
      </c>
      <c r="C269" s="65" t="s">
        <v>342</v>
      </c>
      <c r="D269" s="95"/>
      <c r="E269" s="210">
        <f>12.2-0.6-0.6</f>
        <v>11</v>
      </c>
      <c r="F269" s="256"/>
      <c r="G269" s="189"/>
      <c r="I269" s="190"/>
    </row>
    <row r="270" spans="1:9" ht="12">
      <c r="A270" s="184" t="s">
        <v>744</v>
      </c>
      <c r="B270" s="145" t="s">
        <v>266</v>
      </c>
      <c r="C270" s="65" t="s">
        <v>343</v>
      </c>
      <c r="D270" s="95"/>
      <c r="E270" s="210">
        <f>5.115-0.6</f>
        <v>4.515000000000001</v>
      </c>
      <c r="F270" s="256"/>
      <c r="G270" s="189"/>
      <c r="I270" s="190"/>
    </row>
    <row r="271" spans="1:9" ht="12">
      <c r="A271" s="184" t="s">
        <v>745</v>
      </c>
      <c r="B271" s="145" t="s">
        <v>275</v>
      </c>
      <c r="C271" s="65" t="s">
        <v>344</v>
      </c>
      <c r="D271" s="95"/>
      <c r="E271" s="210">
        <f>4.935-0.6</f>
        <v>4.335</v>
      </c>
      <c r="F271" s="256"/>
      <c r="G271" s="189"/>
      <c r="I271" s="190"/>
    </row>
    <row r="272" spans="1:9" ht="12">
      <c r="A272" s="184" t="s">
        <v>746</v>
      </c>
      <c r="B272" s="145"/>
      <c r="C272" s="65"/>
      <c r="D272" s="95"/>
      <c r="E272" s="210"/>
      <c r="F272" s="256"/>
      <c r="G272" s="189"/>
      <c r="I272" s="190"/>
    </row>
    <row r="273" spans="1:9" ht="12">
      <c r="A273" s="184" t="s">
        <v>747</v>
      </c>
      <c r="B273" s="145"/>
      <c r="C273" s="68" t="s">
        <v>345</v>
      </c>
      <c r="D273" s="95"/>
      <c r="E273" s="196"/>
      <c r="F273" s="256"/>
      <c r="G273" s="189"/>
      <c r="I273" s="190"/>
    </row>
    <row r="274" spans="1:9" ht="12" customHeight="1">
      <c r="A274" s="184" t="s">
        <v>748</v>
      </c>
      <c r="B274" s="145" t="s">
        <v>277</v>
      </c>
      <c r="C274" s="65" t="s">
        <v>346</v>
      </c>
      <c r="D274" s="95"/>
      <c r="E274" s="97">
        <f>6.54-0.6-0.7</f>
        <v>5.24</v>
      </c>
      <c r="F274" s="256"/>
      <c r="G274" s="189"/>
      <c r="I274" s="190"/>
    </row>
    <row r="275" spans="1:9" ht="12" customHeight="1">
      <c r="A275" s="184" t="s">
        <v>749</v>
      </c>
      <c r="B275" s="145" t="s">
        <v>278</v>
      </c>
      <c r="C275" s="65" t="s">
        <v>347</v>
      </c>
      <c r="D275" s="95"/>
      <c r="E275" s="97">
        <f>5.52-0.6</f>
        <v>4.92</v>
      </c>
      <c r="F275" s="256"/>
      <c r="G275" s="189"/>
      <c r="I275" s="190"/>
    </row>
    <row r="276" spans="1:9" ht="12" customHeight="1">
      <c r="A276" s="184" t="s">
        <v>750</v>
      </c>
      <c r="B276" s="145"/>
      <c r="C276" s="65"/>
      <c r="D276" s="95"/>
      <c r="E276" s="97"/>
      <c r="F276" s="256"/>
      <c r="G276" s="189"/>
      <c r="I276" s="190"/>
    </row>
    <row r="277" spans="1:9" ht="24" customHeight="1">
      <c r="A277" s="184" t="s">
        <v>751</v>
      </c>
      <c r="B277" s="145">
        <v>612315302</v>
      </c>
      <c r="C277" s="65" t="s">
        <v>481</v>
      </c>
      <c r="D277" s="143" t="s">
        <v>58</v>
      </c>
      <c r="E277" s="107">
        <f>0.45*((0.71+2.27)*2*6+(1.3+2.3)*2*3+(0.7+1.9)*2*2+(1.3+2.3)*2*1)</f>
        <v>33.732</v>
      </c>
      <c r="F277" s="250">
        <v>0</v>
      </c>
      <c r="G277" s="187">
        <f>E277*F277</f>
        <v>0</v>
      </c>
      <c r="H277" s="235">
        <v>0.03358</v>
      </c>
      <c r="I277" s="237">
        <f>E277*H277</f>
        <v>1.1327205599999999</v>
      </c>
    </row>
    <row r="278" spans="1:9" ht="29.25" customHeight="1">
      <c r="A278" s="184" t="s">
        <v>752</v>
      </c>
      <c r="B278" s="145"/>
      <c r="C278" s="65" t="s">
        <v>480</v>
      </c>
      <c r="D278" s="143"/>
      <c r="E278" s="107"/>
      <c r="I278" s="237"/>
    </row>
    <row r="279" spans="1:9" ht="12">
      <c r="A279" s="184" t="s">
        <v>753</v>
      </c>
      <c r="B279" s="145"/>
      <c r="C279" s="65"/>
      <c r="D279" s="95"/>
      <c r="E279" s="196"/>
      <c r="F279" s="256"/>
      <c r="G279" s="189"/>
      <c r="I279" s="190"/>
    </row>
    <row r="280" spans="1:9" ht="24">
      <c r="A280" s="184" t="s">
        <v>754</v>
      </c>
      <c r="B280" s="145">
        <v>612135101</v>
      </c>
      <c r="C280" s="50" t="s">
        <v>473</v>
      </c>
      <c r="D280" s="143" t="s">
        <v>58</v>
      </c>
      <c r="E280" s="211">
        <f>SUM(E282:E291)</f>
        <v>10.21</v>
      </c>
      <c r="F280" s="250">
        <v>0</v>
      </c>
      <c r="G280" s="187">
        <f>E280*F280</f>
        <v>0</v>
      </c>
      <c r="H280" s="235">
        <v>0.04</v>
      </c>
      <c r="I280" s="237">
        <f>E280*H280</f>
        <v>0.40840000000000004</v>
      </c>
    </row>
    <row r="281" spans="1:9" ht="24">
      <c r="A281" s="184" t="s">
        <v>755</v>
      </c>
      <c r="B281" s="145"/>
      <c r="C281" s="65" t="s">
        <v>209</v>
      </c>
      <c r="D281" s="95"/>
      <c r="E281" s="195"/>
      <c r="F281" s="256"/>
      <c r="G281" s="189"/>
      <c r="I281" s="190"/>
    </row>
    <row r="282" spans="1:9" ht="36">
      <c r="A282" s="184" t="s">
        <v>756</v>
      </c>
      <c r="B282" s="145"/>
      <c r="C282" s="65" t="s">
        <v>348</v>
      </c>
      <c r="D282" s="95"/>
      <c r="E282" s="195">
        <f>20.5*0.07</f>
        <v>1.435</v>
      </c>
      <c r="F282" s="256"/>
      <c r="G282" s="189"/>
      <c r="I282" s="190"/>
    </row>
    <row r="283" spans="1:9" ht="12">
      <c r="A283" s="184" t="s">
        <v>757</v>
      </c>
      <c r="B283" s="145"/>
      <c r="D283" s="95"/>
      <c r="E283" s="195"/>
      <c r="F283" s="256"/>
      <c r="G283" s="189"/>
      <c r="I283" s="190"/>
    </row>
    <row r="284" spans="1:9" ht="12">
      <c r="A284" s="184" t="s">
        <v>758</v>
      </c>
      <c r="B284" s="145"/>
      <c r="C284" s="65" t="s">
        <v>210</v>
      </c>
      <c r="D284" s="95"/>
      <c r="E284" s="195"/>
      <c r="F284" s="256"/>
      <c r="G284" s="189"/>
      <c r="I284" s="190"/>
    </row>
    <row r="285" spans="1:9" ht="24">
      <c r="A285" s="184" t="s">
        <v>759</v>
      </c>
      <c r="B285" s="145"/>
      <c r="C285" s="65" t="s">
        <v>349</v>
      </c>
      <c r="D285" s="95"/>
      <c r="E285" s="195">
        <f>7.5*0.1</f>
        <v>0.75</v>
      </c>
      <c r="F285" s="256"/>
      <c r="G285" s="189"/>
      <c r="I285" s="190"/>
    </row>
    <row r="286" spans="1:9" ht="12">
      <c r="A286" s="184" t="s">
        <v>760</v>
      </c>
      <c r="B286" s="145"/>
      <c r="D286" s="95"/>
      <c r="E286" s="195"/>
      <c r="F286" s="256"/>
      <c r="G286" s="189"/>
      <c r="I286" s="190"/>
    </row>
    <row r="287" spans="1:9" ht="20.25" customHeight="1">
      <c r="A287" s="184" t="s">
        <v>761</v>
      </c>
      <c r="B287" s="145"/>
      <c r="C287" s="65" t="s">
        <v>211</v>
      </c>
      <c r="D287" s="95"/>
      <c r="E287" s="195"/>
      <c r="F287" s="256"/>
      <c r="G287" s="189"/>
      <c r="I287" s="190"/>
    </row>
    <row r="288" spans="1:9" ht="24">
      <c r="A288" s="184" t="s">
        <v>762</v>
      </c>
      <c r="B288" s="145"/>
      <c r="C288" s="65" t="s">
        <v>350</v>
      </c>
      <c r="D288" s="95"/>
      <c r="E288" s="195">
        <f>12.5*0.15</f>
        <v>1.875</v>
      </c>
      <c r="F288" s="256"/>
      <c r="G288" s="189"/>
      <c r="I288" s="190"/>
    </row>
    <row r="289" spans="1:9" ht="12">
      <c r="A289" s="184" t="s">
        <v>763</v>
      </c>
      <c r="B289" s="145"/>
      <c r="D289" s="95"/>
      <c r="E289" s="195"/>
      <c r="F289" s="256"/>
      <c r="G289" s="189"/>
      <c r="I289" s="190"/>
    </row>
    <row r="290" spans="1:9" ht="12">
      <c r="A290" s="184" t="s">
        <v>764</v>
      </c>
      <c r="B290" s="145"/>
      <c r="C290" s="65" t="s">
        <v>184</v>
      </c>
      <c r="D290" s="95"/>
      <c r="E290" s="195"/>
      <c r="F290" s="256"/>
      <c r="G290" s="189"/>
      <c r="I290" s="190"/>
    </row>
    <row r="291" spans="1:9" ht="24">
      <c r="A291" s="184" t="s">
        <v>765</v>
      </c>
      <c r="B291" s="145"/>
      <c r="C291" s="65" t="s">
        <v>351</v>
      </c>
      <c r="D291" s="95"/>
      <c r="E291" s="195">
        <f>123*0.05</f>
        <v>6.15</v>
      </c>
      <c r="F291" s="256"/>
      <c r="G291" s="189"/>
      <c r="I291" s="190"/>
    </row>
    <row r="292" spans="1:9" ht="27.75" customHeight="1">
      <c r="A292" s="184" t="s">
        <v>766</v>
      </c>
      <c r="B292" s="145"/>
      <c r="D292" s="64"/>
      <c r="E292" s="195"/>
      <c r="F292" s="256"/>
      <c r="G292" s="189"/>
      <c r="I292" s="190"/>
    </row>
    <row r="293" spans="1:9" ht="39" customHeight="1">
      <c r="A293" s="184" t="s">
        <v>767</v>
      </c>
      <c r="B293" s="145" t="s">
        <v>463</v>
      </c>
      <c r="C293" s="65" t="s">
        <v>474</v>
      </c>
      <c r="D293" s="143" t="s">
        <v>71</v>
      </c>
      <c r="E293" s="204">
        <v>38</v>
      </c>
      <c r="F293" s="250">
        <v>0</v>
      </c>
      <c r="G293" s="187">
        <f>E293*F293</f>
        <v>0</v>
      </c>
      <c r="H293" s="235">
        <v>0.02524</v>
      </c>
      <c r="I293" s="237">
        <f>E293*H293</f>
        <v>0.95912</v>
      </c>
    </row>
    <row r="294" spans="1:9" ht="24">
      <c r="A294" s="184" t="s">
        <v>768</v>
      </c>
      <c r="B294" s="145"/>
      <c r="C294" s="65" t="s">
        <v>352</v>
      </c>
      <c r="D294" s="95"/>
      <c r="E294" s="195"/>
      <c r="F294" s="256"/>
      <c r="G294" s="189"/>
      <c r="I294" s="190"/>
    </row>
    <row r="295" spans="1:9" ht="12">
      <c r="A295" s="184" t="s">
        <v>769</v>
      </c>
      <c r="B295" s="145"/>
      <c r="C295" s="65"/>
      <c r="D295" s="95"/>
      <c r="E295" s="195"/>
      <c r="F295" s="256"/>
      <c r="G295" s="189"/>
      <c r="I295" s="190"/>
    </row>
    <row r="296" spans="1:9" ht="54" customHeight="1">
      <c r="A296" s="184" t="s">
        <v>770</v>
      </c>
      <c r="B296" s="145" t="s">
        <v>464</v>
      </c>
      <c r="C296" s="65" t="s">
        <v>475</v>
      </c>
      <c r="D296" s="143" t="s">
        <v>71</v>
      </c>
      <c r="E296" s="204">
        <v>6</v>
      </c>
      <c r="F296" s="250">
        <v>0</v>
      </c>
      <c r="G296" s="187">
        <f>E296*F296</f>
        <v>0</v>
      </c>
      <c r="H296" s="235">
        <v>0.24042</v>
      </c>
      <c r="I296" s="237">
        <f>E296*H296</f>
        <v>1.44252</v>
      </c>
    </row>
    <row r="297" spans="1:9" ht="12">
      <c r="A297" s="184" t="s">
        <v>771</v>
      </c>
      <c r="B297" s="145"/>
      <c r="D297" s="72"/>
      <c r="E297" s="195"/>
      <c r="F297" s="256"/>
      <c r="G297" s="189"/>
      <c r="I297" s="190"/>
    </row>
    <row r="298" spans="1:9" ht="20.25" customHeight="1">
      <c r="A298" s="184" t="s">
        <v>772</v>
      </c>
      <c r="B298" s="145"/>
      <c r="C298" s="74" t="s">
        <v>94</v>
      </c>
      <c r="D298" s="73" t="s">
        <v>51</v>
      </c>
      <c r="E298" s="205" t="s">
        <v>31</v>
      </c>
      <c r="G298" s="202">
        <f>SUM(G299:G320)</f>
        <v>0</v>
      </c>
      <c r="H298" s="239"/>
      <c r="I298" s="240">
        <f>SUM(I299:I301)</f>
        <v>0.729636</v>
      </c>
    </row>
    <row r="299" spans="1:9" ht="24" customHeight="1">
      <c r="A299" s="184" t="s">
        <v>773</v>
      </c>
      <c r="B299" s="145">
        <v>771151013</v>
      </c>
      <c r="C299" s="66" t="s">
        <v>146</v>
      </c>
      <c r="D299" s="107" t="s">
        <v>58</v>
      </c>
      <c r="E299" s="209">
        <f>SUM(E302:E320)</f>
        <v>59.31999999999999</v>
      </c>
      <c r="F299" s="250">
        <v>0</v>
      </c>
      <c r="G299" s="187">
        <f>E299*F299</f>
        <v>0</v>
      </c>
      <c r="H299" s="235">
        <v>0.012</v>
      </c>
      <c r="I299" s="237">
        <f>E299*H299</f>
        <v>0.7118399999999999</v>
      </c>
    </row>
    <row r="300" spans="1:9" ht="24" customHeight="1">
      <c r="A300" s="184" t="s">
        <v>774</v>
      </c>
      <c r="B300" s="145"/>
      <c r="C300" s="66" t="s">
        <v>353</v>
      </c>
      <c r="D300" s="97"/>
      <c r="E300" s="210"/>
      <c r="F300" s="256"/>
      <c r="G300" s="189"/>
      <c r="H300" s="239"/>
      <c r="I300" s="190"/>
    </row>
    <row r="301" spans="1:9" ht="12">
      <c r="A301" s="184" t="s">
        <v>775</v>
      </c>
      <c r="B301" s="145">
        <v>771121011</v>
      </c>
      <c r="C301" s="45" t="s">
        <v>95</v>
      </c>
      <c r="D301" s="97" t="s">
        <v>58</v>
      </c>
      <c r="E301" s="210">
        <f>E299</f>
        <v>59.31999999999999</v>
      </c>
      <c r="F301" s="256">
        <v>0</v>
      </c>
      <c r="G301" s="189">
        <f>E301*F301</f>
        <v>0</v>
      </c>
      <c r="H301" s="239">
        <v>0.0003</v>
      </c>
      <c r="I301" s="237">
        <f>E301*H301</f>
        <v>0.017795999999999996</v>
      </c>
    </row>
    <row r="302" spans="1:14" ht="24">
      <c r="A302" s="184" t="s">
        <v>776</v>
      </c>
      <c r="B302" s="145"/>
      <c r="C302" s="65" t="s">
        <v>136</v>
      </c>
      <c r="D302" s="95"/>
      <c r="E302" s="214"/>
      <c r="F302" s="256"/>
      <c r="G302" s="189"/>
      <c r="H302" s="239"/>
      <c r="I302" s="190"/>
      <c r="L302" s="96"/>
      <c r="M302" s="96"/>
      <c r="N302" s="96"/>
    </row>
    <row r="303" spans="1:14" ht="12">
      <c r="A303" s="184" t="s">
        <v>777</v>
      </c>
      <c r="B303" s="145"/>
      <c r="C303" s="65"/>
      <c r="D303" s="95"/>
      <c r="E303" s="214"/>
      <c r="F303" s="256"/>
      <c r="G303" s="189"/>
      <c r="H303" s="239"/>
      <c r="I303" s="190"/>
      <c r="L303" s="96"/>
      <c r="M303" s="96"/>
      <c r="N303" s="96"/>
    </row>
    <row r="304" spans="1:14" ht="12">
      <c r="A304" s="184" t="s">
        <v>778</v>
      </c>
      <c r="B304" s="145"/>
      <c r="C304" s="68" t="s">
        <v>225</v>
      </c>
      <c r="D304" s="95" t="s">
        <v>58</v>
      </c>
      <c r="E304" s="214">
        <v>10.82</v>
      </c>
      <c r="F304" s="256"/>
      <c r="G304" s="189"/>
      <c r="H304" s="239"/>
      <c r="I304" s="190"/>
      <c r="L304" s="96"/>
      <c r="M304" s="96"/>
      <c r="N304" s="96"/>
    </row>
    <row r="305" spans="1:16" ht="24">
      <c r="A305" s="184" t="s">
        <v>779</v>
      </c>
      <c r="B305" s="145"/>
      <c r="C305" s="65" t="s">
        <v>354</v>
      </c>
      <c r="D305" s="95"/>
      <c r="E305" s="214"/>
      <c r="F305" s="256"/>
      <c r="G305" s="189"/>
      <c r="H305" s="239"/>
      <c r="I305" s="190"/>
      <c r="P305" s="103"/>
    </row>
    <row r="306" spans="1:9" ht="12">
      <c r="A306" s="184" t="s">
        <v>780</v>
      </c>
      <c r="B306" s="145"/>
      <c r="C306" s="65"/>
      <c r="D306" s="95"/>
      <c r="E306" s="214"/>
      <c r="F306" s="256"/>
      <c r="G306" s="189"/>
      <c r="H306" s="239"/>
      <c r="I306" s="190"/>
    </row>
    <row r="307" spans="1:9" ht="12">
      <c r="A307" s="184" t="s">
        <v>781</v>
      </c>
      <c r="B307" s="145"/>
      <c r="C307" s="68" t="s">
        <v>226</v>
      </c>
      <c r="D307" s="95" t="s">
        <v>58</v>
      </c>
      <c r="E307" s="215">
        <v>3.42</v>
      </c>
      <c r="F307" s="256"/>
      <c r="G307" s="189"/>
      <c r="H307" s="239"/>
      <c r="I307" s="190"/>
    </row>
    <row r="308" spans="1:9" ht="24">
      <c r="A308" s="184" t="s">
        <v>782</v>
      </c>
      <c r="B308" s="145"/>
      <c r="C308" s="65" t="s">
        <v>355</v>
      </c>
      <c r="D308" s="64"/>
      <c r="E308" s="210"/>
      <c r="F308" s="256"/>
      <c r="G308" s="189"/>
      <c r="H308" s="239"/>
      <c r="I308" s="190"/>
    </row>
    <row r="309" spans="1:9" ht="12">
      <c r="A309" s="184" t="s">
        <v>783</v>
      </c>
      <c r="B309" s="145"/>
      <c r="C309" s="65"/>
      <c r="D309" s="95"/>
      <c r="E309" s="214"/>
      <c r="F309" s="256"/>
      <c r="G309" s="189"/>
      <c r="H309" s="239"/>
      <c r="I309" s="190"/>
    </row>
    <row r="310" spans="1:9" ht="12">
      <c r="A310" s="184" t="s">
        <v>784</v>
      </c>
      <c r="B310" s="145"/>
      <c r="C310" s="68" t="s">
        <v>227</v>
      </c>
      <c r="D310" s="95"/>
      <c r="E310" s="214"/>
      <c r="F310" s="256"/>
      <c r="G310" s="189"/>
      <c r="H310" s="239"/>
      <c r="I310" s="190"/>
    </row>
    <row r="311" spans="1:9" ht="24">
      <c r="A311" s="184" t="s">
        <v>785</v>
      </c>
      <c r="B311" s="145"/>
      <c r="C311" s="65" t="s">
        <v>356</v>
      </c>
      <c r="D311" s="95" t="s">
        <v>58</v>
      </c>
      <c r="E311" s="215">
        <v>14.34</v>
      </c>
      <c r="F311" s="256"/>
      <c r="G311" s="189"/>
      <c r="H311" s="239"/>
      <c r="I311" s="190"/>
    </row>
    <row r="312" spans="1:12" ht="12">
      <c r="A312" s="184" t="s">
        <v>786</v>
      </c>
      <c r="B312" s="145"/>
      <c r="C312" s="65"/>
      <c r="D312" s="95"/>
      <c r="E312" s="214"/>
      <c r="F312" s="256"/>
      <c r="G312" s="189"/>
      <c r="H312" s="239"/>
      <c r="I312" s="190"/>
      <c r="L312" s="101"/>
    </row>
    <row r="313" spans="1:14" ht="12">
      <c r="A313" s="184" t="s">
        <v>787</v>
      </c>
      <c r="B313" s="145"/>
      <c r="C313" s="68" t="s">
        <v>357</v>
      </c>
      <c r="D313" s="95"/>
      <c r="E313" s="214"/>
      <c r="F313" s="256"/>
      <c r="G313" s="189"/>
      <c r="H313" s="239"/>
      <c r="I313" s="190"/>
      <c r="L313" s="135"/>
      <c r="M313" s="113"/>
      <c r="N313" s="96"/>
    </row>
    <row r="314" spans="1:13" ht="24">
      <c r="A314" s="184" t="s">
        <v>788</v>
      </c>
      <c r="B314" s="145"/>
      <c r="C314" s="65" t="s">
        <v>358</v>
      </c>
      <c r="D314" s="95" t="s">
        <v>58</v>
      </c>
      <c r="E314" s="215">
        <v>14.31</v>
      </c>
      <c r="F314" s="256"/>
      <c r="G314" s="189"/>
      <c r="H314" s="239"/>
      <c r="I314" s="190"/>
      <c r="L314" s="113"/>
      <c r="M314" s="113"/>
    </row>
    <row r="315" spans="1:14" ht="12">
      <c r="A315" s="184" t="s">
        <v>789</v>
      </c>
      <c r="B315" s="145"/>
      <c r="C315" s="65"/>
      <c r="D315" s="95"/>
      <c r="E315" s="214"/>
      <c r="F315" s="256"/>
      <c r="G315" s="189"/>
      <c r="H315" s="239"/>
      <c r="I315" s="190"/>
      <c r="L315" s="112"/>
      <c r="M315" s="113"/>
      <c r="N315" s="96"/>
    </row>
    <row r="316" spans="1:9" ht="12">
      <c r="A316" s="184" t="s">
        <v>790</v>
      </c>
      <c r="B316" s="145"/>
      <c r="C316" s="68" t="s">
        <v>229</v>
      </c>
      <c r="D316" s="95"/>
      <c r="E316" s="210"/>
      <c r="F316" s="256"/>
      <c r="G316" s="189"/>
      <c r="H316" s="239"/>
      <c r="I316" s="190"/>
    </row>
    <row r="317" spans="1:9" ht="24">
      <c r="A317" s="184" t="s">
        <v>791</v>
      </c>
      <c r="B317" s="145"/>
      <c r="C317" s="65" t="s">
        <v>359</v>
      </c>
      <c r="D317" s="95" t="s">
        <v>58</v>
      </c>
      <c r="E317" s="210">
        <v>12.52</v>
      </c>
      <c r="F317" s="256"/>
      <c r="G317" s="189"/>
      <c r="H317" s="239"/>
      <c r="I317" s="190"/>
    </row>
    <row r="318" spans="1:9" ht="12">
      <c r="A318" s="184" t="s">
        <v>792</v>
      </c>
      <c r="B318" s="145"/>
      <c r="C318" s="65"/>
      <c r="D318" s="95"/>
      <c r="E318" s="210"/>
      <c r="F318" s="256"/>
      <c r="G318" s="189"/>
      <c r="H318" s="239"/>
      <c r="I318" s="190"/>
    </row>
    <row r="319" spans="1:12" ht="12">
      <c r="A319" s="184" t="s">
        <v>793</v>
      </c>
      <c r="B319" s="145"/>
      <c r="C319" s="68" t="s">
        <v>360</v>
      </c>
      <c r="D319" s="95"/>
      <c r="E319" s="210"/>
      <c r="F319" s="256"/>
      <c r="G319" s="189"/>
      <c r="H319" s="239"/>
      <c r="I319" s="190"/>
      <c r="L319" s="113"/>
    </row>
    <row r="320" spans="1:9" ht="24">
      <c r="A320" s="184" t="s">
        <v>794</v>
      </c>
      <c r="B320" s="145"/>
      <c r="C320" s="65" t="s">
        <v>361</v>
      </c>
      <c r="D320" s="95" t="s">
        <v>58</v>
      </c>
      <c r="E320" s="210">
        <v>3.91</v>
      </c>
      <c r="F320" s="256"/>
      <c r="G320" s="189"/>
      <c r="H320" s="239"/>
      <c r="I320" s="190"/>
    </row>
    <row r="321" spans="1:9" ht="12">
      <c r="A321" s="184" t="s">
        <v>795</v>
      </c>
      <c r="B321" s="145"/>
      <c r="C321" s="65"/>
      <c r="D321" s="95"/>
      <c r="E321" s="195"/>
      <c r="F321" s="256"/>
      <c r="G321" s="189"/>
      <c r="H321" s="239"/>
      <c r="I321" s="190"/>
    </row>
    <row r="322" spans="1:9" ht="20.25" customHeight="1">
      <c r="A322" s="184" t="s">
        <v>796</v>
      </c>
      <c r="B322" s="145"/>
      <c r="C322" s="168" t="s">
        <v>72</v>
      </c>
      <c r="D322" s="74" t="s">
        <v>51</v>
      </c>
      <c r="E322" s="219" t="s">
        <v>31</v>
      </c>
      <c r="F322" s="252"/>
      <c r="G322" s="202">
        <f>SUM(G323:G331)</f>
        <v>0</v>
      </c>
      <c r="H322" s="239"/>
      <c r="I322" s="190"/>
    </row>
    <row r="323" spans="1:9" ht="12">
      <c r="A323" s="184" t="s">
        <v>797</v>
      </c>
      <c r="B323" s="172" t="s">
        <v>465</v>
      </c>
      <c r="C323" s="45" t="s">
        <v>140</v>
      </c>
      <c r="D323" s="97" t="s">
        <v>68</v>
      </c>
      <c r="E323" s="195">
        <v>1</v>
      </c>
      <c r="F323" s="256">
        <v>0</v>
      </c>
      <c r="G323" s="189">
        <f aca="true" t="shared" si="4" ref="G323:G331">E323*F323</f>
        <v>0</v>
      </c>
      <c r="H323" s="239"/>
      <c r="I323" s="190"/>
    </row>
    <row r="324" spans="1:9" ht="24">
      <c r="A324" s="184" t="s">
        <v>798</v>
      </c>
      <c r="B324" s="172" t="s">
        <v>465</v>
      </c>
      <c r="C324" s="45" t="s">
        <v>139</v>
      </c>
      <c r="D324" s="97" t="s">
        <v>68</v>
      </c>
      <c r="E324" s="195">
        <v>1</v>
      </c>
      <c r="F324" s="256">
        <v>0</v>
      </c>
      <c r="G324" s="189">
        <f t="shared" si="4"/>
        <v>0</v>
      </c>
      <c r="H324" s="239"/>
      <c r="I324" s="190"/>
    </row>
    <row r="325" spans="1:9" ht="24">
      <c r="A325" s="184" t="s">
        <v>799</v>
      </c>
      <c r="B325" s="145">
        <v>949101111</v>
      </c>
      <c r="C325" s="45" t="s">
        <v>96</v>
      </c>
      <c r="D325" s="97" t="s">
        <v>58</v>
      </c>
      <c r="E325" s="195">
        <v>60</v>
      </c>
      <c r="F325" s="258">
        <v>0</v>
      </c>
      <c r="G325" s="189">
        <f t="shared" si="4"/>
        <v>0</v>
      </c>
      <c r="H325" s="239"/>
      <c r="I325" s="190"/>
    </row>
    <row r="326" spans="1:9" ht="24">
      <c r="A326" s="184" t="s">
        <v>800</v>
      </c>
      <c r="B326" s="145">
        <v>952901111</v>
      </c>
      <c r="C326" s="45" t="s">
        <v>476</v>
      </c>
      <c r="D326" s="97" t="s">
        <v>58</v>
      </c>
      <c r="E326" s="195">
        <v>90</v>
      </c>
      <c r="F326" s="258">
        <v>0</v>
      </c>
      <c r="G326" s="189">
        <f t="shared" si="4"/>
        <v>0</v>
      </c>
      <c r="H326" s="239"/>
      <c r="I326" s="190"/>
    </row>
    <row r="327" spans="1:9" ht="24">
      <c r="A327" s="184" t="s">
        <v>801</v>
      </c>
      <c r="B327" s="172" t="s">
        <v>465</v>
      </c>
      <c r="C327" s="45" t="s">
        <v>1089</v>
      </c>
      <c r="D327" s="97" t="s">
        <v>71</v>
      </c>
      <c r="E327" s="195">
        <v>9</v>
      </c>
      <c r="F327" s="258">
        <v>0</v>
      </c>
      <c r="G327" s="189">
        <f t="shared" si="4"/>
        <v>0</v>
      </c>
      <c r="H327" s="239"/>
      <c r="I327" s="190"/>
    </row>
    <row r="328" spans="1:9" ht="24">
      <c r="A328" s="184" t="s">
        <v>802</v>
      </c>
      <c r="B328" s="172" t="s">
        <v>465</v>
      </c>
      <c r="C328" s="45" t="s">
        <v>477</v>
      </c>
      <c r="D328" s="97" t="s">
        <v>71</v>
      </c>
      <c r="E328" s="195">
        <v>1</v>
      </c>
      <c r="F328" s="258">
        <v>0</v>
      </c>
      <c r="G328" s="189">
        <f>E328*F328</f>
        <v>0</v>
      </c>
      <c r="H328" s="239"/>
      <c r="I328" s="190"/>
    </row>
    <row r="329" spans="1:9" ht="24">
      <c r="A329" s="184" t="s">
        <v>803</v>
      </c>
      <c r="B329" s="172" t="s">
        <v>465</v>
      </c>
      <c r="C329" s="45" t="s">
        <v>478</v>
      </c>
      <c r="D329" s="97" t="s">
        <v>71</v>
      </c>
      <c r="E329" s="195">
        <v>2</v>
      </c>
      <c r="F329" s="258">
        <v>0</v>
      </c>
      <c r="G329" s="189">
        <f>E329*F329</f>
        <v>0</v>
      </c>
      <c r="H329" s="239"/>
      <c r="I329" s="190"/>
    </row>
    <row r="330" spans="1:9" ht="24">
      <c r="A330" s="184" t="s">
        <v>804</v>
      </c>
      <c r="B330" s="172" t="s">
        <v>465</v>
      </c>
      <c r="C330" s="45" t="s">
        <v>479</v>
      </c>
      <c r="D330" s="97" t="s">
        <v>71</v>
      </c>
      <c r="E330" s="195">
        <v>1</v>
      </c>
      <c r="F330" s="258">
        <v>0</v>
      </c>
      <c r="G330" s="189">
        <f>E330*F330</f>
        <v>0</v>
      </c>
      <c r="H330" s="239"/>
      <c r="I330" s="190"/>
    </row>
    <row r="331" spans="1:9" ht="12">
      <c r="A331" s="184" t="s">
        <v>805</v>
      </c>
      <c r="B331" s="145">
        <v>998011003</v>
      </c>
      <c r="C331" s="45" t="s">
        <v>142</v>
      </c>
      <c r="D331" s="97" t="s">
        <v>517</v>
      </c>
      <c r="E331" s="195">
        <f>I200+I234+I298</f>
        <v>14.738678100000001</v>
      </c>
      <c r="F331" s="259">
        <v>0</v>
      </c>
      <c r="G331" s="189">
        <f t="shared" si="4"/>
        <v>0</v>
      </c>
      <c r="H331" s="239"/>
      <c r="I331" s="190"/>
    </row>
    <row r="332" spans="1:9" ht="12">
      <c r="A332" s="184" t="s">
        <v>806</v>
      </c>
      <c r="B332" s="145"/>
      <c r="C332" s="65"/>
      <c r="D332" s="95"/>
      <c r="E332" s="195"/>
      <c r="F332" s="256"/>
      <c r="G332" s="189"/>
      <c r="H332" s="239"/>
      <c r="I332" s="190"/>
    </row>
    <row r="333" spans="1:9" ht="12">
      <c r="A333" s="184" t="s">
        <v>807</v>
      </c>
      <c r="B333" s="145"/>
      <c r="C333" s="70" t="s">
        <v>138</v>
      </c>
      <c r="D333" s="99" t="s">
        <v>51</v>
      </c>
      <c r="E333" s="207" t="s">
        <v>31</v>
      </c>
      <c r="F333" s="256"/>
      <c r="G333" s="248">
        <f>SUM(G335:G343)</f>
        <v>0</v>
      </c>
      <c r="H333" s="239"/>
      <c r="I333" s="190"/>
    </row>
    <row r="334" spans="1:9" ht="12">
      <c r="A334" s="184" t="s">
        <v>808</v>
      </c>
      <c r="B334" s="145"/>
      <c r="C334" s="70"/>
      <c r="D334" s="99"/>
      <c r="E334" s="207"/>
      <c r="F334" s="256"/>
      <c r="G334" s="54"/>
      <c r="H334" s="239"/>
      <c r="I334" s="190"/>
    </row>
    <row r="335" spans="1:9" ht="60">
      <c r="A335" s="184" t="s">
        <v>809</v>
      </c>
      <c r="B335" s="145" t="s">
        <v>466</v>
      </c>
      <c r="C335" s="48" t="s">
        <v>137</v>
      </c>
      <c r="D335" s="107" t="s">
        <v>58</v>
      </c>
      <c r="E335" s="204">
        <f>60*1.1</f>
        <v>66</v>
      </c>
      <c r="F335" s="250">
        <v>0</v>
      </c>
      <c r="G335" s="187">
        <f>E335*F335</f>
        <v>0</v>
      </c>
      <c r="H335" s="239"/>
      <c r="I335" s="190"/>
    </row>
    <row r="336" spans="1:9" ht="12">
      <c r="A336" s="184" t="s">
        <v>810</v>
      </c>
      <c r="B336" s="145"/>
      <c r="C336" s="64" t="s">
        <v>362</v>
      </c>
      <c r="D336" s="97"/>
      <c r="E336" s="195"/>
      <c r="F336" s="256"/>
      <c r="G336" s="189"/>
      <c r="H336" s="239"/>
      <c r="I336" s="190"/>
    </row>
    <row r="337" spans="1:9" ht="12">
      <c r="A337" s="184" t="s">
        <v>811</v>
      </c>
      <c r="B337" s="145">
        <v>771121011</v>
      </c>
      <c r="C337" s="64" t="s">
        <v>492</v>
      </c>
      <c r="D337" s="97" t="s">
        <v>58</v>
      </c>
      <c r="E337" s="195">
        <v>60</v>
      </c>
      <c r="F337" s="256">
        <v>0</v>
      </c>
      <c r="G337" s="187">
        <f>E337*F337</f>
        <v>0</v>
      </c>
      <c r="H337" s="239"/>
      <c r="I337" s="190"/>
    </row>
    <row r="338" spans="1:9" ht="36">
      <c r="A338" s="184" t="s">
        <v>812</v>
      </c>
      <c r="B338" s="145">
        <v>711193121</v>
      </c>
      <c r="C338" s="64" t="s">
        <v>1095</v>
      </c>
      <c r="D338" s="143" t="s">
        <v>58</v>
      </c>
      <c r="E338" s="204">
        <v>65</v>
      </c>
      <c r="F338" s="250">
        <v>0</v>
      </c>
      <c r="G338" s="187">
        <f>E338*F338</f>
        <v>0</v>
      </c>
      <c r="H338" s="239"/>
      <c r="I338" s="190"/>
    </row>
    <row r="339" spans="1:9" ht="36">
      <c r="A339" s="184" t="s">
        <v>813</v>
      </c>
      <c r="B339" s="145">
        <v>771575112</v>
      </c>
      <c r="C339" s="45" t="s">
        <v>491</v>
      </c>
      <c r="D339" s="107" t="s">
        <v>58</v>
      </c>
      <c r="E339" s="204">
        <v>60</v>
      </c>
      <c r="F339" s="250">
        <v>0</v>
      </c>
      <c r="G339" s="187">
        <f>E339*F339</f>
        <v>0</v>
      </c>
      <c r="H339" s="239"/>
      <c r="I339" s="190"/>
    </row>
    <row r="340" spans="1:9" ht="12">
      <c r="A340" s="184" t="s">
        <v>814</v>
      </c>
      <c r="B340" s="145"/>
      <c r="C340" s="45"/>
      <c r="D340" s="97"/>
      <c r="E340" s="195"/>
      <c r="F340" s="256">
        <v>0</v>
      </c>
      <c r="G340" s="189"/>
      <c r="H340" s="239"/>
      <c r="I340" s="190"/>
    </row>
    <row r="341" spans="1:9" ht="24">
      <c r="A341" s="184" t="s">
        <v>815</v>
      </c>
      <c r="B341" s="145">
        <v>771591184</v>
      </c>
      <c r="C341" s="45" t="s">
        <v>468</v>
      </c>
      <c r="D341" s="97" t="s">
        <v>441</v>
      </c>
      <c r="E341" s="195">
        <f>3*0.6*30</f>
        <v>53.99999999999999</v>
      </c>
      <c r="F341" s="256">
        <v>0</v>
      </c>
      <c r="G341" s="189">
        <f>E341*F341</f>
        <v>0</v>
      </c>
      <c r="H341" s="239"/>
      <c r="I341" s="190"/>
    </row>
    <row r="342" spans="1:9" ht="24">
      <c r="A342" s="184" t="s">
        <v>816</v>
      </c>
      <c r="B342" s="145">
        <v>771592011</v>
      </c>
      <c r="C342" s="45" t="s">
        <v>467</v>
      </c>
      <c r="D342" s="97" t="s">
        <v>58</v>
      </c>
      <c r="E342" s="195">
        <v>60</v>
      </c>
      <c r="F342" s="256">
        <v>0</v>
      </c>
      <c r="G342" s="189">
        <f>E342*F342</f>
        <v>0</v>
      </c>
      <c r="H342" s="239"/>
      <c r="I342" s="190"/>
    </row>
    <row r="343" spans="1:19" s="59" customFormat="1" ht="12">
      <c r="A343" s="184" t="s">
        <v>817</v>
      </c>
      <c r="B343" s="145">
        <v>998771202</v>
      </c>
      <c r="C343" s="65" t="s">
        <v>469</v>
      </c>
      <c r="D343" s="95" t="s">
        <v>462</v>
      </c>
      <c r="E343" s="189">
        <f>SUM(G335:G342)</f>
        <v>0</v>
      </c>
      <c r="F343" s="260">
        <v>0</v>
      </c>
      <c r="G343" s="189">
        <f>E343*F343</f>
        <v>0</v>
      </c>
      <c r="H343" s="239"/>
      <c r="I343" s="190"/>
      <c r="J343" s="56"/>
      <c r="K343" s="55"/>
      <c r="L343" s="57"/>
      <c r="M343" s="55"/>
      <c r="N343" s="55"/>
      <c r="O343" s="58"/>
      <c r="P343" s="55"/>
      <c r="Q343" s="57"/>
      <c r="R343" s="55"/>
      <c r="S343" s="55"/>
    </row>
    <row r="344" spans="1:19" s="59" customFormat="1" ht="12">
      <c r="A344" s="184" t="s">
        <v>818</v>
      </c>
      <c r="B344" s="145"/>
      <c r="C344" s="65"/>
      <c r="D344" s="95"/>
      <c r="E344" s="195"/>
      <c r="F344" s="256"/>
      <c r="G344" s="189"/>
      <c r="H344" s="239"/>
      <c r="I344" s="190"/>
      <c r="J344" s="56"/>
      <c r="K344" s="55"/>
      <c r="L344" s="57"/>
      <c r="M344" s="55"/>
      <c r="N344" s="55"/>
      <c r="O344" s="62"/>
      <c r="P344" s="55"/>
      <c r="Q344" s="57"/>
      <c r="R344" s="55"/>
      <c r="S344" s="55"/>
    </row>
    <row r="345" spans="1:19" s="59" customFormat="1" ht="12.75">
      <c r="A345" s="184" t="s">
        <v>819</v>
      </c>
      <c r="B345" s="145"/>
      <c r="C345" s="60" t="s">
        <v>141</v>
      </c>
      <c r="D345" s="70" t="s">
        <v>51</v>
      </c>
      <c r="E345" s="221" t="s">
        <v>31</v>
      </c>
      <c r="F345" s="256"/>
      <c r="G345" s="248">
        <f>SUM(G346:G368)</f>
        <v>0</v>
      </c>
      <c r="H345" s="239"/>
      <c r="I345" s="190"/>
      <c r="J345" s="56"/>
      <c r="K345" s="55"/>
      <c r="L345" s="57"/>
      <c r="M345" s="55"/>
      <c r="N345" s="55"/>
      <c r="O345" s="62"/>
      <c r="P345" s="55"/>
      <c r="Q345" s="57"/>
      <c r="R345" s="55"/>
      <c r="S345" s="55"/>
    </row>
    <row r="346" spans="1:19" s="59" customFormat="1" ht="36">
      <c r="A346" s="184" t="s">
        <v>820</v>
      </c>
      <c r="B346" s="145" t="s">
        <v>466</v>
      </c>
      <c r="C346" s="45" t="s">
        <v>147</v>
      </c>
      <c r="D346" s="95" t="s">
        <v>58</v>
      </c>
      <c r="E346" s="195">
        <f>SUM(E347:E348)</f>
        <v>252.18600000000004</v>
      </c>
      <c r="F346" s="256">
        <v>0</v>
      </c>
      <c r="G346" s="189">
        <f>E346*F346</f>
        <v>0</v>
      </c>
      <c r="H346" s="239"/>
      <c r="I346" s="190"/>
      <c r="J346" s="56"/>
      <c r="K346" s="55"/>
      <c r="L346" s="57"/>
      <c r="M346" s="55"/>
      <c r="N346" s="55"/>
      <c r="O346" s="62"/>
      <c r="P346" s="56"/>
      <c r="Q346" s="57"/>
      <c r="R346" s="55"/>
      <c r="S346" s="55"/>
    </row>
    <row r="347" spans="1:19" s="59" customFormat="1" ht="24">
      <c r="A347" s="184" t="s">
        <v>821</v>
      </c>
      <c r="B347" s="145"/>
      <c r="C347" s="65" t="s">
        <v>483</v>
      </c>
      <c r="D347" s="95" t="s">
        <v>58</v>
      </c>
      <c r="E347" s="195">
        <f>(224.4)*1.1</f>
        <v>246.84000000000003</v>
      </c>
      <c r="F347" s="256"/>
      <c r="G347" s="189"/>
      <c r="H347" s="239"/>
      <c r="I347" s="190"/>
      <c r="J347" s="56"/>
      <c r="K347" s="55"/>
      <c r="L347" s="57"/>
      <c r="M347" s="55"/>
      <c r="N347" s="55"/>
      <c r="O347" s="62"/>
      <c r="P347" s="56"/>
      <c r="Q347" s="57"/>
      <c r="R347" s="55"/>
      <c r="S347" s="55"/>
    </row>
    <row r="348" spans="1:19" s="59" customFormat="1" ht="12">
      <c r="A348" s="184" t="s">
        <v>822</v>
      </c>
      <c r="B348" s="145"/>
      <c r="C348" s="65" t="s">
        <v>484</v>
      </c>
      <c r="D348" s="95" t="s">
        <v>58</v>
      </c>
      <c r="E348" s="195">
        <f>4.86*1.1</f>
        <v>5.346000000000001</v>
      </c>
      <c r="F348" s="256"/>
      <c r="G348" s="189"/>
      <c r="H348" s="239"/>
      <c r="I348" s="190"/>
      <c r="J348" s="56"/>
      <c r="K348" s="55"/>
      <c r="L348" s="57"/>
      <c r="M348" s="55"/>
      <c r="N348" s="55"/>
      <c r="O348" s="62"/>
      <c r="P348" s="56"/>
      <c r="Q348" s="57"/>
      <c r="R348" s="55"/>
      <c r="S348" s="55"/>
    </row>
    <row r="349" spans="1:19" s="59" customFormat="1" ht="12">
      <c r="A349" s="184" t="s">
        <v>823</v>
      </c>
      <c r="B349" s="145"/>
      <c r="C349" s="65" t="s">
        <v>482</v>
      </c>
      <c r="D349" s="95"/>
      <c r="E349" s="210"/>
      <c r="F349" s="256"/>
      <c r="G349" s="189"/>
      <c r="H349" s="239"/>
      <c r="I349" s="190"/>
      <c r="J349" s="56"/>
      <c r="K349" s="55"/>
      <c r="L349" s="57"/>
      <c r="M349" s="55"/>
      <c r="N349" s="55"/>
      <c r="O349" s="62"/>
      <c r="P349" s="56"/>
      <c r="Q349" s="57"/>
      <c r="R349" s="55"/>
      <c r="S349" s="55"/>
    </row>
    <row r="350" spans="1:19" s="59" customFormat="1" ht="12">
      <c r="A350" s="184" t="s">
        <v>824</v>
      </c>
      <c r="B350" s="145"/>
      <c r="C350" s="93" t="s">
        <v>485</v>
      </c>
      <c r="D350" s="95"/>
      <c r="E350" s="143"/>
      <c r="F350" s="256"/>
      <c r="G350" s="189"/>
      <c r="H350" s="239"/>
      <c r="I350" s="190"/>
      <c r="J350" s="56"/>
      <c r="K350" s="55"/>
      <c r="L350" s="57"/>
      <c r="M350" s="55"/>
      <c r="N350" s="55"/>
      <c r="O350" s="62"/>
      <c r="P350" s="56"/>
      <c r="Q350" s="57"/>
      <c r="R350" s="55"/>
      <c r="S350" s="55"/>
    </row>
    <row r="351" spans="1:19" s="59" customFormat="1" ht="12">
      <c r="A351" s="184" t="s">
        <v>825</v>
      </c>
      <c r="B351" s="145"/>
      <c r="C351" s="93"/>
      <c r="D351" s="95"/>
      <c r="E351" s="143"/>
      <c r="F351" s="256"/>
      <c r="G351" s="189"/>
      <c r="H351" s="239"/>
      <c r="I351" s="190"/>
      <c r="J351" s="56"/>
      <c r="K351" s="55"/>
      <c r="L351" s="57"/>
      <c r="M351" s="55"/>
      <c r="N351" s="55"/>
      <c r="O351" s="62"/>
      <c r="P351" s="56"/>
      <c r="Q351" s="57"/>
      <c r="R351" s="55"/>
      <c r="S351" s="55"/>
    </row>
    <row r="352" spans="1:19" s="59" customFormat="1" ht="12">
      <c r="A352" s="184" t="s">
        <v>826</v>
      </c>
      <c r="B352" s="145">
        <v>781111011</v>
      </c>
      <c r="C352" s="65" t="s">
        <v>486</v>
      </c>
      <c r="D352" s="95" t="s">
        <v>58</v>
      </c>
      <c r="E352" s="143">
        <f>224.4+4.86</f>
        <v>229.26000000000002</v>
      </c>
      <c r="F352" s="256">
        <v>0</v>
      </c>
      <c r="G352" s="189">
        <f>E352*F352</f>
        <v>0</v>
      </c>
      <c r="H352" s="239"/>
      <c r="I352" s="190"/>
      <c r="J352" s="56"/>
      <c r="K352" s="55"/>
      <c r="L352" s="57"/>
      <c r="M352" s="55"/>
      <c r="N352" s="55"/>
      <c r="O352" s="62"/>
      <c r="P352" s="56"/>
      <c r="Q352" s="57"/>
      <c r="R352" s="55"/>
      <c r="S352" s="55"/>
    </row>
    <row r="353" spans="1:19" s="59" customFormat="1" ht="12">
      <c r="A353" s="184" t="s">
        <v>827</v>
      </c>
      <c r="B353" s="145">
        <v>781121011</v>
      </c>
      <c r="C353" s="65" t="s">
        <v>487</v>
      </c>
      <c r="D353" s="95" t="s">
        <v>58</v>
      </c>
      <c r="E353" s="143">
        <f>E352</f>
        <v>229.26000000000002</v>
      </c>
      <c r="F353" s="256">
        <v>0</v>
      </c>
      <c r="G353" s="189">
        <f>E353*F353</f>
        <v>0</v>
      </c>
      <c r="H353" s="239"/>
      <c r="I353" s="190"/>
      <c r="J353" s="56"/>
      <c r="K353" s="55"/>
      <c r="L353" s="57"/>
      <c r="M353" s="55"/>
      <c r="N353" s="55"/>
      <c r="O353" s="62"/>
      <c r="P353" s="56"/>
      <c r="Q353" s="57"/>
      <c r="R353" s="55"/>
      <c r="S353" s="55"/>
    </row>
    <row r="354" spans="1:19" s="59" customFormat="1" ht="12">
      <c r="A354" s="184" t="s">
        <v>828</v>
      </c>
      <c r="B354" s="145"/>
      <c r="C354" s="65"/>
      <c r="D354" s="95"/>
      <c r="E354" s="195"/>
      <c r="F354" s="256"/>
      <c r="G354" s="189"/>
      <c r="H354" s="235"/>
      <c r="I354" s="190"/>
      <c r="J354" s="56"/>
      <c r="K354" s="55"/>
      <c r="L354" s="57"/>
      <c r="M354" s="55"/>
      <c r="N354" s="55"/>
      <c r="O354" s="62"/>
      <c r="P354" s="56"/>
      <c r="Q354" s="57"/>
      <c r="R354" s="55"/>
      <c r="S354" s="55"/>
    </row>
    <row r="355" spans="1:19" s="59" customFormat="1" ht="39" customHeight="1">
      <c r="A355" s="184" t="s">
        <v>829</v>
      </c>
      <c r="B355" s="145">
        <v>781674119</v>
      </c>
      <c r="C355" s="45" t="s">
        <v>489</v>
      </c>
      <c r="D355" s="95" t="s">
        <v>59</v>
      </c>
      <c r="E355" s="195">
        <f>(0.7*6+1.3*3+0.7*2+1.3*1)</f>
        <v>10.8</v>
      </c>
      <c r="F355" s="256">
        <v>0</v>
      </c>
      <c r="G355" s="189">
        <f>E355*F355</f>
        <v>0</v>
      </c>
      <c r="H355" s="235"/>
      <c r="I355" s="190"/>
      <c r="J355" s="56"/>
      <c r="K355" s="55"/>
      <c r="L355" s="57"/>
      <c r="M355" s="55"/>
      <c r="N355" s="55"/>
      <c r="O355" s="62"/>
      <c r="P355" s="56"/>
      <c r="Q355" s="57"/>
      <c r="R355" s="55"/>
      <c r="S355" s="55"/>
    </row>
    <row r="356" spans="1:19" s="59" customFormat="1" ht="36">
      <c r="A356" s="184" t="s">
        <v>830</v>
      </c>
      <c r="B356" s="145">
        <v>781474111</v>
      </c>
      <c r="C356" s="65" t="s">
        <v>490</v>
      </c>
      <c r="D356" s="95" t="s">
        <v>58</v>
      </c>
      <c r="E356" s="195">
        <v>224.4</v>
      </c>
      <c r="F356" s="256">
        <v>0</v>
      </c>
      <c r="G356" s="189">
        <f>E356*F356</f>
        <v>0</v>
      </c>
      <c r="H356" s="235"/>
      <c r="I356" s="190"/>
      <c r="J356" s="56"/>
      <c r="K356" s="55"/>
      <c r="L356" s="57"/>
      <c r="M356" s="55"/>
      <c r="N356" s="55"/>
      <c r="O356" s="62"/>
      <c r="P356" s="56"/>
      <c r="Q356" s="57"/>
      <c r="R356" s="55"/>
      <c r="S356" s="55"/>
    </row>
    <row r="357" spans="1:19" s="59" customFormat="1" ht="12">
      <c r="A357" s="184" t="s">
        <v>831</v>
      </c>
      <c r="B357" s="145"/>
      <c r="C357" s="65"/>
      <c r="D357" s="95"/>
      <c r="E357" s="195"/>
      <c r="F357" s="256"/>
      <c r="G357" s="189"/>
      <c r="H357" s="239"/>
      <c r="I357" s="190"/>
      <c r="J357" s="56"/>
      <c r="K357" s="55"/>
      <c r="L357" s="57"/>
      <c r="M357" s="55"/>
      <c r="N357" s="55"/>
      <c r="O357" s="62"/>
      <c r="P357" s="56"/>
      <c r="Q357" s="57"/>
      <c r="R357" s="55"/>
      <c r="S357" s="55"/>
    </row>
    <row r="358" spans="1:19" s="59" customFormat="1" ht="12">
      <c r="A358" s="184" t="s">
        <v>832</v>
      </c>
      <c r="B358" s="145">
        <v>781495185</v>
      </c>
      <c r="C358" s="45" t="s">
        <v>488</v>
      </c>
      <c r="D358" s="97" t="s">
        <v>71</v>
      </c>
      <c r="E358" s="195">
        <v>150</v>
      </c>
      <c r="F358" s="256">
        <v>0</v>
      </c>
      <c r="G358" s="189">
        <f>E358*F358</f>
        <v>0</v>
      </c>
      <c r="H358" s="239"/>
      <c r="I358" s="190"/>
      <c r="J358" s="56"/>
      <c r="K358" s="55"/>
      <c r="L358" s="57"/>
      <c r="M358" s="55"/>
      <c r="N358" s="55"/>
      <c r="O358" s="62"/>
      <c r="P358" s="56"/>
      <c r="Q358" s="57"/>
      <c r="R358" s="55"/>
      <c r="S358" s="55"/>
    </row>
    <row r="359" spans="1:19" s="59" customFormat="1" ht="12">
      <c r="A359" s="184" t="s">
        <v>833</v>
      </c>
      <c r="B359" s="145"/>
      <c r="C359" s="45"/>
      <c r="D359" s="97"/>
      <c r="E359" s="195"/>
      <c r="F359" s="256"/>
      <c r="G359" s="189"/>
      <c r="H359" s="239"/>
      <c r="I359" s="190"/>
      <c r="J359" s="56"/>
      <c r="K359" s="55"/>
      <c r="L359" s="57"/>
      <c r="M359" s="55"/>
      <c r="N359" s="55"/>
      <c r="O359" s="62"/>
      <c r="P359" s="56"/>
      <c r="Q359" s="57"/>
      <c r="R359" s="55"/>
      <c r="S359" s="55"/>
    </row>
    <row r="360" spans="1:19" s="59" customFormat="1" ht="26.25" customHeight="1">
      <c r="A360" s="184" t="s">
        <v>834</v>
      </c>
      <c r="B360" s="145" t="s">
        <v>198</v>
      </c>
      <c r="C360" s="137" t="s">
        <v>199</v>
      </c>
      <c r="D360" s="97"/>
      <c r="E360" s="195">
        <f>SUM(E361:E366)</f>
        <v>139</v>
      </c>
      <c r="F360" s="256">
        <v>0</v>
      </c>
      <c r="G360" s="189">
        <f>E360*F360</f>
        <v>0</v>
      </c>
      <c r="H360" s="239"/>
      <c r="I360" s="190"/>
      <c r="J360" s="56"/>
      <c r="K360" s="55"/>
      <c r="L360" s="57"/>
      <c r="M360" s="55"/>
      <c r="N360" s="55"/>
      <c r="O360" s="62"/>
      <c r="P360" s="56"/>
      <c r="Q360" s="57"/>
      <c r="R360" s="55"/>
      <c r="S360" s="55"/>
    </row>
    <row r="361" spans="1:19" s="59" customFormat="1" ht="12">
      <c r="A361" s="184" t="s">
        <v>835</v>
      </c>
      <c r="B361" s="145"/>
      <c r="C361" s="65" t="s">
        <v>363</v>
      </c>
      <c r="D361" s="97"/>
      <c r="E361" s="195">
        <v>23</v>
      </c>
      <c r="F361" s="256"/>
      <c r="G361" s="189"/>
      <c r="H361" s="239"/>
      <c r="I361" s="190"/>
      <c r="J361" s="56"/>
      <c r="K361" s="55"/>
      <c r="L361" s="57"/>
      <c r="M361" s="55"/>
      <c r="N361" s="55"/>
      <c r="O361" s="62"/>
      <c r="P361" s="56"/>
      <c r="Q361" s="57"/>
      <c r="R361" s="55"/>
      <c r="S361" s="55"/>
    </row>
    <row r="362" spans="1:19" s="59" customFormat="1" ht="14.25" customHeight="1">
      <c r="A362" s="184" t="s">
        <v>836</v>
      </c>
      <c r="B362" s="145"/>
      <c r="C362" s="65" t="s">
        <v>364</v>
      </c>
      <c r="D362" s="97"/>
      <c r="E362" s="195">
        <v>10</v>
      </c>
      <c r="F362" s="256"/>
      <c r="G362" s="189"/>
      <c r="H362" s="239"/>
      <c r="I362" s="190"/>
      <c r="J362" s="56"/>
      <c r="K362" s="55"/>
      <c r="L362" s="57"/>
      <c r="M362" s="55"/>
      <c r="N362" s="55"/>
      <c r="O362" s="62"/>
      <c r="P362" s="56"/>
      <c r="Q362" s="57"/>
      <c r="R362" s="55"/>
      <c r="S362" s="55"/>
    </row>
    <row r="363" spans="1:19" s="59" customFormat="1" ht="12">
      <c r="A363" s="184" t="s">
        <v>837</v>
      </c>
      <c r="B363" s="145"/>
      <c r="C363" s="65" t="s">
        <v>365</v>
      </c>
      <c r="D363" s="97"/>
      <c r="E363" s="195">
        <v>28</v>
      </c>
      <c r="F363" s="256"/>
      <c r="G363" s="189"/>
      <c r="H363" s="239"/>
      <c r="I363" s="190"/>
      <c r="J363" s="56"/>
      <c r="K363" s="55"/>
      <c r="L363" s="57"/>
      <c r="M363" s="55"/>
      <c r="N363" s="55"/>
      <c r="O363" s="62"/>
      <c r="P363" s="56"/>
      <c r="Q363" s="57"/>
      <c r="R363" s="55"/>
      <c r="S363" s="55"/>
    </row>
    <row r="364" spans="1:19" s="59" customFormat="1" ht="12">
      <c r="A364" s="184" t="s">
        <v>838</v>
      </c>
      <c r="B364" s="145"/>
      <c r="C364" s="65" t="s">
        <v>366</v>
      </c>
      <c r="D364" s="97"/>
      <c r="E364" s="195">
        <v>31</v>
      </c>
      <c r="F364" s="256"/>
      <c r="G364" s="189"/>
      <c r="H364" s="239"/>
      <c r="I364" s="190"/>
      <c r="J364" s="56"/>
      <c r="K364" s="55"/>
      <c r="L364" s="57"/>
      <c r="M364" s="55"/>
      <c r="N364" s="55"/>
      <c r="O364" s="62"/>
      <c r="P364" s="56"/>
      <c r="Q364" s="57"/>
      <c r="R364" s="55"/>
      <c r="S364" s="55"/>
    </row>
    <row r="365" spans="1:19" s="59" customFormat="1" ht="12">
      <c r="A365" s="184" t="s">
        <v>839</v>
      </c>
      <c r="B365" s="145"/>
      <c r="C365" s="65" t="s">
        <v>367</v>
      </c>
      <c r="D365" s="97"/>
      <c r="E365" s="195">
        <v>31</v>
      </c>
      <c r="F365" s="256"/>
      <c r="G365" s="189"/>
      <c r="H365" s="239"/>
      <c r="I365" s="190"/>
      <c r="J365" s="56"/>
      <c r="K365" s="55"/>
      <c r="L365" s="57"/>
      <c r="M365" s="55"/>
      <c r="N365" s="55"/>
      <c r="O365" s="62"/>
      <c r="P365" s="56"/>
      <c r="Q365" s="57"/>
      <c r="R365" s="55"/>
      <c r="S365" s="55"/>
    </row>
    <row r="366" spans="1:19" s="59" customFormat="1" ht="12">
      <c r="A366" s="184" t="s">
        <v>840</v>
      </c>
      <c r="B366" s="145"/>
      <c r="C366" s="65" t="s">
        <v>368</v>
      </c>
      <c r="D366" s="97"/>
      <c r="E366" s="195">
        <v>16</v>
      </c>
      <c r="F366" s="256"/>
      <c r="G366" s="189"/>
      <c r="H366" s="239"/>
      <c r="I366" s="190"/>
      <c r="J366" s="56"/>
      <c r="K366" s="55"/>
      <c r="L366" s="57"/>
      <c r="M366" s="55"/>
      <c r="N366" s="55"/>
      <c r="O366" s="62"/>
      <c r="P366" s="56"/>
      <c r="Q366" s="57"/>
      <c r="R366" s="55"/>
      <c r="S366" s="55"/>
    </row>
    <row r="367" spans="1:19" s="59" customFormat="1" ht="12">
      <c r="A367" s="184" t="s">
        <v>841</v>
      </c>
      <c r="B367" s="145"/>
      <c r="C367" s="65"/>
      <c r="D367" s="97"/>
      <c r="E367" s="195"/>
      <c r="F367" s="256"/>
      <c r="G367" s="189"/>
      <c r="H367" s="239"/>
      <c r="I367" s="190"/>
      <c r="J367" s="56"/>
      <c r="K367" s="55"/>
      <c r="L367" s="57"/>
      <c r="M367" s="55"/>
      <c r="N367" s="55"/>
      <c r="O367" s="62"/>
      <c r="P367" s="56"/>
      <c r="Q367" s="57"/>
      <c r="R367" s="55"/>
      <c r="S367" s="55"/>
    </row>
    <row r="368" spans="1:19" s="59" customFormat="1" ht="12">
      <c r="A368" s="184" t="s">
        <v>842</v>
      </c>
      <c r="B368" s="145">
        <v>998781202</v>
      </c>
      <c r="C368" s="65" t="s">
        <v>193</v>
      </c>
      <c r="D368" s="95" t="s">
        <v>462</v>
      </c>
      <c r="E368" s="189">
        <f>SUM(G346:G360)</f>
        <v>0</v>
      </c>
      <c r="F368" s="260">
        <v>0</v>
      </c>
      <c r="G368" s="189">
        <f>E368*F368</f>
        <v>0</v>
      </c>
      <c r="H368" s="239"/>
      <c r="I368" s="190"/>
      <c r="J368" s="56"/>
      <c r="K368" s="55"/>
      <c r="L368" s="57"/>
      <c r="M368" s="55"/>
      <c r="N368" s="55"/>
      <c r="O368" s="62"/>
      <c r="P368" s="56"/>
      <c r="Q368" s="57"/>
      <c r="R368" s="55"/>
      <c r="S368" s="55"/>
    </row>
    <row r="369" spans="1:19" s="59" customFormat="1" ht="12">
      <c r="A369" s="184" t="s">
        <v>843</v>
      </c>
      <c r="B369" s="145"/>
      <c r="C369" s="65"/>
      <c r="D369" s="95"/>
      <c r="E369" s="195"/>
      <c r="F369" s="256"/>
      <c r="G369" s="189"/>
      <c r="H369" s="239"/>
      <c r="I369" s="190"/>
      <c r="J369" s="56"/>
      <c r="K369" s="55"/>
      <c r="L369" s="57"/>
      <c r="M369" s="55"/>
      <c r="N369" s="55"/>
      <c r="O369" s="62"/>
      <c r="P369" s="56"/>
      <c r="Q369" s="57"/>
      <c r="R369" s="55"/>
      <c r="S369" s="55"/>
    </row>
    <row r="370" spans="1:19" s="59" customFormat="1" ht="12" customHeight="1">
      <c r="A370" s="184" t="s">
        <v>844</v>
      </c>
      <c r="B370" s="145"/>
      <c r="C370" s="51" t="s">
        <v>143</v>
      </c>
      <c r="D370" s="99" t="s">
        <v>51</v>
      </c>
      <c r="E370" s="207" t="s">
        <v>31</v>
      </c>
      <c r="F370" s="256"/>
      <c r="G370" s="248">
        <f>SUM(G371:G377)</f>
        <v>0</v>
      </c>
      <c r="H370" s="239"/>
      <c r="I370" s="190"/>
      <c r="J370" s="56"/>
      <c r="K370" s="55"/>
      <c r="L370" s="57"/>
      <c r="M370" s="55"/>
      <c r="N370" s="55"/>
      <c r="O370" s="62"/>
      <c r="P370" s="56"/>
      <c r="Q370" s="57"/>
      <c r="R370" s="55"/>
      <c r="S370" s="55"/>
    </row>
    <row r="371" spans="1:19" s="59" customFormat="1" ht="36">
      <c r="A371" s="184" t="s">
        <v>845</v>
      </c>
      <c r="B371" s="172" t="s">
        <v>465</v>
      </c>
      <c r="C371" s="65" t="s">
        <v>192</v>
      </c>
      <c r="D371" s="95" t="s">
        <v>58</v>
      </c>
      <c r="E371" s="210">
        <f>SUM(E372:E376)</f>
        <v>42.89</v>
      </c>
      <c r="F371" s="256">
        <v>0</v>
      </c>
      <c r="G371" s="189">
        <f>E371*F371</f>
        <v>0</v>
      </c>
      <c r="H371" s="239"/>
      <c r="I371" s="190"/>
      <c r="J371" s="56"/>
      <c r="K371" s="55"/>
      <c r="L371" s="57"/>
      <c r="M371" s="55"/>
      <c r="N371" s="55"/>
      <c r="O371" s="62"/>
      <c r="P371" s="56"/>
      <c r="Q371" s="57"/>
      <c r="R371" s="55"/>
      <c r="S371" s="55"/>
    </row>
    <row r="372" spans="1:19" s="59" customFormat="1" ht="12">
      <c r="A372" s="184" t="s">
        <v>846</v>
      </c>
      <c r="B372" s="145"/>
      <c r="C372" s="65" t="s">
        <v>363</v>
      </c>
      <c r="D372" s="95" t="s">
        <v>58</v>
      </c>
      <c r="E372" s="195">
        <v>10.82</v>
      </c>
      <c r="F372" s="256"/>
      <c r="G372" s="189"/>
      <c r="H372" s="239"/>
      <c r="I372" s="190"/>
      <c r="J372" s="56"/>
      <c r="K372" s="55"/>
      <c r="L372" s="57"/>
      <c r="M372" s="55"/>
      <c r="N372" s="55"/>
      <c r="O372" s="62"/>
      <c r="P372" s="56"/>
      <c r="Q372" s="57"/>
      <c r="R372" s="55"/>
      <c r="S372" s="55"/>
    </row>
    <row r="373" spans="1:19" s="59" customFormat="1" ht="12">
      <c r="A373" s="184" t="s">
        <v>847</v>
      </c>
      <c r="B373" s="145"/>
      <c r="C373" s="65" t="s">
        <v>364</v>
      </c>
      <c r="D373" s="95" t="s">
        <v>58</v>
      </c>
      <c r="E373" s="210">
        <v>3.42</v>
      </c>
      <c r="F373" s="256"/>
      <c r="G373" s="189"/>
      <c r="H373" s="239"/>
      <c r="I373" s="190"/>
      <c r="J373" s="56"/>
      <c r="K373" s="55"/>
      <c r="L373" s="57"/>
      <c r="M373" s="55"/>
      <c r="N373" s="55"/>
      <c r="O373" s="62"/>
      <c r="P373" s="56"/>
      <c r="Q373" s="57"/>
      <c r="R373" s="55"/>
      <c r="S373" s="55"/>
    </row>
    <row r="374" spans="1:19" s="59" customFormat="1" ht="12">
      <c r="A374" s="184" t="s">
        <v>848</v>
      </c>
      <c r="B374" s="145"/>
      <c r="C374" s="65" t="s">
        <v>365</v>
      </c>
      <c r="D374" s="95" t="s">
        <v>58</v>
      </c>
      <c r="E374" s="210">
        <v>14.34</v>
      </c>
      <c r="F374" s="256"/>
      <c r="G374" s="54"/>
      <c r="H374" s="239"/>
      <c r="I374" s="190"/>
      <c r="J374" s="56"/>
      <c r="K374" s="55"/>
      <c r="L374" s="57"/>
      <c r="M374" s="55"/>
      <c r="N374" s="55"/>
      <c r="O374" s="62"/>
      <c r="P374" s="56"/>
      <c r="Q374" s="57"/>
      <c r="R374" s="55"/>
      <c r="S374" s="55"/>
    </row>
    <row r="375" spans="1:19" s="59" customFormat="1" ht="12">
      <c r="A375" s="184" t="s">
        <v>849</v>
      </c>
      <c r="B375" s="145"/>
      <c r="C375" s="65" t="s">
        <v>366</v>
      </c>
      <c r="D375" s="95" t="s">
        <v>58</v>
      </c>
      <c r="E375" s="210">
        <v>14.31</v>
      </c>
      <c r="F375" s="256"/>
      <c r="G375" s="189"/>
      <c r="H375" s="239"/>
      <c r="I375" s="190"/>
      <c r="J375" s="56"/>
      <c r="K375" s="55"/>
      <c r="L375" s="57"/>
      <c r="M375" s="55"/>
      <c r="N375" s="55"/>
      <c r="O375" s="62"/>
      <c r="P375" s="56"/>
      <c r="Q375" s="57"/>
      <c r="R375" s="55"/>
      <c r="S375" s="55"/>
    </row>
    <row r="376" spans="1:19" s="59" customFormat="1" ht="12">
      <c r="A376" s="184" t="s">
        <v>850</v>
      </c>
      <c r="B376" s="145"/>
      <c r="C376" s="64"/>
      <c r="D376" s="95"/>
      <c r="E376" s="210"/>
      <c r="F376" s="256"/>
      <c r="G376" s="189"/>
      <c r="H376" s="239"/>
      <c r="I376" s="190"/>
      <c r="J376" s="56"/>
      <c r="K376" s="55"/>
      <c r="L376" s="57"/>
      <c r="M376" s="55"/>
      <c r="N376" s="55"/>
      <c r="O376" s="62"/>
      <c r="P376" s="56"/>
      <c r="Q376" s="57"/>
      <c r="R376" s="55"/>
      <c r="S376" s="55"/>
    </row>
    <row r="377" spans="1:19" s="59" customFormat="1" ht="12">
      <c r="A377" s="184" t="s">
        <v>851</v>
      </c>
      <c r="B377" s="145">
        <v>998763402</v>
      </c>
      <c r="C377" s="65" t="s">
        <v>195</v>
      </c>
      <c r="D377" s="95" t="s">
        <v>462</v>
      </c>
      <c r="E377" s="189">
        <f>G371</f>
        <v>0</v>
      </c>
      <c r="F377" s="261"/>
      <c r="G377" s="189">
        <f>E377*F377</f>
        <v>0</v>
      </c>
      <c r="H377" s="239"/>
      <c r="I377" s="190"/>
      <c r="J377" s="56"/>
      <c r="K377" s="55"/>
      <c r="L377" s="57"/>
      <c r="M377" s="55"/>
      <c r="N377" s="55"/>
      <c r="O377" s="62"/>
      <c r="P377" s="56"/>
      <c r="Q377" s="57"/>
      <c r="R377" s="55"/>
      <c r="S377" s="55"/>
    </row>
    <row r="378" spans="1:19" s="59" customFormat="1" ht="12">
      <c r="A378" s="184" t="s">
        <v>852</v>
      </c>
      <c r="B378" s="145"/>
      <c r="C378" s="65"/>
      <c r="D378" s="95"/>
      <c r="E378" s="222"/>
      <c r="F378" s="256"/>
      <c r="G378" s="189"/>
      <c r="H378" s="239"/>
      <c r="I378" s="190"/>
      <c r="J378" s="56"/>
      <c r="K378" s="55"/>
      <c r="L378" s="57"/>
      <c r="M378" s="55"/>
      <c r="N378" s="55"/>
      <c r="O378" s="62"/>
      <c r="P378" s="56"/>
      <c r="Q378" s="57"/>
      <c r="R378" s="55"/>
      <c r="S378" s="55"/>
    </row>
    <row r="379" spans="1:19" s="59" customFormat="1" ht="12">
      <c r="A379" s="184" t="s">
        <v>853</v>
      </c>
      <c r="B379" s="145"/>
      <c r="C379" s="70" t="s">
        <v>174</v>
      </c>
      <c r="D379" s="52" t="s">
        <v>51</v>
      </c>
      <c r="E379" s="223" t="s">
        <v>31</v>
      </c>
      <c r="F379" s="256"/>
      <c r="G379" s="248">
        <f>SUM(G382:G409)</f>
        <v>0</v>
      </c>
      <c r="H379" s="239"/>
      <c r="I379" s="190"/>
      <c r="J379" s="56"/>
      <c r="K379" s="55"/>
      <c r="L379" s="57"/>
      <c r="M379" s="55"/>
      <c r="N379" s="55"/>
      <c r="O379" s="62"/>
      <c r="P379" s="56"/>
      <c r="Q379" s="57"/>
      <c r="R379" s="55"/>
      <c r="S379" s="55"/>
    </row>
    <row r="380" spans="1:19" s="59" customFormat="1" ht="12">
      <c r="A380" s="184" t="s">
        <v>854</v>
      </c>
      <c r="B380" s="171"/>
      <c r="C380" s="61" t="s">
        <v>194</v>
      </c>
      <c r="D380" s="55"/>
      <c r="E380" s="224"/>
      <c r="F380" s="256"/>
      <c r="G380" s="189"/>
      <c r="H380" s="239"/>
      <c r="I380" s="190"/>
      <c r="J380" s="56"/>
      <c r="K380" s="55"/>
      <c r="L380" s="57"/>
      <c r="M380" s="55"/>
      <c r="N380" s="55"/>
      <c r="O380" s="62"/>
      <c r="P380" s="56"/>
      <c r="Q380" s="57"/>
      <c r="R380" s="55"/>
      <c r="S380" s="55"/>
    </row>
    <row r="381" spans="1:19" s="59" customFormat="1" ht="60">
      <c r="A381" s="184" t="s">
        <v>855</v>
      </c>
      <c r="B381" s="162" t="s">
        <v>164</v>
      </c>
      <c r="C381" s="63" t="s">
        <v>135</v>
      </c>
      <c r="D381" s="55"/>
      <c r="E381" s="224"/>
      <c r="F381" s="256"/>
      <c r="G381" s="189"/>
      <c r="H381" s="239"/>
      <c r="I381" s="190"/>
      <c r="J381" s="56"/>
      <c r="K381" s="55"/>
      <c r="L381" s="57"/>
      <c r="M381" s="55"/>
      <c r="N381" s="55"/>
      <c r="O381" s="62"/>
      <c r="P381" s="56"/>
      <c r="Q381" s="57"/>
      <c r="R381" s="55"/>
      <c r="S381" s="55"/>
    </row>
    <row r="382" spans="1:19" s="59" customFormat="1" ht="12">
      <c r="A382" s="184" t="s">
        <v>856</v>
      </c>
      <c r="B382" s="145"/>
      <c r="C382" s="68" t="s">
        <v>200</v>
      </c>
      <c r="E382" s="225"/>
      <c r="F382" s="257"/>
      <c r="G382" s="189"/>
      <c r="H382" s="239"/>
      <c r="I382" s="190"/>
      <c r="J382" s="56"/>
      <c r="K382" s="55"/>
      <c r="L382" s="57"/>
      <c r="M382" s="55"/>
      <c r="N382" s="55"/>
      <c r="O382" s="62"/>
      <c r="P382" s="56"/>
      <c r="Q382" s="57"/>
      <c r="R382" s="55"/>
      <c r="S382" s="55"/>
    </row>
    <row r="383" spans="1:19" s="59" customFormat="1" ht="96">
      <c r="A383" s="184" t="s">
        <v>857</v>
      </c>
      <c r="B383" s="145" t="s">
        <v>1091</v>
      </c>
      <c r="C383" s="50" t="s">
        <v>369</v>
      </c>
      <c r="D383" s="59" t="s">
        <v>71</v>
      </c>
      <c r="E383" s="225">
        <v>1</v>
      </c>
      <c r="F383" s="262">
        <v>0</v>
      </c>
      <c r="G383" s="189">
        <f>E383*F383</f>
        <v>0</v>
      </c>
      <c r="H383" s="243"/>
      <c r="I383" s="244"/>
      <c r="J383" s="56"/>
      <c r="K383" s="55"/>
      <c r="L383" s="57"/>
      <c r="M383" s="55"/>
      <c r="N383" s="55"/>
      <c r="O383" s="62"/>
      <c r="P383" s="56"/>
      <c r="Q383" s="57"/>
      <c r="R383" s="55"/>
      <c r="S383" s="55"/>
    </row>
    <row r="384" spans="1:19" s="59" customFormat="1" ht="60">
      <c r="A384" s="184" t="s">
        <v>858</v>
      </c>
      <c r="B384" s="145" t="s">
        <v>1092</v>
      </c>
      <c r="C384" s="50" t="s">
        <v>196</v>
      </c>
      <c r="D384" s="59" t="s">
        <v>71</v>
      </c>
      <c r="E384" s="225">
        <v>10</v>
      </c>
      <c r="F384" s="262">
        <v>0</v>
      </c>
      <c r="G384" s="189">
        <f>E384*F384</f>
        <v>0</v>
      </c>
      <c r="H384" s="243"/>
      <c r="I384" s="244"/>
      <c r="J384" s="56"/>
      <c r="K384" s="55"/>
      <c r="L384" s="57"/>
      <c r="M384" s="55"/>
      <c r="N384" s="55"/>
      <c r="O384" s="62"/>
      <c r="P384" s="56"/>
      <c r="Q384" s="57"/>
      <c r="R384" s="55"/>
      <c r="S384" s="55"/>
    </row>
    <row r="385" spans="1:19" s="59" customFormat="1" ht="39.75" customHeight="1">
      <c r="A385" s="184" t="s">
        <v>859</v>
      </c>
      <c r="B385" s="145" t="s">
        <v>1093</v>
      </c>
      <c r="C385" s="50" t="s">
        <v>370</v>
      </c>
      <c r="D385" s="59" t="s">
        <v>71</v>
      </c>
      <c r="E385" s="225">
        <v>2</v>
      </c>
      <c r="F385" s="262">
        <v>0</v>
      </c>
      <c r="G385" s="189">
        <f>E385*F385</f>
        <v>0</v>
      </c>
      <c r="H385" s="243"/>
      <c r="I385" s="244"/>
      <c r="J385" s="56"/>
      <c r="K385" s="55"/>
      <c r="L385" s="57"/>
      <c r="M385" s="55"/>
      <c r="N385" s="55"/>
      <c r="O385" s="62"/>
      <c r="P385" s="56"/>
      <c r="Q385" s="57"/>
      <c r="R385" s="55"/>
      <c r="S385" s="55"/>
    </row>
    <row r="386" spans="1:19" s="59" customFormat="1" ht="60">
      <c r="A386" s="184" t="s">
        <v>860</v>
      </c>
      <c r="B386" s="145" t="s">
        <v>1094</v>
      </c>
      <c r="C386" s="50" t="s">
        <v>371</v>
      </c>
      <c r="D386" s="59" t="s">
        <v>71</v>
      </c>
      <c r="E386" s="225">
        <v>5</v>
      </c>
      <c r="F386" s="262">
        <v>0</v>
      </c>
      <c r="G386" s="189">
        <f>E386*F386</f>
        <v>0</v>
      </c>
      <c r="H386" s="243"/>
      <c r="I386" s="244"/>
      <c r="J386" s="56"/>
      <c r="K386" s="55"/>
      <c r="L386" s="57"/>
      <c r="M386" s="55"/>
      <c r="N386" s="55"/>
      <c r="O386" s="62"/>
      <c r="P386" s="56"/>
      <c r="Q386" s="57"/>
      <c r="R386" s="55"/>
      <c r="S386" s="55"/>
    </row>
    <row r="387" spans="1:19" s="59" customFormat="1" ht="96">
      <c r="A387" s="184" t="s">
        <v>861</v>
      </c>
      <c r="B387" s="145" t="s">
        <v>113</v>
      </c>
      <c r="C387" s="50" t="s">
        <v>197</v>
      </c>
      <c r="D387" s="59" t="s">
        <v>71</v>
      </c>
      <c r="E387" s="225">
        <v>3</v>
      </c>
      <c r="F387" s="262">
        <v>0</v>
      </c>
      <c r="G387" s="189">
        <f>E387*F387</f>
        <v>0</v>
      </c>
      <c r="H387" s="243"/>
      <c r="I387" s="244"/>
      <c r="J387" s="56"/>
      <c r="K387" s="55"/>
      <c r="L387" s="57"/>
      <c r="M387" s="55"/>
      <c r="N387" s="55"/>
      <c r="O387" s="62"/>
      <c r="P387" s="56"/>
      <c r="Q387" s="57"/>
      <c r="R387" s="55"/>
      <c r="S387" s="55"/>
    </row>
    <row r="388" spans="1:19" s="59" customFormat="1" ht="48">
      <c r="A388" s="184" t="s">
        <v>862</v>
      </c>
      <c r="B388" s="145" t="s">
        <v>114</v>
      </c>
      <c r="C388" s="65" t="s">
        <v>372</v>
      </c>
      <c r="D388" s="59" t="s">
        <v>71</v>
      </c>
      <c r="E388" s="225">
        <v>1</v>
      </c>
      <c r="F388" s="262">
        <v>0</v>
      </c>
      <c r="G388" s="192">
        <f>E384*F388</f>
        <v>0</v>
      </c>
      <c r="H388" s="243"/>
      <c r="I388" s="244"/>
      <c r="J388" s="56"/>
      <c r="K388" s="55"/>
      <c r="L388" s="57"/>
      <c r="M388" s="55"/>
      <c r="N388" s="55"/>
      <c r="O388" s="62"/>
      <c r="P388" s="56"/>
      <c r="Q388" s="57"/>
      <c r="R388" s="55"/>
      <c r="S388" s="55"/>
    </row>
    <row r="389" spans="1:19" s="59" customFormat="1" ht="96">
      <c r="A389" s="184" t="s">
        <v>863</v>
      </c>
      <c r="B389" s="145" t="s">
        <v>115</v>
      </c>
      <c r="C389" s="50" t="s">
        <v>373</v>
      </c>
      <c r="D389" s="59" t="s">
        <v>71</v>
      </c>
      <c r="E389" s="225">
        <v>1</v>
      </c>
      <c r="F389" s="262">
        <v>0</v>
      </c>
      <c r="G389" s="192">
        <f>E385*F389</f>
        <v>0</v>
      </c>
      <c r="H389" s="243"/>
      <c r="I389" s="244"/>
      <c r="J389" s="56"/>
      <c r="K389" s="55"/>
      <c r="L389" s="57"/>
      <c r="M389" s="55"/>
      <c r="N389" s="55"/>
      <c r="O389" s="62"/>
      <c r="P389" s="56"/>
      <c r="Q389" s="57"/>
      <c r="R389" s="55"/>
      <c r="S389" s="55"/>
    </row>
    <row r="390" spans="1:19" s="59" customFormat="1" ht="48">
      <c r="A390" s="184" t="s">
        <v>864</v>
      </c>
      <c r="B390" s="145" t="s">
        <v>116</v>
      </c>
      <c r="C390" s="65" t="s">
        <v>374</v>
      </c>
      <c r="D390" s="59" t="s">
        <v>71</v>
      </c>
      <c r="E390" s="225">
        <v>1</v>
      </c>
      <c r="F390" s="262">
        <v>0</v>
      </c>
      <c r="G390" s="189">
        <f>E390*F390</f>
        <v>0</v>
      </c>
      <c r="H390" s="243"/>
      <c r="I390" s="244"/>
      <c r="J390" s="56"/>
      <c r="K390" s="55"/>
      <c r="L390" s="57"/>
      <c r="M390" s="55"/>
      <c r="N390" s="55"/>
      <c r="O390" s="62"/>
      <c r="P390" s="56"/>
      <c r="Q390" s="57"/>
      <c r="R390" s="55"/>
      <c r="S390" s="55"/>
    </row>
    <row r="391" spans="1:19" s="59" customFormat="1" ht="48">
      <c r="A391" s="184" t="s">
        <v>865</v>
      </c>
      <c r="B391" s="145" t="s">
        <v>117</v>
      </c>
      <c r="C391" s="65" t="s">
        <v>375</v>
      </c>
      <c r="D391" s="59" t="s">
        <v>71</v>
      </c>
      <c r="E391" s="225">
        <v>1</v>
      </c>
      <c r="F391" s="262">
        <v>0</v>
      </c>
      <c r="G391" s="189">
        <f>E391*F391</f>
        <v>0</v>
      </c>
      <c r="H391" s="243"/>
      <c r="I391" s="244"/>
      <c r="J391" s="56"/>
      <c r="K391" s="55"/>
      <c r="L391" s="57"/>
      <c r="M391" s="55"/>
      <c r="N391" s="55"/>
      <c r="O391" s="62"/>
      <c r="P391" s="56"/>
      <c r="Q391" s="57"/>
      <c r="R391" s="55"/>
      <c r="S391" s="55"/>
    </row>
    <row r="392" spans="1:10" s="116" customFormat="1" ht="36">
      <c r="A392" s="184" t="s">
        <v>866</v>
      </c>
      <c r="B392" s="145">
        <v>998766100</v>
      </c>
      <c r="C392" s="66" t="s">
        <v>1097</v>
      </c>
      <c r="D392" s="59" t="s">
        <v>462</v>
      </c>
      <c r="E392" s="189">
        <f>SUM(G381:G391)</f>
        <v>0</v>
      </c>
      <c r="F392" s="263">
        <v>0</v>
      </c>
      <c r="G392" s="192">
        <f>E392*F392</f>
        <v>0</v>
      </c>
      <c r="H392" s="243"/>
      <c r="I392" s="244"/>
      <c r="J392" s="115"/>
    </row>
    <row r="393" spans="1:10" s="116" customFormat="1" ht="12">
      <c r="A393" s="184" t="s">
        <v>867</v>
      </c>
      <c r="B393" s="145"/>
      <c r="C393" s="66"/>
      <c r="D393" s="59"/>
      <c r="E393" s="226"/>
      <c r="F393" s="262"/>
      <c r="G393" s="192"/>
      <c r="H393" s="243"/>
      <c r="I393" s="244"/>
      <c r="J393" s="115"/>
    </row>
    <row r="394" spans="1:10" s="116" customFormat="1" ht="72" customHeight="1">
      <c r="A394" s="184" t="s">
        <v>868</v>
      </c>
      <c r="B394" s="162" t="s">
        <v>164</v>
      </c>
      <c r="C394" s="65" t="s">
        <v>1096</v>
      </c>
      <c r="D394" s="59"/>
      <c r="E394" s="226"/>
      <c r="F394" s="262"/>
      <c r="G394" s="192"/>
      <c r="H394" s="243"/>
      <c r="I394" s="244"/>
      <c r="J394" s="115"/>
    </row>
    <row r="395" spans="1:10" s="116" customFormat="1" ht="12">
      <c r="A395" s="184" t="s">
        <v>869</v>
      </c>
      <c r="B395" s="145"/>
      <c r="C395" s="67" t="s">
        <v>392</v>
      </c>
      <c r="D395" s="59"/>
      <c r="E395" s="226"/>
      <c r="F395" s="264"/>
      <c r="G395" s="192"/>
      <c r="H395" s="243"/>
      <c r="I395" s="244"/>
      <c r="J395" s="115"/>
    </row>
    <row r="396" spans="1:10" s="116" customFormat="1" ht="168.75" customHeight="1">
      <c r="A396" s="184" t="s">
        <v>870</v>
      </c>
      <c r="B396" s="145"/>
      <c r="C396" s="65" t="s">
        <v>394</v>
      </c>
      <c r="D396" s="95"/>
      <c r="E396" s="227"/>
      <c r="F396" s="262"/>
      <c r="G396" s="193"/>
      <c r="H396" s="243"/>
      <c r="I396" s="244"/>
      <c r="J396" s="115"/>
    </row>
    <row r="397" spans="1:10" s="116" customFormat="1" ht="12">
      <c r="A397" s="184" t="s">
        <v>871</v>
      </c>
      <c r="B397" s="145"/>
      <c r="C397" s="64" t="s">
        <v>383</v>
      </c>
      <c r="D397" s="95"/>
      <c r="E397" s="222"/>
      <c r="F397" s="256"/>
      <c r="G397" s="192"/>
      <c r="H397" s="243"/>
      <c r="I397" s="244"/>
      <c r="J397" s="115"/>
    </row>
    <row r="398" spans="1:10" s="116" customFormat="1" ht="12">
      <c r="A398" s="184" t="s">
        <v>872</v>
      </c>
      <c r="B398" s="162" t="s">
        <v>164</v>
      </c>
      <c r="C398" s="64" t="s">
        <v>387</v>
      </c>
      <c r="D398" s="95" t="s">
        <v>68</v>
      </c>
      <c r="E398" s="226">
        <v>2</v>
      </c>
      <c r="F398" s="256">
        <v>0</v>
      </c>
      <c r="G398" s="192">
        <f>E398*F398</f>
        <v>0</v>
      </c>
      <c r="H398" s="243"/>
      <c r="I398" s="244"/>
      <c r="J398" s="115"/>
    </row>
    <row r="399" spans="1:10" s="116" customFormat="1" ht="12">
      <c r="A399" s="184" t="s">
        <v>873</v>
      </c>
      <c r="B399" s="162" t="s">
        <v>164</v>
      </c>
      <c r="C399" s="66" t="s">
        <v>388</v>
      </c>
      <c r="D399" s="143" t="s">
        <v>68</v>
      </c>
      <c r="E399" s="216">
        <v>1</v>
      </c>
      <c r="F399" s="250">
        <v>0</v>
      </c>
      <c r="G399" s="194">
        <f>E399*F399</f>
        <v>0</v>
      </c>
      <c r="H399" s="243"/>
      <c r="I399" s="244"/>
      <c r="J399" s="115"/>
    </row>
    <row r="400" spans="1:10" s="116" customFormat="1" ht="12">
      <c r="A400" s="184" t="s">
        <v>874</v>
      </c>
      <c r="B400" s="145"/>
      <c r="C400" s="64" t="s">
        <v>384</v>
      </c>
      <c r="D400" s="95"/>
      <c r="E400" s="222"/>
      <c r="F400" s="256"/>
      <c r="G400" s="192"/>
      <c r="H400" s="243"/>
      <c r="I400" s="244"/>
      <c r="J400" s="115"/>
    </row>
    <row r="401" spans="1:10" s="116" customFormat="1" ht="12">
      <c r="A401" s="184" t="s">
        <v>875</v>
      </c>
      <c r="B401" s="162" t="s">
        <v>164</v>
      </c>
      <c r="C401" s="64" t="s">
        <v>387</v>
      </c>
      <c r="D401" s="95" t="s">
        <v>68</v>
      </c>
      <c r="E401" s="226">
        <v>2</v>
      </c>
      <c r="F401" s="256">
        <v>0</v>
      </c>
      <c r="G401" s="192">
        <f>E401*F401</f>
        <v>0</v>
      </c>
      <c r="H401" s="243"/>
      <c r="I401" s="244"/>
      <c r="J401" s="115"/>
    </row>
    <row r="402" spans="1:10" s="116" customFormat="1" ht="12">
      <c r="A402" s="184" t="s">
        <v>876</v>
      </c>
      <c r="B402" s="162" t="s">
        <v>164</v>
      </c>
      <c r="C402" s="64" t="s">
        <v>388</v>
      </c>
      <c r="D402" s="95" t="s">
        <v>68</v>
      </c>
      <c r="E402" s="226">
        <v>1</v>
      </c>
      <c r="F402" s="256">
        <v>0</v>
      </c>
      <c r="G402" s="192">
        <f>E402*F402</f>
        <v>0</v>
      </c>
      <c r="H402" s="243"/>
      <c r="I402" s="244"/>
      <c r="J402" s="115"/>
    </row>
    <row r="403" spans="1:10" s="116" customFormat="1" ht="12">
      <c r="A403" s="184" t="s">
        <v>877</v>
      </c>
      <c r="B403" s="145"/>
      <c r="C403" s="64" t="s">
        <v>385</v>
      </c>
      <c r="D403" s="95"/>
      <c r="E403" s="226"/>
      <c r="F403" s="256"/>
      <c r="G403" s="192"/>
      <c r="H403" s="243"/>
      <c r="I403" s="244"/>
      <c r="J403" s="115"/>
    </row>
    <row r="404" spans="1:10" s="116" customFormat="1" ht="12">
      <c r="A404" s="184" t="s">
        <v>878</v>
      </c>
      <c r="B404" s="162" t="s">
        <v>164</v>
      </c>
      <c r="C404" s="64" t="s">
        <v>389</v>
      </c>
      <c r="D404" s="95" t="s">
        <v>68</v>
      </c>
      <c r="E404" s="226">
        <v>2</v>
      </c>
      <c r="F404" s="256">
        <v>0</v>
      </c>
      <c r="G404" s="192">
        <f>F404*E404</f>
        <v>0</v>
      </c>
      <c r="H404" s="243"/>
      <c r="I404" s="244"/>
      <c r="J404" s="115"/>
    </row>
    <row r="405" spans="1:10" s="116" customFormat="1" ht="12">
      <c r="A405" s="184" t="s">
        <v>879</v>
      </c>
      <c r="B405" s="162" t="s">
        <v>164</v>
      </c>
      <c r="C405" s="64" t="s">
        <v>390</v>
      </c>
      <c r="D405" s="95" t="s">
        <v>68</v>
      </c>
      <c r="E405" s="226">
        <v>1</v>
      </c>
      <c r="F405" s="256">
        <v>0</v>
      </c>
      <c r="G405" s="192">
        <f>F405*E405</f>
        <v>0</v>
      </c>
      <c r="H405" s="243"/>
      <c r="I405" s="244"/>
      <c r="J405" s="115"/>
    </row>
    <row r="406" spans="1:10" s="116" customFormat="1" ht="12">
      <c r="A406" s="184" t="s">
        <v>880</v>
      </c>
      <c r="B406" s="145"/>
      <c r="C406" s="64" t="s">
        <v>386</v>
      </c>
      <c r="D406" s="95"/>
      <c r="E406" s="226"/>
      <c r="F406" s="256"/>
      <c r="G406" s="192"/>
      <c r="H406" s="243"/>
      <c r="I406" s="244"/>
      <c r="J406" s="115"/>
    </row>
    <row r="407" spans="1:10" s="116" customFormat="1" ht="12">
      <c r="A407" s="184" t="s">
        <v>881</v>
      </c>
      <c r="B407" s="162" t="s">
        <v>164</v>
      </c>
      <c r="C407" s="64" t="s">
        <v>387</v>
      </c>
      <c r="D407" s="95" t="s">
        <v>68</v>
      </c>
      <c r="E407" s="226">
        <v>2</v>
      </c>
      <c r="F407" s="256">
        <v>0</v>
      </c>
      <c r="G407" s="192">
        <f>E407*F407</f>
        <v>0</v>
      </c>
      <c r="H407" s="243"/>
      <c r="I407" s="244"/>
      <c r="J407" s="115"/>
    </row>
    <row r="408" spans="1:10" s="116" customFormat="1" ht="12">
      <c r="A408" s="184" t="s">
        <v>882</v>
      </c>
      <c r="B408" s="162" t="s">
        <v>164</v>
      </c>
      <c r="C408" s="64" t="s">
        <v>391</v>
      </c>
      <c r="D408" s="95" t="s">
        <v>68</v>
      </c>
      <c r="E408" s="226">
        <v>1</v>
      </c>
      <c r="F408" s="256">
        <v>0</v>
      </c>
      <c r="G408" s="192">
        <f>E408*F408</f>
        <v>0</v>
      </c>
      <c r="H408" s="243"/>
      <c r="I408" s="244"/>
      <c r="J408" s="115"/>
    </row>
    <row r="409" spans="1:10" s="116" customFormat="1" ht="36">
      <c r="A409" s="184" t="s">
        <v>883</v>
      </c>
      <c r="B409" s="145">
        <v>998766203</v>
      </c>
      <c r="C409" s="66" t="s">
        <v>1098</v>
      </c>
      <c r="D409" s="59" t="s">
        <v>462</v>
      </c>
      <c r="E409" s="189">
        <f>SUM(G398:G408)</f>
        <v>0</v>
      </c>
      <c r="F409" s="263">
        <v>0</v>
      </c>
      <c r="G409" s="192">
        <f>E409*F409</f>
        <v>0</v>
      </c>
      <c r="H409" s="243"/>
      <c r="I409" s="244"/>
      <c r="J409" s="115"/>
    </row>
    <row r="410" spans="1:10" s="116" customFormat="1" ht="12">
      <c r="A410" s="184" t="s">
        <v>884</v>
      </c>
      <c r="B410" s="145"/>
      <c r="C410" s="66"/>
      <c r="D410" s="59"/>
      <c r="E410" s="226"/>
      <c r="F410" s="263"/>
      <c r="G410" s="192"/>
      <c r="H410" s="243"/>
      <c r="I410" s="244"/>
      <c r="J410" s="115"/>
    </row>
    <row r="411" spans="1:10" s="116" customFormat="1" ht="12">
      <c r="A411" s="184" t="s">
        <v>885</v>
      </c>
      <c r="B411" s="145"/>
      <c r="C411" s="175" t="s">
        <v>495</v>
      </c>
      <c r="D411" s="52" t="s">
        <v>51</v>
      </c>
      <c r="E411" s="223" t="s">
        <v>31</v>
      </c>
      <c r="F411" s="262"/>
      <c r="G411" s="249">
        <f>SUM(G413:G415)</f>
        <v>0</v>
      </c>
      <c r="H411" s="243"/>
      <c r="I411" s="244"/>
      <c r="J411" s="115"/>
    </row>
    <row r="412" spans="1:10" s="116" customFormat="1" ht="24">
      <c r="A412" s="184" t="s">
        <v>886</v>
      </c>
      <c r="B412" s="173" t="s">
        <v>164</v>
      </c>
      <c r="C412" s="67" t="s">
        <v>393</v>
      </c>
      <c r="D412" s="59"/>
      <c r="E412" s="226"/>
      <c r="F412" s="262"/>
      <c r="G412" s="54"/>
      <c r="H412" s="243"/>
      <c r="I412" s="244"/>
      <c r="J412" s="115"/>
    </row>
    <row r="413" spans="1:10" s="116" customFormat="1" ht="24">
      <c r="A413" s="184" t="s">
        <v>887</v>
      </c>
      <c r="B413" s="145">
        <v>764246499</v>
      </c>
      <c r="C413" s="66" t="s">
        <v>494</v>
      </c>
      <c r="D413" s="59" t="s">
        <v>51</v>
      </c>
      <c r="E413" s="225">
        <v>4</v>
      </c>
      <c r="F413" s="262">
        <v>0</v>
      </c>
      <c r="G413" s="192">
        <f>E413*F413</f>
        <v>0</v>
      </c>
      <c r="H413" s="243"/>
      <c r="I413" s="244"/>
      <c r="J413" s="115"/>
    </row>
    <row r="414" spans="1:10" s="116" customFormat="1" ht="24">
      <c r="A414" s="184" t="s">
        <v>888</v>
      </c>
      <c r="B414" s="145">
        <v>764246409</v>
      </c>
      <c r="C414" s="66" t="s">
        <v>493</v>
      </c>
      <c r="D414" s="59" t="s">
        <v>51</v>
      </c>
      <c r="E414" s="225">
        <v>8</v>
      </c>
      <c r="F414" s="262">
        <v>0</v>
      </c>
      <c r="G414" s="192">
        <f>E414*F414</f>
        <v>0</v>
      </c>
      <c r="H414" s="243"/>
      <c r="I414" s="244"/>
      <c r="J414" s="115"/>
    </row>
    <row r="415" spans="1:10" s="116" customFormat="1" ht="12">
      <c r="A415" s="184" t="s">
        <v>889</v>
      </c>
      <c r="B415" s="145"/>
      <c r="C415" s="66" t="s">
        <v>178</v>
      </c>
      <c r="D415" s="59" t="s">
        <v>462</v>
      </c>
      <c r="E415" s="225">
        <f>G413+G414</f>
        <v>0</v>
      </c>
      <c r="F415" s="263">
        <v>0</v>
      </c>
      <c r="G415" s="192">
        <f>E415*F415</f>
        <v>0</v>
      </c>
      <c r="H415" s="243"/>
      <c r="I415" s="244"/>
      <c r="J415" s="115"/>
    </row>
    <row r="416" spans="1:10" s="116" customFormat="1" ht="12">
      <c r="A416" s="184" t="s">
        <v>890</v>
      </c>
      <c r="B416" s="145"/>
      <c r="C416" s="66"/>
      <c r="D416" s="59"/>
      <c r="E416" s="226"/>
      <c r="F416" s="262"/>
      <c r="G416" s="192"/>
      <c r="H416" s="243"/>
      <c r="I416" s="244"/>
      <c r="J416" s="115"/>
    </row>
    <row r="417" spans="1:9" ht="12.75">
      <c r="A417" s="184" t="s">
        <v>891</v>
      </c>
      <c r="B417" s="173"/>
      <c r="C417" s="157" t="s">
        <v>496</v>
      </c>
      <c r="D417" s="123" t="s">
        <v>51</v>
      </c>
      <c r="E417" s="54" t="s">
        <v>31</v>
      </c>
      <c r="F417" s="262"/>
      <c r="G417" s="249">
        <f>SUM(G418:G423)</f>
        <v>0</v>
      </c>
      <c r="H417" s="243"/>
      <c r="I417" s="244"/>
    </row>
    <row r="418" spans="1:9" ht="25.5">
      <c r="A418" s="184" t="s">
        <v>892</v>
      </c>
      <c r="B418" s="173">
        <v>784181003</v>
      </c>
      <c r="C418" s="178" t="s">
        <v>497</v>
      </c>
      <c r="D418" s="123" t="s">
        <v>58</v>
      </c>
      <c r="E418" s="189">
        <v>290</v>
      </c>
      <c r="F418" s="262">
        <v>0</v>
      </c>
      <c r="G418" s="192">
        <f aca="true" t="shared" si="5" ref="G418:G423">E418*F418</f>
        <v>0</v>
      </c>
      <c r="H418" s="243"/>
      <c r="I418" s="244"/>
    </row>
    <row r="419" spans="1:9" ht="25.5">
      <c r="A419" s="184" t="s">
        <v>893</v>
      </c>
      <c r="B419" s="173">
        <v>784181101</v>
      </c>
      <c r="C419" s="176" t="s">
        <v>498</v>
      </c>
      <c r="D419" s="123" t="s">
        <v>58</v>
      </c>
      <c r="E419" s="189">
        <f>E418</f>
        <v>290</v>
      </c>
      <c r="F419" s="262">
        <v>0</v>
      </c>
      <c r="G419" s="192">
        <f t="shared" si="5"/>
        <v>0</v>
      </c>
      <c r="H419" s="243"/>
      <c r="I419" s="244"/>
    </row>
    <row r="420" spans="1:9" ht="25.5">
      <c r="A420" s="184" t="s">
        <v>894</v>
      </c>
      <c r="B420" s="173">
        <v>784171111</v>
      </c>
      <c r="C420" s="176" t="s">
        <v>499</v>
      </c>
      <c r="D420" s="123" t="s">
        <v>58</v>
      </c>
      <c r="E420" s="189">
        <v>85</v>
      </c>
      <c r="F420" s="262">
        <v>0</v>
      </c>
      <c r="G420" s="192">
        <f t="shared" si="5"/>
        <v>0</v>
      </c>
      <c r="H420" s="243"/>
      <c r="I420" s="244"/>
    </row>
    <row r="421" spans="1:9" ht="12.75">
      <c r="A421" s="184" t="s">
        <v>895</v>
      </c>
      <c r="B421" s="173">
        <v>784171101</v>
      </c>
      <c r="C421" s="176" t="s">
        <v>500</v>
      </c>
      <c r="D421" s="123" t="s">
        <v>58</v>
      </c>
      <c r="E421" s="189">
        <v>70</v>
      </c>
      <c r="F421" s="262">
        <v>0</v>
      </c>
      <c r="G421" s="192">
        <f t="shared" si="5"/>
        <v>0</v>
      </c>
      <c r="H421" s="243"/>
      <c r="I421" s="244"/>
    </row>
    <row r="422" spans="1:9" ht="25.5">
      <c r="A422" s="184" t="s">
        <v>896</v>
      </c>
      <c r="B422" s="173">
        <v>784161001</v>
      </c>
      <c r="C422" s="176" t="s">
        <v>501</v>
      </c>
      <c r="D422" s="123" t="s">
        <v>59</v>
      </c>
      <c r="E422" s="189">
        <f>4*4*4</f>
        <v>64</v>
      </c>
      <c r="F422" s="262">
        <v>0</v>
      </c>
      <c r="G422" s="192">
        <f t="shared" si="5"/>
        <v>0</v>
      </c>
      <c r="H422" s="243"/>
      <c r="I422" s="244"/>
    </row>
    <row r="423" spans="1:9" ht="25.5">
      <c r="A423" s="184" t="s">
        <v>897</v>
      </c>
      <c r="B423" s="161">
        <v>784331001</v>
      </c>
      <c r="C423" s="177" t="s">
        <v>502</v>
      </c>
      <c r="D423" s="123" t="s">
        <v>58</v>
      </c>
      <c r="E423" s="189">
        <v>290</v>
      </c>
      <c r="F423" s="262">
        <v>0</v>
      </c>
      <c r="G423" s="192">
        <f t="shared" si="5"/>
        <v>0</v>
      </c>
      <c r="H423" s="243"/>
      <c r="I423" s="244"/>
    </row>
    <row r="424" spans="1:9" ht="12">
      <c r="A424" s="184" t="s">
        <v>898</v>
      </c>
      <c r="B424" s="145"/>
      <c r="C424" s="65" t="s">
        <v>363</v>
      </c>
      <c r="D424" s="95" t="s">
        <v>58</v>
      </c>
      <c r="E424" s="196">
        <v>72.65</v>
      </c>
      <c r="F424" s="265"/>
      <c r="G424" s="97"/>
      <c r="H424" s="95"/>
      <c r="I424" s="195"/>
    </row>
    <row r="425" spans="1:10" s="66" customFormat="1" ht="12">
      <c r="A425" s="184" t="s">
        <v>899</v>
      </c>
      <c r="B425" s="145"/>
      <c r="C425" s="65" t="s">
        <v>364</v>
      </c>
      <c r="D425" s="95" t="s">
        <v>58</v>
      </c>
      <c r="E425" s="196">
        <v>13.55</v>
      </c>
      <c r="F425" s="265"/>
      <c r="G425" s="97"/>
      <c r="H425" s="95"/>
      <c r="I425" s="195"/>
      <c r="J425" s="79"/>
    </row>
    <row r="426" spans="1:9" ht="12">
      <c r="A426" s="184" t="s">
        <v>900</v>
      </c>
      <c r="B426" s="145"/>
      <c r="C426" s="65" t="s">
        <v>365</v>
      </c>
      <c r="D426" s="95" t="s">
        <v>58</v>
      </c>
      <c r="E426" s="196">
        <v>69.19</v>
      </c>
      <c r="F426" s="265"/>
      <c r="G426" s="195"/>
      <c r="H426" s="95"/>
      <c r="I426" s="210"/>
    </row>
    <row r="427" spans="1:10" s="66" customFormat="1" ht="12">
      <c r="A427" s="184" t="s">
        <v>901</v>
      </c>
      <c r="B427" s="145"/>
      <c r="C427" s="65" t="s">
        <v>366</v>
      </c>
      <c r="D427" s="95" t="s">
        <v>58</v>
      </c>
      <c r="E427" s="196">
        <v>62.02</v>
      </c>
      <c r="F427" s="265"/>
      <c r="G427" s="196"/>
      <c r="H427" s="95"/>
      <c r="I427" s="210"/>
      <c r="J427" s="79"/>
    </row>
    <row r="428" spans="1:9" ht="12">
      <c r="A428" s="184" t="s">
        <v>902</v>
      </c>
      <c r="B428" s="145"/>
      <c r="C428" s="65" t="s">
        <v>367</v>
      </c>
      <c r="D428" s="95" t="s">
        <v>58</v>
      </c>
      <c r="E428" s="196">
        <v>53.93</v>
      </c>
      <c r="F428" s="265"/>
      <c r="G428" s="196"/>
      <c r="H428" s="95"/>
      <c r="I428" s="210"/>
    </row>
    <row r="429" spans="1:10" s="66" customFormat="1" ht="12">
      <c r="A429" s="184" t="s">
        <v>903</v>
      </c>
      <c r="B429" s="145"/>
      <c r="C429" s="65" t="s">
        <v>368</v>
      </c>
      <c r="D429" s="95" t="s">
        <v>58</v>
      </c>
      <c r="E429" s="196">
        <v>18.72</v>
      </c>
      <c r="F429" s="265"/>
      <c r="G429" s="196"/>
      <c r="H429" s="95"/>
      <c r="I429" s="210"/>
      <c r="J429" s="79"/>
    </row>
    <row r="430" spans="1:10" s="66" customFormat="1" ht="12">
      <c r="A430" s="184" t="s">
        <v>904</v>
      </c>
      <c r="B430" s="161"/>
      <c r="C430" s="138"/>
      <c r="D430" s="139"/>
      <c r="E430" s="228"/>
      <c r="F430" s="266"/>
      <c r="G430" s="192"/>
      <c r="H430" s="243"/>
      <c r="I430" s="244"/>
      <c r="J430" s="79"/>
    </row>
    <row r="431" spans="1:10" s="66" customFormat="1" ht="12">
      <c r="A431" s="184" t="s">
        <v>905</v>
      </c>
      <c r="B431" s="161"/>
      <c r="C431" s="138"/>
      <c r="D431" s="139"/>
      <c r="E431" s="228"/>
      <c r="F431" s="266"/>
      <c r="G431" s="192"/>
      <c r="H431" s="243"/>
      <c r="I431" s="244"/>
      <c r="J431" s="79"/>
    </row>
    <row r="432" spans="1:19" s="125" customFormat="1" ht="15">
      <c r="A432" s="184" t="s">
        <v>906</v>
      </c>
      <c r="B432" s="145"/>
      <c r="C432" s="51" t="s">
        <v>73</v>
      </c>
      <c r="D432" s="99" t="s">
        <v>51</v>
      </c>
      <c r="E432" s="207" t="s">
        <v>31</v>
      </c>
      <c r="F432" s="256"/>
      <c r="G432" s="248">
        <f>SUM(G436:G477)</f>
        <v>0</v>
      </c>
      <c r="H432" s="235"/>
      <c r="I432" s="190"/>
      <c r="J432" s="127"/>
      <c r="K432" s="127"/>
      <c r="L432" s="128"/>
      <c r="M432" s="126"/>
      <c r="N432" s="126"/>
      <c r="O432" s="129"/>
      <c r="P432" s="127"/>
      <c r="Q432" s="128"/>
      <c r="R432" s="126"/>
      <c r="S432" s="126"/>
    </row>
    <row r="433" spans="1:19" s="125" customFormat="1" ht="15">
      <c r="A433" s="184" t="s">
        <v>907</v>
      </c>
      <c r="B433" s="145"/>
      <c r="C433" s="65"/>
      <c r="D433" s="95"/>
      <c r="E433" s="195"/>
      <c r="F433" s="256"/>
      <c r="G433" s="189"/>
      <c r="H433" s="235"/>
      <c r="I433" s="190"/>
      <c r="J433" s="127"/>
      <c r="K433" s="127"/>
      <c r="L433" s="128"/>
      <c r="M433" s="126"/>
      <c r="N433" s="126"/>
      <c r="O433" s="129"/>
      <c r="P433" s="127"/>
      <c r="Q433" s="128"/>
      <c r="R433" s="126"/>
      <c r="S433" s="126"/>
    </row>
    <row r="434" spans="1:19" s="125" customFormat="1" ht="15">
      <c r="A434" s="184" t="s">
        <v>908</v>
      </c>
      <c r="B434" s="145"/>
      <c r="C434" s="51" t="s">
        <v>163</v>
      </c>
      <c r="D434" s="95"/>
      <c r="E434" s="195"/>
      <c r="F434" s="256"/>
      <c r="G434" s="189"/>
      <c r="H434" s="235"/>
      <c r="I434" s="190"/>
      <c r="J434" s="127"/>
      <c r="K434" s="127"/>
      <c r="L434" s="128"/>
      <c r="M434" s="126"/>
      <c r="N434" s="126"/>
      <c r="O434" s="129"/>
      <c r="P434" s="127"/>
      <c r="Q434" s="128"/>
      <c r="R434" s="126"/>
      <c r="S434" s="126"/>
    </row>
    <row r="435" spans="1:19" s="125" customFormat="1" ht="15">
      <c r="A435" s="184" t="s">
        <v>909</v>
      </c>
      <c r="B435" s="145"/>
      <c r="C435" s="65" t="s">
        <v>161</v>
      </c>
      <c r="D435" s="95"/>
      <c r="E435" s="195"/>
      <c r="F435" s="256"/>
      <c r="G435" s="189"/>
      <c r="H435" s="235"/>
      <c r="I435" s="190"/>
      <c r="J435" s="127"/>
      <c r="K435" s="127"/>
      <c r="L435" s="128"/>
      <c r="M435" s="126"/>
      <c r="N435" s="126"/>
      <c r="O435" s="129"/>
      <c r="P435" s="127"/>
      <c r="Q435" s="128"/>
      <c r="R435" s="126"/>
      <c r="S435" s="126"/>
    </row>
    <row r="436" spans="1:19" s="125" customFormat="1" ht="24.75">
      <c r="A436" s="184" t="s">
        <v>910</v>
      </c>
      <c r="B436" s="162" t="s">
        <v>507</v>
      </c>
      <c r="C436" s="65" t="s">
        <v>503</v>
      </c>
      <c r="D436" s="114" t="s">
        <v>59</v>
      </c>
      <c r="E436" s="196">
        <v>20.5</v>
      </c>
      <c r="F436" s="262">
        <v>0</v>
      </c>
      <c r="G436" s="192">
        <f aca="true" t="shared" si="6" ref="G436:G442">E436*F436</f>
        <v>0</v>
      </c>
      <c r="H436" s="235"/>
      <c r="I436" s="190"/>
      <c r="J436" s="127"/>
      <c r="K436" s="127"/>
      <c r="L436" s="128"/>
      <c r="M436" s="126"/>
      <c r="N436" s="126"/>
      <c r="O436" s="129"/>
      <c r="P436" s="127"/>
      <c r="Q436" s="128"/>
      <c r="R436" s="126"/>
      <c r="S436" s="126"/>
    </row>
    <row r="437" spans="1:19" s="125" customFormat="1" ht="24.75">
      <c r="A437" s="184" t="s">
        <v>911</v>
      </c>
      <c r="B437" s="162" t="s">
        <v>508</v>
      </c>
      <c r="C437" s="65" t="s">
        <v>504</v>
      </c>
      <c r="D437" s="114" t="s">
        <v>59</v>
      </c>
      <c r="E437" s="196">
        <v>7.5</v>
      </c>
      <c r="F437" s="262">
        <v>0</v>
      </c>
      <c r="G437" s="192">
        <f t="shared" si="6"/>
        <v>0</v>
      </c>
      <c r="H437" s="235"/>
      <c r="I437" s="190"/>
      <c r="J437" s="127"/>
      <c r="K437" s="127"/>
      <c r="L437" s="128"/>
      <c r="M437" s="126"/>
      <c r="N437" s="126"/>
      <c r="O437" s="129"/>
      <c r="P437" s="127"/>
      <c r="Q437" s="128"/>
      <c r="R437" s="126"/>
      <c r="S437" s="126"/>
    </row>
    <row r="438" spans="1:19" s="125" customFormat="1" ht="24.75">
      <c r="A438" s="184" t="s">
        <v>912</v>
      </c>
      <c r="B438" s="162" t="s">
        <v>509</v>
      </c>
      <c r="C438" s="65" t="s">
        <v>505</v>
      </c>
      <c r="D438" s="114" t="s">
        <v>59</v>
      </c>
      <c r="E438" s="196">
        <v>12.5</v>
      </c>
      <c r="F438" s="262">
        <v>0</v>
      </c>
      <c r="G438" s="192">
        <f t="shared" si="6"/>
        <v>0</v>
      </c>
      <c r="H438" s="235"/>
      <c r="I438" s="190"/>
      <c r="J438" s="127"/>
      <c r="K438" s="127"/>
      <c r="L438" s="128"/>
      <c r="M438" s="126"/>
      <c r="N438" s="126"/>
      <c r="O438" s="129"/>
      <c r="P438" s="127"/>
      <c r="Q438" s="128"/>
      <c r="R438" s="126"/>
      <c r="S438" s="126"/>
    </row>
    <row r="439" spans="1:19" s="125" customFormat="1" ht="24.75">
      <c r="A439" s="184" t="s">
        <v>913</v>
      </c>
      <c r="B439" s="162" t="s">
        <v>510</v>
      </c>
      <c r="C439" s="65" t="s">
        <v>506</v>
      </c>
      <c r="D439" s="114" t="s">
        <v>59</v>
      </c>
      <c r="E439" s="196">
        <v>46</v>
      </c>
      <c r="F439" s="262">
        <v>0</v>
      </c>
      <c r="G439" s="192">
        <f t="shared" si="6"/>
        <v>0</v>
      </c>
      <c r="H439" s="239"/>
      <c r="I439" s="190"/>
      <c r="J439" s="127"/>
      <c r="K439" s="127"/>
      <c r="L439" s="128"/>
      <c r="M439" s="126"/>
      <c r="N439" s="126"/>
      <c r="O439" s="129"/>
      <c r="P439" s="127"/>
      <c r="Q439" s="128"/>
      <c r="R439" s="126"/>
      <c r="S439" s="126"/>
    </row>
    <row r="440" spans="1:19" s="125" customFormat="1" ht="15">
      <c r="A440" s="184" t="s">
        <v>914</v>
      </c>
      <c r="B440" s="162" t="s">
        <v>164</v>
      </c>
      <c r="C440" s="65" t="s">
        <v>212</v>
      </c>
      <c r="D440" s="114" t="s">
        <v>71</v>
      </c>
      <c r="E440" s="196">
        <v>2</v>
      </c>
      <c r="F440" s="262">
        <v>0</v>
      </c>
      <c r="G440" s="192">
        <f t="shared" si="6"/>
        <v>0</v>
      </c>
      <c r="H440" s="235"/>
      <c r="I440" s="190"/>
      <c r="J440" s="127"/>
      <c r="K440" s="127"/>
      <c r="L440" s="128"/>
      <c r="M440" s="126"/>
      <c r="N440" s="126"/>
      <c r="O440" s="129"/>
      <c r="P440" s="127"/>
      <c r="Q440" s="128"/>
      <c r="R440" s="126"/>
      <c r="S440" s="126"/>
    </row>
    <row r="441" spans="1:19" s="125" customFormat="1" ht="24.75">
      <c r="A441" s="184" t="s">
        <v>915</v>
      </c>
      <c r="B441" s="162">
        <v>721290112</v>
      </c>
      <c r="C441" s="65" t="s">
        <v>511</v>
      </c>
      <c r="D441" s="114" t="s">
        <v>59</v>
      </c>
      <c r="E441" s="196">
        <v>85.5</v>
      </c>
      <c r="F441" s="262">
        <v>0</v>
      </c>
      <c r="G441" s="192">
        <f t="shared" si="6"/>
        <v>0</v>
      </c>
      <c r="H441" s="235"/>
      <c r="I441" s="190"/>
      <c r="J441" s="127"/>
      <c r="K441" s="127"/>
      <c r="L441" s="128"/>
      <c r="M441" s="126"/>
      <c r="N441" s="126"/>
      <c r="O441" s="129"/>
      <c r="P441" s="127"/>
      <c r="Q441" s="128"/>
      <c r="R441" s="126"/>
      <c r="S441" s="126"/>
    </row>
    <row r="442" spans="1:19" s="125" customFormat="1" ht="15">
      <c r="A442" s="184" t="s">
        <v>916</v>
      </c>
      <c r="B442" s="145">
        <v>998721203</v>
      </c>
      <c r="C442" s="65" t="s">
        <v>162</v>
      </c>
      <c r="D442" s="95" t="s">
        <v>462</v>
      </c>
      <c r="E442" s="189">
        <f>SUM(G436:G441)</f>
        <v>0</v>
      </c>
      <c r="F442" s="256">
        <v>0</v>
      </c>
      <c r="G442" s="189">
        <f t="shared" si="6"/>
        <v>0</v>
      </c>
      <c r="H442" s="245"/>
      <c r="I442" s="246"/>
      <c r="J442" s="127"/>
      <c r="K442" s="127"/>
      <c r="L442" s="128"/>
      <c r="M442" s="126"/>
      <c r="N442" s="126"/>
      <c r="O442" s="129"/>
      <c r="P442" s="127"/>
      <c r="Q442" s="128"/>
      <c r="R442" s="126"/>
      <c r="S442" s="126"/>
    </row>
    <row r="443" spans="1:19" s="125" customFormat="1" ht="15">
      <c r="A443" s="184" t="s">
        <v>917</v>
      </c>
      <c r="B443" s="145"/>
      <c r="C443" s="65"/>
      <c r="D443" s="95"/>
      <c r="E443" s="195"/>
      <c r="F443" s="256"/>
      <c r="G443" s="189"/>
      <c r="H443" s="245"/>
      <c r="I443" s="246"/>
      <c r="J443" s="127"/>
      <c r="K443" s="127"/>
      <c r="L443" s="128"/>
      <c r="M443" s="126"/>
      <c r="N443" s="126"/>
      <c r="O443" s="129"/>
      <c r="P443" s="127"/>
      <c r="Q443" s="128"/>
      <c r="R443" s="126"/>
      <c r="S443" s="126"/>
    </row>
    <row r="444" spans="1:19" s="125" customFormat="1" ht="15">
      <c r="A444" s="184" t="s">
        <v>918</v>
      </c>
      <c r="B444" s="145"/>
      <c r="C444" s="51" t="s">
        <v>144</v>
      </c>
      <c r="D444" s="99"/>
      <c r="E444" s="207"/>
      <c r="F444" s="256"/>
      <c r="G444" s="54"/>
      <c r="H444" s="245"/>
      <c r="I444" s="246"/>
      <c r="J444" s="127"/>
      <c r="K444" s="127"/>
      <c r="L444" s="128"/>
      <c r="M444" s="126"/>
      <c r="N444" s="126"/>
      <c r="O444" s="129"/>
      <c r="P444" s="127"/>
      <c r="Q444" s="128"/>
      <c r="R444" s="126"/>
      <c r="S444" s="126"/>
    </row>
    <row r="445" spans="1:19" s="125" customFormat="1" ht="15">
      <c r="A445" s="184" t="s">
        <v>919</v>
      </c>
      <c r="B445" s="162" t="s">
        <v>164</v>
      </c>
      <c r="C445" s="65" t="s">
        <v>148</v>
      </c>
      <c r="D445" s="95"/>
      <c r="E445" s="195"/>
      <c r="F445" s="256"/>
      <c r="G445" s="189"/>
      <c r="H445" s="245"/>
      <c r="I445" s="246"/>
      <c r="J445" s="127"/>
      <c r="K445" s="127"/>
      <c r="L445" s="128"/>
      <c r="M445" s="126"/>
      <c r="N445" s="126"/>
      <c r="O445" s="129"/>
      <c r="P445" s="127"/>
      <c r="Q445" s="128"/>
      <c r="R445" s="126"/>
      <c r="S445" s="126"/>
    </row>
    <row r="446" spans="1:19" s="125" customFormat="1" ht="15">
      <c r="A446" s="184" t="s">
        <v>920</v>
      </c>
      <c r="B446" s="162">
        <v>722173113</v>
      </c>
      <c r="C446" s="65" t="s">
        <v>213</v>
      </c>
      <c r="D446" s="95" t="s">
        <v>59</v>
      </c>
      <c r="E446" s="195">
        <v>123</v>
      </c>
      <c r="F446" s="256">
        <v>0</v>
      </c>
      <c r="G446" s="189">
        <f>E446*F446</f>
        <v>0</v>
      </c>
      <c r="H446" s="245"/>
      <c r="I446" s="246"/>
      <c r="J446" s="127"/>
      <c r="K446" s="127"/>
      <c r="L446" s="128"/>
      <c r="M446" s="126"/>
      <c r="N446" s="126"/>
      <c r="O446" s="129"/>
      <c r="P446" s="127"/>
      <c r="Q446" s="128"/>
      <c r="R446" s="126"/>
      <c r="S446" s="126"/>
    </row>
    <row r="447" spans="1:19" s="125" customFormat="1" ht="15">
      <c r="A447" s="184" t="s">
        <v>921</v>
      </c>
      <c r="B447" s="162"/>
      <c r="C447" s="65" t="s">
        <v>214</v>
      </c>
      <c r="D447" s="95"/>
      <c r="E447" s="195"/>
      <c r="F447" s="256"/>
      <c r="G447" s="189"/>
      <c r="H447" s="245"/>
      <c r="I447" s="246"/>
      <c r="J447" s="127"/>
      <c r="K447" s="127"/>
      <c r="L447" s="128"/>
      <c r="M447" s="126"/>
      <c r="N447" s="126"/>
      <c r="O447" s="129"/>
      <c r="P447" s="127"/>
      <c r="Q447" s="128"/>
      <c r="R447" s="126"/>
      <c r="S447" s="126"/>
    </row>
    <row r="448" spans="1:19" s="125" customFormat="1" ht="15">
      <c r="A448" s="184" t="s">
        <v>922</v>
      </c>
      <c r="B448" s="162">
        <v>722173113</v>
      </c>
      <c r="C448" s="65" t="s">
        <v>149</v>
      </c>
      <c r="D448" s="95" t="s">
        <v>59</v>
      </c>
      <c r="E448" s="195">
        <v>46</v>
      </c>
      <c r="F448" s="256">
        <v>0</v>
      </c>
      <c r="G448" s="189">
        <f aca="true" t="shared" si="7" ref="G448:G457">E448*F448</f>
        <v>0</v>
      </c>
      <c r="H448" s="245"/>
      <c r="I448" s="246"/>
      <c r="J448" s="127"/>
      <c r="K448" s="127"/>
      <c r="L448" s="128"/>
      <c r="M448" s="126"/>
      <c r="N448" s="126"/>
      <c r="O448" s="129"/>
      <c r="P448" s="127"/>
      <c r="Q448" s="128"/>
      <c r="R448" s="126"/>
      <c r="S448" s="126"/>
    </row>
    <row r="449" spans="1:19" s="125" customFormat="1" ht="15">
      <c r="A449" s="184" t="s">
        <v>923</v>
      </c>
      <c r="B449" s="162">
        <v>722173114</v>
      </c>
      <c r="C449" s="65" t="s">
        <v>150</v>
      </c>
      <c r="D449" s="95" t="s">
        <v>59</v>
      </c>
      <c r="E449" s="195">
        <v>54</v>
      </c>
      <c r="F449" s="256">
        <v>0</v>
      </c>
      <c r="G449" s="189">
        <f t="shared" si="7"/>
        <v>0</v>
      </c>
      <c r="H449" s="245"/>
      <c r="I449" s="246"/>
      <c r="J449" s="127"/>
      <c r="K449" s="127"/>
      <c r="L449" s="128"/>
      <c r="M449" s="126"/>
      <c r="N449" s="126"/>
      <c r="O449" s="129"/>
      <c r="P449" s="127"/>
      <c r="Q449" s="128"/>
      <c r="R449" s="126"/>
      <c r="S449" s="126"/>
    </row>
    <row r="450" spans="1:19" s="125" customFormat="1" ht="15">
      <c r="A450" s="184" t="s">
        <v>924</v>
      </c>
      <c r="B450" s="162">
        <v>722173115</v>
      </c>
      <c r="C450" s="65" t="s">
        <v>151</v>
      </c>
      <c r="D450" s="95" t="s">
        <v>59</v>
      </c>
      <c r="E450" s="195">
        <v>28</v>
      </c>
      <c r="F450" s="256">
        <v>0</v>
      </c>
      <c r="G450" s="189">
        <f t="shared" si="7"/>
        <v>0</v>
      </c>
      <c r="H450" s="245"/>
      <c r="I450" s="246"/>
      <c r="J450" s="127"/>
      <c r="K450" s="127"/>
      <c r="L450" s="128"/>
      <c r="M450" s="126"/>
      <c r="N450" s="126"/>
      <c r="O450" s="129"/>
      <c r="P450" s="127"/>
      <c r="Q450" s="128"/>
      <c r="R450" s="126"/>
      <c r="S450" s="126"/>
    </row>
    <row r="451" spans="1:19" s="125" customFormat="1" ht="15">
      <c r="A451" s="184" t="s">
        <v>925</v>
      </c>
      <c r="B451" s="162">
        <v>722173116</v>
      </c>
      <c r="C451" s="65" t="s">
        <v>152</v>
      </c>
      <c r="D451" s="95" t="s">
        <v>59</v>
      </c>
      <c r="E451" s="195">
        <v>10</v>
      </c>
      <c r="F451" s="256">
        <v>0</v>
      </c>
      <c r="G451" s="189">
        <f t="shared" si="7"/>
        <v>0</v>
      </c>
      <c r="H451" s="245"/>
      <c r="I451" s="246"/>
      <c r="J451" s="127"/>
      <c r="K451" s="127"/>
      <c r="L451" s="128"/>
      <c r="M451" s="126"/>
      <c r="N451" s="126"/>
      <c r="O451" s="129"/>
      <c r="P451" s="127"/>
      <c r="Q451" s="128"/>
      <c r="R451" s="126"/>
      <c r="S451" s="126"/>
    </row>
    <row r="452" spans="1:19" s="125" customFormat="1" ht="24.75">
      <c r="A452" s="184" t="s">
        <v>926</v>
      </c>
      <c r="B452" s="162">
        <v>722181222</v>
      </c>
      <c r="C452" s="65" t="s">
        <v>215</v>
      </c>
      <c r="D452" s="95" t="s">
        <v>59</v>
      </c>
      <c r="E452" s="195">
        <v>122</v>
      </c>
      <c r="F452" s="256">
        <v>0</v>
      </c>
      <c r="G452" s="189">
        <f t="shared" si="7"/>
        <v>0</v>
      </c>
      <c r="H452" s="245"/>
      <c r="I452" s="246"/>
      <c r="J452" s="127"/>
      <c r="K452" s="127"/>
      <c r="L452" s="128"/>
      <c r="M452" s="126"/>
      <c r="N452" s="126"/>
      <c r="O452" s="129"/>
      <c r="P452" s="127"/>
      <c r="Q452" s="128"/>
      <c r="R452" s="126"/>
      <c r="S452" s="126"/>
    </row>
    <row r="453" spans="1:19" s="125" customFormat="1" ht="15">
      <c r="A453" s="184" t="s">
        <v>927</v>
      </c>
      <c r="B453" s="162" t="s">
        <v>514</v>
      </c>
      <c r="C453" s="65" t="s">
        <v>512</v>
      </c>
      <c r="D453" s="95" t="s">
        <v>59</v>
      </c>
      <c r="E453" s="195">
        <v>165</v>
      </c>
      <c r="F453" s="256">
        <v>0</v>
      </c>
      <c r="G453" s="189">
        <f t="shared" si="7"/>
        <v>0</v>
      </c>
      <c r="H453" s="245"/>
      <c r="I453" s="246"/>
      <c r="J453" s="127"/>
      <c r="K453" s="127"/>
      <c r="L453" s="128"/>
      <c r="M453" s="126"/>
      <c r="N453" s="126"/>
      <c r="O453" s="129"/>
      <c r="P453" s="127"/>
      <c r="Q453" s="128"/>
      <c r="R453" s="126"/>
      <c r="S453" s="126"/>
    </row>
    <row r="454" spans="1:19" s="125" customFormat="1" ht="15">
      <c r="A454" s="184" t="s">
        <v>928</v>
      </c>
      <c r="B454" s="162" t="s">
        <v>513</v>
      </c>
      <c r="C454" s="65" t="s">
        <v>185</v>
      </c>
      <c r="D454" s="95" t="s">
        <v>71</v>
      </c>
      <c r="E454" s="195">
        <v>16</v>
      </c>
      <c r="F454" s="256">
        <v>0</v>
      </c>
      <c r="G454" s="189">
        <f t="shared" si="7"/>
        <v>0</v>
      </c>
      <c r="H454" s="245"/>
      <c r="I454" s="246"/>
      <c r="J454" s="127"/>
      <c r="K454" s="127"/>
      <c r="L454" s="128"/>
      <c r="M454" s="126"/>
      <c r="N454" s="126"/>
      <c r="O454" s="129"/>
      <c r="P454" s="127"/>
      <c r="Q454" s="128"/>
      <c r="R454" s="126"/>
      <c r="S454" s="126"/>
    </row>
    <row r="455" spans="1:19" s="125" customFormat="1" ht="15">
      <c r="A455" s="184" t="s">
        <v>929</v>
      </c>
      <c r="B455" s="162" t="s">
        <v>513</v>
      </c>
      <c r="C455" s="65" t="s">
        <v>153</v>
      </c>
      <c r="D455" s="95" t="s">
        <v>71</v>
      </c>
      <c r="E455" s="195">
        <v>39</v>
      </c>
      <c r="F455" s="256">
        <v>0</v>
      </c>
      <c r="G455" s="189">
        <f t="shared" si="7"/>
        <v>0</v>
      </c>
      <c r="H455" s="245"/>
      <c r="I455" s="246"/>
      <c r="J455" s="127"/>
      <c r="K455" s="127"/>
      <c r="L455" s="128"/>
      <c r="M455" s="126"/>
      <c r="N455" s="126"/>
      <c r="O455" s="129"/>
      <c r="P455" s="127"/>
      <c r="Q455" s="128"/>
      <c r="R455" s="126"/>
      <c r="S455" s="126"/>
    </row>
    <row r="456" spans="1:19" s="125" customFormat="1" ht="24.75">
      <c r="A456" s="184" t="s">
        <v>930</v>
      </c>
      <c r="B456" s="162">
        <v>722290226</v>
      </c>
      <c r="C456" s="65" t="s">
        <v>515</v>
      </c>
      <c r="D456" s="114" t="s">
        <v>59</v>
      </c>
      <c r="E456" s="195">
        <f>SUM(E448:E451)+E446</f>
        <v>261</v>
      </c>
      <c r="F456" s="256">
        <v>0</v>
      </c>
      <c r="G456" s="189">
        <f t="shared" si="7"/>
        <v>0</v>
      </c>
      <c r="H456" s="245"/>
      <c r="I456" s="246"/>
      <c r="J456" s="127"/>
      <c r="K456" s="127"/>
      <c r="L456" s="128"/>
      <c r="M456" s="126"/>
      <c r="N456" s="126"/>
      <c r="O456" s="129"/>
      <c r="P456" s="127"/>
      <c r="Q456" s="128"/>
      <c r="R456" s="126"/>
      <c r="S456" s="126"/>
    </row>
    <row r="457" spans="1:19" s="125" customFormat="1" ht="15">
      <c r="A457" s="184" t="s">
        <v>931</v>
      </c>
      <c r="B457" s="162">
        <v>722290234</v>
      </c>
      <c r="C457" s="65" t="s">
        <v>516</v>
      </c>
      <c r="D457" s="114" t="s">
        <v>59</v>
      </c>
      <c r="E457" s="195">
        <f>E456</f>
        <v>261</v>
      </c>
      <c r="F457" s="256">
        <v>0</v>
      </c>
      <c r="G457" s="189">
        <f t="shared" si="7"/>
        <v>0</v>
      </c>
      <c r="H457" s="245"/>
      <c r="I457" s="246"/>
      <c r="J457" s="127"/>
      <c r="K457" s="127"/>
      <c r="L457" s="128"/>
      <c r="M457" s="126"/>
      <c r="N457" s="126"/>
      <c r="O457" s="129"/>
      <c r="P457" s="127"/>
      <c r="Q457" s="128"/>
      <c r="R457" s="126"/>
      <c r="S457" s="126"/>
    </row>
    <row r="458" spans="1:19" s="125" customFormat="1" ht="15">
      <c r="A458" s="184" t="s">
        <v>932</v>
      </c>
      <c r="B458" s="162">
        <v>998722203</v>
      </c>
      <c r="C458" s="69" t="s">
        <v>162</v>
      </c>
      <c r="D458" s="114" t="s">
        <v>462</v>
      </c>
      <c r="E458" s="192">
        <f>SUM(G446:G457)</f>
        <v>0</v>
      </c>
      <c r="F458" s="267">
        <v>0</v>
      </c>
      <c r="G458" s="192">
        <f>E458*F458</f>
        <v>0</v>
      </c>
      <c r="H458" s="245"/>
      <c r="I458" s="246"/>
      <c r="J458" s="127"/>
      <c r="K458" s="127"/>
      <c r="L458" s="128"/>
      <c r="M458" s="126"/>
      <c r="N458" s="126"/>
      <c r="O458" s="129"/>
      <c r="P458" s="127"/>
      <c r="Q458" s="128"/>
      <c r="R458" s="126"/>
      <c r="S458" s="126"/>
    </row>
    <row r="459" spans="1:19" s="125" customFormat="1" ht="15">
      <c r="A459" s="184" t="s">
        <v>933</v>
      </c>
      <c r="B459" s="145"/>
      <c r="C459" s="65"/>
      <c r="D459" s="95"/>
      <c r="E459" s="195"/>
      <c r="F459" s="256"/>
      <c r="G459" s="189"/>
      <c r="H459" s="245"/>
      <c r="I459" s="246"/>
      <c r="J459" s="127"/>
      <c r="K459" s="127"/>
      <c r="L459" s="128"/>
      <c r="M459" s="126"/>
      <c r="N459" s="126"/>
      <c r="O459" s="129"/>
      <c r="P459" s="127"/>
      <c r="Q459" s="128"/>
      <c r="R459" s="126"/>
      <c r="S459" s="126"/>
    </row>
    <row r="460" spans="1:19" s="125" customFormat="1" ht="15">
      <c r="A460" s="184" t="s">
        <v>934</v>
      </c>
      <c r="B460" s="145"/>
      <c r="C460" s="70" t="s">
        <v>154</v>
      </c>
      <c r="D460" s="99"/>
      <c r="E460" s="207"/>
      <c r="F460" s="256"/>
      <c r="G460" s="54"/>
      <c r="H460" s="245"/>
      <c r="I460" s="246"/>
      <c r="J460" s="127"/>
      <c r="K460" s="127"/>
      <c r="L460" s="128"/>
      <c r="M460" s="126"/>
      <c r="N460" s="126"/>
      <c r="O460" s="129"/>
      <c r="P460" s="127"/>
      <c r="Q460" s="128"/>
      <c r="R460" s="126"/>
      <c r="S460" s="126"/>
    </row>
    <row r="461" spans="1:19" s="125" customFormat="1" ht="204">
      <c r="A461" s="184" t="s">
        <v>935</v>
      </c>
      <c r="B461" s="162" t="s">
        <v>164</v>
      </c>
      <c r="C461" s="51" t="s">
        <v>168</v>
      </c>
      <c r="D461" s="143" t="s">
        <v>71</v>
      </c>
      <c r="E461" s="204">
        <v>10</v>
      </c>
      <c r="F461" s="250">
        <v>0</v>
      </c>
      <c r="G461" s="187">
        <f aca="true" t="shared" si="8" ref="G461:G477">E461*F461</f>
        <v>0</v>
      </c>
      <c r="H461" s="245"/>
      <c r="I461" s="246"/>
      <c r="J461" s="127"/>
      <c r="K461" s="127"/>
      <c r="L461" s="128"/>
      <c r="M461" s="126"/>
      <c r="N461" s="126"/>
      <c r="O461" s="129"/>
      <c r="P461" s="127"/>
      <c r="Q461" s="128"/>
      <c r="R461" s="126"/>
      <c r="S461" s="126"/>
    </row>
    <row r="462" spans="1:19" s="125" customFormat="1" ht="15">
      <c r="A462" s="184" t="s">
        <v>936</v>
      </c>
      <c r="B462" s="162" t="s">
        <v>164</v>
      </c>
      <c r="C462" s="144" t="s">
        <v>186</v>
      </c>
      <c r="D462" s="143" t="s">
        <v>71</v>
      </c>
      <c r="E462" s="204">
        <v>10</v>
      </c>
      <c r="F462" s="250">
        <v>0</v>
      </c>
      <c r="G462" s="187">
        <f t="shared" si="8"/>
        <v>0</v>
      </c>
      <c r="H462" s="245"/>
      <c r="I462" s="246"/>
      <c r="J462" s="127"/>
      <c r="K462" s="127"/>
      <c r="L462" s="128"/>
      <c r="M462" s="126"/>
      <c r="N462" s="126"/>
      <c r="O462" s="129"/>
      <c r="P462" s="127"/>
      <c r="Q462" s="128"/>
      <c r="R462" s="126"/>
      <c r="S462" s="126"/>
    </row>
    <row r="463" spans="1:19" s="125" customFormat="1" ht="90.75">
      <c r="A463" s="184" t="s">
        <v>937</v>
      </c>
      <c r="B463" s="145"/>
      <c r="C463" s="93" t="s">
        <v>158</v>
      </c>
      <c r="D463" s="95"/>
      <c r="E463" s="195"/>
      <c r="F463" s="256"/>
      <c r="G463" s="189"/>
      <c r="H463" s="245"/>
      <c r="I463" s="246"/>
      <c r="J463" s="127"/>
      <c r="K463" s="127"/>
      <c r="L463" s="128"/>
      <c r="M463" s="126"/>
      <c r="N463" s="126"/>
      <c r="O463" s="129"/>
      <c r="P463" s="127"/>
      <c r="Q463" s="128"/>
      <c r="R463" s="126"/>
      <c r="S463" s="126"/>
    </row>
    <row r="464" spans="1:19" s="125" customFormat="1" ht="225.75">
      <c r="A464" s="184" t="s">
        <v>938</v>
      </c>
      <c r="B464" s="145"/>
      <c r="C464" s="93" t="s">
        <v>159</v>
      </c>
      <c r="D464" s="95"/>
      <c r="E464" s="195"/>
      <c r="F464" s="256"/>
      <c r="G464" s="189"/>
      <c r="H464" s="245"/>
      <c r="I464" s="246"/>
      <c r="J464" s="127"/>
      <c r="K464" s="127"/>
      <c r="L464" s="128"/>
      <c r="M464" s="126"/>
      <c r="N464" s="126"/>
      <c r="O464" s="129"/>
      <c r="P464" s="127"/>
      <c r="Q464" s="128"/>
      <c r="R464" s="126"/>
      <c r="S464" s="126"/>
    </row>
    <row r="465" spans="1:19" s="125" customFormat="1" ht="15">
      <c r="A465" s="184" t="s">
        <v>939</v>
      </c>
      <c r="B465" s="162" t="s">
        <v>164</v>
      </c>
      <c r="C465" s="145" t="s">
        <v>169</v>
      </c>
      <c r="D465" s="146" t="s">
        <v>71</v>
      </c>
      <c r="E465" s="204">
        <v>10</v>
      </c>
      <c r="F465" s="250">
        <v>0</v>
      </c>
      <c r="G465" s="187">
        <f>E465*F465</f>
        <v>0</v>
      </c>
      <c r="H465" s="245"/>
      <c r="I465" s="246"/>
      <c r="J465" s="127"/>
      <c r="K465" s="127"/>
      <c r="L465" s="128"/>
      <c r="M465" s="126"/>
      <c r="N465" s="126"/>
      <c r="O465" s="129"/>
      <c r="P465" s="127"/>
      <c r="Q465" s="128"/>
      <c r="R465" s="126"/>
      <c r="S465" s="126"/>
    </row>
    <row r="466" spans="1:19" s="125" customFormat="1" ht="15">
      <c r="A466" s="184" t="s">
        <v>940</v>
      </c>
      <c r="B466" s="162" t="s">
        <v>164</v>
      </c>
      <c r="C466" s="50" t="s">
        <v>187</v>
      </c>
      <c r="D466" s="143" t="s">
        <v>71</v>
      </c>
      <c r="E466" s="204">
        <v>6</v>
      </c>
      <c r="F466" s="250">
        <v>0</v>
      </c>
      <c r="G466" s="187">
        <f t="shared" si="8"/>
        <v>0</v>
      </c>
      <c r="H466" s="245"/>
      <c r="I466" s="246"/>
      <c r="J466" s="127"/>
      <c r="K466" s="127"/>
      <c r="L466" s="128"/>
      <c r="M466" s="126"/>
      <c r="N466" s="126"/>
      <c r="O466" s="129"/>
      <c r="P466" s="127"/>
      <c r="Q466" s="128"/>
      <c r="R466" s="126"/>
      <c r="S466" s="126"/>
    </row>
    <row r="467" spans="1:19" s="125" customFormat="1" ht="247.5">
      <c r="A467" s="184" t="s">
        <v>941</v>
      </c>
      <c r="B467" s="162" t="s">
        <v>164</v>
      </c>
      <c r="C467" s="147" t="s">
        <v>160</v>
      </c>
      <c r="D467" s="95"/>
      <c r="E467" s="195"/>
      <c r="F467" s="256"/>
      <c r="G467" s="189"/>
      <c r="H467" s="245"/>
      <c r="I467" s="246"/>
      <c r="J467" s="127"/>
      <c r="K467" s="127"/>
      <c r="L467" s="128"/>
      <c r="M467" s="126"/>
      <c r="N467" s="126"/>
      <c r="O467" s="129"/>
      <c r="P467" s="127"/>
      <c r="Q467" s="128"/>
      <c r="R467" s="126"/>
      <c r="S467" s="126"/>
    </row>
    <row r="468" spans="1:19" s="125" customFormat="1" ht="36">
      <c r="A468" s="184" t="s">
        <v>942</v>
      </c>
      <c r="B468" s="162" t="s">
        <v>164</v>
      </c>
      <c r="C468" s="67" t="s">
        <v>124</v>
      </c>
      <c r="D468" s="179" t="s">
        <v>71</v>
      </c>
      <c r="E468" s="211">
        <v>6</v>
      </c>
      <c r="F468" s="268">
        <v>0</v>
      </c>
      <c r="G468" s="187">
        <f t="shared" si="8"/>
        <v>0</v>
      </c>
      <c r="H468" s="245"/>
      <c r="I468" s="246"/>
      <c r="J468" s="127"/>
      <c r="K468" s="127"/>
      <c r="L468" s="128"/>
      <c r="M468" s="126"/>
      <c r="N468" s="126"/>
      <c r="O468" s="129"/>
      <c r="P468" s="127"/>
      <c r="Q468" s="128"/>
      <c r="R468" s="126"/>
      <c r="S468" s="126"/>
    </row>
    <row r="469" spans="1:19" s="125" customFormat="1" ht="15">
      <c r="A469" s="184" t="s">
        <v>943</v>
      </c>
      <c r="B469" s="162" t="s">
        <v>164</v>
      </c>
      <c r="C469" s="145" t="s">
        <v>169</v>
      </c>
      <c r="D469" s="179" t="s">
        <v>71</v>
      </c>
      <c r="E469" s="204">
        <v>6</v>
      </c>
      <c r="F469" s="250">
        <v>0</v>
      </c>
      <c r="G469" s="187">
        <f t="shared" si="8"/>
        <v>0</v>
      </c>
      <c r="H469" s="245"/>
      <c r="I469" s="246"/>
      <c r="J469" s="127"/>
      <c r="K469" s="127"/>
      <c r="L469" s="128"/>
      <c r="M469" s="126"/>
      <c r="N469" s="126"/>
      <c r="O469" s="129"/>
      <c r="P469" s="127"/>
      <c r="Q469" s="128"/>
      <c r="R469" s="126"/>
      <c r="S469" s="126"/>
    </row>
    <row r="470" spans="1:19" s="125" customFormat="1" ht="15">
      <c r="A470" s="184" t="s">
        <v>944</v>
      </c>
      <c r="B470" s="162" t="s">
        <v>164</v>
      </c>
      <c r="C470" s="50" t="s">
        <v>170</v>
      </c>
      <c r="D470" s="179" t="s">
        <v>71</v>
      </c>
      <c r="E470" s="204">
        <v>1</v>
      </c>
      <c r="F470" s="250">
        <v>0</v>
      </c>
      <c r="G470" s="187">
        <f t="shared" si="8"/>
        <v>0</v>
      </c>
      <c r="H470" s="245"/>
      <c r="I470" s="246"/>
      <c r="J470" s="127"/>
      <c r="K470" s="127"/>
      <c r="L470" s="128"/>
      <c r="M470" s="126"/>
      <c r="N470" s="126"/>
      <c r="O470" s="129"/>
      <c r="P470" s="127"/>
      <c r="Q470" s="128"/>
      <c r="R470" s="126"/>
      <c r="S470" s="126"/>
    </row>
    <row r="471" spans="1:19" s="125" customFormat="1" ht="24">
      <c r="A471" s="184" t="s">
        <v>945</v>
      </c>
      <c r="B471" s="162" t="s">
        <v>164</v>
      </c>
      <c r="C471" s="50" t="s">
        <v>216</v>
      </c>
      <c r="D471" s="179" t="s">
        <v>71</v>
      </c>
      <c r="E471" s="204">
        <v>2</v>
      </c>
      <c r="F471" s="250">
        <v>0</v>
      </c>
      <c r="G471" s="187">
        <f t="shared" si="8"/>
        <v>0</v>
      </c>
      <c r="H471" s="245"/>
      <c r="I471" s="246"/>
      <c r="J471" s="127"/>
      <c r="K471" s="127"/>
      <c r="L471" s="128"/>
      <c r="M471" s="126"/>
      <c r="N471" s="126"/>
      <c r="O471" s="129"/>
      <c r="P471" s="127"/>
      <c r="Q471" s="128"/>
      <c r="R471" s="126"/>
      <c r="S471" s="126"/>
    </row>
    <row r="472" spans="1:19" s="125" customFormat="1" ht="15">
      <c r="A472" s="184" t="s">
        <v>946</v>
      </c>
      <c r="B472" s="162" t="s">
        <v>164</v>
      </c>
      <c r="C472" s="50" t="s">
        <v>171</v>
      </c>
      <c r="D472" s="179" t="s">
        <v>71</v>
      </c>
      <c r="E472" s="204">
        <v>2</v>
      </c>
      <c r="F472" s="250">
        <v>0</v>
      </c>
      <c r="G472" s="187">
        <f t="shared" si="8"/>
        <v>0</v>
      </c>
      <c r="H472" s="245"/>
      <c r="I472" s="246"/>
      <c r="J472" s="127"/>
      <c r="K472" s="127"/>
      <c r="L472" s="128"/>
      <c r="M472" s="126"/>
      <c r="N472" s="126"/>
      <c r="O472" s="129"/>
      <c r="P472" s="127"/>
      <c r="Q472" s="128"/>
      <c r="R472" s="126"/>
      <c r="S472" s="126"/>
    </row>
    <row r="473" spans="1:19" s="125" customFormat="1" ht="112.5">
      <c r="A473" s="184" t="s">
        <v>947</v>
      </c>
      <c r="B473" s="162" t="s">
        <v>164</v>
      </c>
      <c r="C473" s="148" t="s">
        <v>157</v>
      </c>
      <c r="D473" s="143"/>
      <c r="E473" s="204">
        <v>10</v>
      </c>
      <c r="F473" s="250">
        <v>0</v>
      </c>
      <c r="G473" s="187">
        <f t="shared" si="8"/>
        <v>0</v>
      </c>
      <c r="H473" s="245"/>
      <c r="I473" s="246"/>
      <c r="J473" s="127"/>
      <c r="K473" s="127"/>
      <c r="L473" s="128"/>
      <c r="M473" s="126"/>
      <c r="N473" s="126"/>
      <c r="O473" s="129"/>
      <c r="P473" s="127"/>
      <c r="Q473" s="128"/>
      <c r="R473" s="126"/>
      <c r="S473" s="126"/>
    </row>
    <row r="474" spans="1:19" s="125" customFormat="1" ht="24">
      <c r="A474" s="184" t="s">
        <v>948</v>
      </c>
      <c r="B474" s="162" t="s">
        <v>164</v>
      </c>
      <c r="C474" s="66" t="s">
        <v>217</v>
      </c>
      <c r="D474" s="179" t="s">
        <v>71</v>
      </c>
      <c r="E474" s="204">
        <v>2</v>
      </c>
      <c r="F474" s="250">
        <v>0</v>
      </c>
      <c r="G474" s="187">
        <f t="shared" si="8"/>
        <v>0</v>
      </c>
      <c r="H474" s="245"/>
      <c r="I474" s="246"/>
      <c r="J474" s="127"/>
      <c r="K474" s="127"/>
      <c r="L474" s="128"/>
      <c r="M474" s="126"/>
      <c r="N474" s="126"/>
      <c r="O474" s="129"/>
      <c r="P474" s="127"/>
      <c r="Q474" s="128"/>
      <c r="R474" s="126"/>
      <c r="S474" s="126"/>
    </row>
    <row r="475" spans="1:19" s="125" customFormat="1" ht="15">
      <c r="A475" s="184" t="s">
        <v>949</v>
      </c>
      <c r="B475" s="162" t="s">
        <v>164</v>
      </c>
      <c r="C475" s="66" t="s">
        <v>155</v>
      </c>
      <c r="D475" s="179" t="s">
        <v>71</v>
      </c>
      <c r="E475" s="204">
        <v>1</v>
      </c>
      <c r="F475" s="250">
        <f>F473</f>
        <v>0</v>
      </c>
      <c r="G475" s="187">
        <f t="shared" si="8"/>
        <v>0</v>
      </c>
      <c r="H475" s="245"/>
      <c r="I475" s="246"/>
      <c r="J475" s="127"/>
      <c r="K475" s="126"/>
      <c r="L475" s="128"/>
      <c r="M475" s="126"/>
      <c r="N475" s="126"/>
      <c r="O475" s="129"/>
      <c r="P475" s="127"/>
      <c r="Q475" s="128"/>
      <c r="R475" s="126"/>
      <c r="S475" s="126"/>
    </row>
    <row r="476" spans="1:19" s="125" customFormat="1" ht="15">
      <c r="A476" s="184" t="s">
        <v>950</v>
      </c>
      <c r="B476" s="162" t="s">
        <v>164</v>
      </c>
      <c r="C476" s="66" t="s">
        <v>156</v>
      </c>
      <c r="D476" s="179" t="s">
        <v>71</v>
      </c>
      <c r="E476" s="204">
        <v>2</v>
      </c>
      <c r="F476" s="250">
        <f>F473</f>
        <v>0</v>
      </c>
      <c r="G476" s="187">
        <f t="shared" si="8"/>
        <v>0</v>
      </c>
      <c r="H476" s="245"/>
      <c r="I476" s="246"/>
      <c r="J476" s="127"/>
      <c r="K476" s="126"/>
      <c r="L476" s="128"/>
      <c r="M476" s="126"/>
      <c r="N476" s="126"/>
      <c r="O476" s="129"/>
      <c r="P476" s="127"/>
      <c r="Q476" s="128"/>
      <c r="R476" s="126"/>
      <c r="S476" s="126"/>
    </row>
    <row r="477" spans="1:19" s="125" customFormat="1" ht="15">
      <c r="A477" s="184" t="s">
        <v>951</v>
      </c>
      <c r="B477" s="145">
        <v>998725203</v>
      </c>
      <c r="C477" s="69" t="s">
        <v>142</v>
      </c>
      <c r="D477" s="143" t="s">
        <v>462</v>
      </c>
      <c r="E477" s="187">
        <f>SUM(G461:G476)</f>
        <v>0</v>
      </c>
      <c r="F477" s="269">
        <v>0</v>
      </c>
      <c r="G477" s="187">
        <f t="shared" si="8"/>
        <v>0</v>
      </c>
      <c r="H477" s="247"/>
      <c r="I477" s="246"/>
      <c r="J477" s="127"/>
      <c r="K477" s="127"/>
      <c r="L477" s="128"/>
      <c r="M477" s="126"/>
      <c r="N477" s="126"/>
      <c r="O477" s="129"/>
      <c r="P477" s="127"/>
      <c r="Q477" s="128"/>
      <c r="R477" s="126"/>
      <c r="S477" s="126"/>
    </row>
    <row r="478" spans="1:19" s="125" customFormat="1" ht="15">
      <c r="A478" s="184" t="s">
        <v>952</v>
      </c>
      <c r="B478" s="71"/>
      <c r="C478" s="69"/>
      <c r="D478" s="71"/>
      <c r="E478" s="209"/>
      <c r="F478" s="250"/>
      <c r="G478" s="187"/>
      <c r="H478" s="247"/>
      <c r="I478" s="246"/>
      <c r="J478" s="127"/>
      <c r="K478" s="127"/>
      <c r="L478" s="128"/>
      <c r="M478" s="126"/>
      <c r="N478" s="126"/>
      <c r="O478" s="129"/>
      <c r="P478" s="127"/>
      <c r="Q478" s="128"/>
      <c r="R478" s="126"/>
      <c r="S478" s="126"/>
    </row>
    <row r="479" spans="1:19" s="125" customFormat="1" ht="15">
      <c r="A479" s="184" t="s">
        <v>953</v>
      </c>
      <c r="B479" s="71"/>
      <c r="C479" s="149" t="s">
        <v>175</v>
      </c>
      <c r="D479" s="71" t="s">
        <v>167</v>
      </c>
      <c r="E479" s="204" t="s">
        <v>31</v>
      </c>
      <c r="F479" s="250"/>
      <c r="G479" s="202">
        <f>SUM(G481:G488)</f>
        <v>0</v>
      </c>
      <c r="H479" s="247"/>
      <c r="I479" s="246"/>
      <c r="J479" s="127"/>
      <c r="K479" s="127"/>
      <c r="L479" s="128"/>
      <c r="M479" s="126"/>
      <c r="N479" s="126"/>
      <c r="O479" s="129"/>
      <c r="P479" s="127"/>
      <c r="Q479" s="128"/>
      <c r="R479" s="126"/>
      <c r="S479" s="126"/>
    </row>
    <row r="480" spans="1:19" s="125" customFormat="1" ht="15">
      <c r="A480" s="184" t="s">
        <v>954</v>
      </c>
      <c r="B480" s="71"/>
      <c r="C480" s="69"/>
      <c r="D480" s="71"/>
      <c r="E480" s="209"/>
      <c r="F480" s="250"/>
      <c r="G480" s="187"/>
      <c r="H480" s="247"/>
      <c r="I480" s="246"/>
      <c r="J480" s="127"/>
      <c r="K480" s="127"/>
      <c r="L480" s="128"/>
      <c r="M480" s="126"/>
      <c r="N480" s="126"/>
      <c r="O480" s="129"/>
      <c r="P480" s="127"/>
      <c r="Q480" s="128"/>
      <c r="R480" s="126"/>
      <c r="S480" s="126"/>
    </row>
    <row r="481" spans="1:19" s="125" customFormat="1" ht="15">
      <c r="A481" s="184" t="s">
        <v>955</v>
      </c>
      <c r="B481" s="71" t="s">
        <v>218</v>
      </c>
      <c r="C481" s="69" t="s">
        <v>220</v>
      </c>
      <c r="D481" s="71" t="s">
        <v>71</v>
      </c>
      <c r="E481" s="209">
        <v>2</v>
      </c>
      <c r="F481" s="250">
        <v>0</v>
      </c>
      <c r="G481" s="187">
        <f aca="true" t="shared" si="9" ref="G481:G488">E481*F481</f>
        <v>0</v>
      </c>
      <c r="H481" s="247"/>
      <c r="I481" s="246"/>
      <c r="J481" s="127"/>
      <c r="K481" s="127"/>
      <c r="L481" s="128"/>
      <c r="M481" s="126"/>
      <c r="N481" s="126"/>
      <c r="O481" s="129"/>
      <c r="P481" s="127"/>
      <c r="Q481" s="128"/>
      <c r="R481" s="126"/>
      <c r="S481" s="126"/>
    </row>
    <row r="482" spans="1:19" s="125" customFormat="1" ht="15">
      <c r="A482" s="184" t="s">
        <v>956</v>
      </c>
      <c r="B482" s="162" t="s">
        <v>164</v>
      </c>
      <c r="C482" s="69" t="s">
        <v>176</v>
      </c>
      <c r="D482" s="71" t="s">
        <v>59</v>
      </c>
      <c r="E482" s="209">
        <f>7*14</f>
        <v>98</v>
      </c>
      <c r="F482" s="250">
        <v>0</v>
      </c>
      <c r="G482" s="187">
        <f t="shared" si="9"/>
        <v>0</v>
      </c>
      <c r="H482" s="247"/>
      <c r="I482" s="246"/>
      <c r="J482" s="127"/>
      <c r="K482" s="127"/>
      <c r="L482" s="128"/>
      <c r="M482" s="126"/>
      <c r="N482" s="126"/>
      <c r="O482" s="129"/>
      <c r="P482" s="127"/>
      <c r="Q482" s="128"/>
      <c r="R482" s="126"/>
      <c r="S482" s="126"/>
    </row>
    <row r="483" spans="1:19" s="125" customFormat="1" ht="48.75">
      <c r="A483" s="184" t="s">
        <v>957</v>
      </c>
      <c r="B483" s="162" t="s">
        <v>164</v>
      </c>
      <c r="C483" s="65" t="s">
        <v>221</v>
      </c>
      <c r="D483" s="71" t="s">
        <v>68</v>
      </c>
      <c r="E483" s="209">
        <v>2</v>
      </c>
      <c r="F483" s="250">
        <v>0</v>
      </c>
      <c r="G483" s="187">
        <f t="shared" si="9"/>
        <v>0</v>
      </c>
      <c r="H483" s="247"/>
      <c r="I483" s="246"/>
      <c r="J483" s="127"/>
      <c r="K483" s="126"/>
      <c r="L483" s="128"/>
      <c r="M483" s="126"/>
      <c r="N483" s="126"/>
      <c r="O483" s="129"/>
      <c r="P483" s="127"/>
      <c r="Q483" s="128"/>
      <c r="R483" s="126"/>
      <c r="S483" s="126"/>
    </row>
    <row r="484" spans="1:19" s="125" customFormat="1" ht="24.75">
      <c r="A484" s="184" t="s">
        <v>958</v>
      </c>
      <c r="B484" s="162" t="s">
        <v>164</v>
      </c>
      <c r="C484" s="65" t="s">
        <v>222</v>
      </c>
      <c r="D484" s="71" t="s">
        <v>68</v>
      </c>
      <c r="E484" s="209">
        <v>2</v>
      </c>
      <c r="F484" s="250">
        <v>0</v>
      </c>
      <c r="G484" s="187">
        <f t="shared" si="9"/>
        <v>0</v>
      </c>
      <c r="H484" s="247"/>
      <c r="I484" s="246"/>
      <c r="J484" s="127"/>
      <c r="K484" s="126"/>
      <c r="L484" s="128"/>
      <c r="M484" s="126"/>
      <c r="N484" s="126"/>
      <c r="O484" s="129"/>
      <c r="P484" s="127"/>
      <c r="Q484" s="128"/>
      <c r="R484" s="126"/>
      <c r="S484" s="126"/>
    </row>
    <row r="485" spans="1:19" s="125" customFormat="1" ht="24.75">
      <c r="A485" s="184" t="s">
        <v>959</v>
      </c>
      <c r="B485" s="162" t="s">
        <v>164</v>
      </c>
      <c r="C485" s="65" t="s">
        <v>223</v>
      </c>
      <c r="D485" s="71" t="s">
        <v>68</v>
      </c>
      <c r="E485" s="209">
        <v>2</v>
      </c>
      <c r="F485" s="250">
        <v>0</v>
      </c>
      <c r="G485" s="187">
        <f t="shared" si="9"/>
        <v>0</v>
      </c>
      <c r="H485" s="247"/>
      <c r="I485" s="246"/>
      <c r="J485" s="127"/>
      <c r="K485" s="127"/>
      <c r="L485" s="128"/>
      <c r="M485" s="126"/>
      <c r="N485" s="126"/>
      <c r="O485" s="129"/>
      <c r="P485" s="127"/>
      <c r="Q485" s="128"/>
      <c r="R485" s="126"/>
      <c r="S485" s="126"/>
    </row>
    <row r="486" spans="1:19" s="125" customFormat="1" ht="15">
      <c r="A486" s="184" t="s">
        <v>960</v>
      </c>
      <c r="B486" s="162" t="s">
        <v>164</v>
      </c>
      <c r="C486" s="65" t="s">
        <v>224</v>
      </c>
      <c r="D486" s="71" t="s">
        <v>68</v>
      </c>
      <c r="E486" s="209">
        <v>1</v>
      </c>
      <c r="F486" s="250">
        <v>0</v>
      </c>
      <c r="G486" s="187">
        <f t="shared" si="9"/>
        <v>0</v>
      </c>
      <c r="H486" s="245"/>
      <c r="I486" s="246"/>
      <c r="J486" s="127"/>
      <c r="K486" s="127"/>
      <c r="L486" s="128"/>
      <c r="M486" s="126"/>
      <c r="N486" s="126"/>
      <c r="O486" s="129"/>
      <c r="P486" s="127"/>
      <c r="Q486" s="128"/>
      <c r="R486" s="126"/>
      <c r="S486" s="126"/>
    </row>
    <row r="487" spans="1:19" s="125" customFormat="1" ht="15">
      <c r="A487" s="184" t="s">
        <v>961</v>
      </c>
      <c r="B487" s="162" t="s">
        <v>164</v>
      </c>
      <c r="C487" s="69" t="s">
        <v>177</v>
      </c>
      <c r="D487" s="71" t="s">
        <v>68</v>
      </c>
      <c r="E487" s="209">
        <v>7</v>
      </c>
      <c r="F487" s="250">
        <v>0</v>
      </c>
      <c r="G487" s="187">
        <f t="shared" si="9"/>
        <v>0</v>
      </c>
      <c r="H487" s="245"/>
      <c r="I487" s="246"/>
      <c r="J487" s="127"/>
      <c r="K487" s="127"/>
      <c r="L487" s="128"/>
      <c r="M487" s="126"/>
      <c r="N487" s="126"/>
      <c r="O487" s="129"/>
      <c r="P487" s="127"/>
      <c r="Q487" s="128"/>
      <c r="R487" s="126"/>
      <c r="S487" s="126"/>
    </row>
    <row r="488" spans="1:19" s="125" customFormat="1" ht="15">
      <c r="A488" s="184" t="s">
        <v>962</v>
      </c>
      <c r="B488" s="162" t="s">
        <v>164</v>
      </c>
      <c r="C488" s="69" t="s">
        <v>178</v>
      </c>
      <c r="D488" s="71" t="s">
        <v>462</v>
      </c>
      <c r="E488" s="187">
        <f>SUM(G481:G487)</f>
        <v>0</v>
      </c>
      <c r="F488" s="270">
        <v>0</v>
      </c>
      <c r="G488" s="187">
        <f t="shared" si="9"/>
        <v>0</v>
      </c>
      <c r="H488" s="245"/>
      <c r="I488" s="246"/>
      <c r="J488" s="127"/>
      <c r="K488" s="127"/>
      <c r="L488" s="128"/>
      <c r="M488" s="126"/>
      <c r="N488" s="126"/>
      <c r="O488" s="129"/>
      <c r="P488" s="127"/>
      <c r="Q488" s="128"/>
      <c r="R488" s="126"/>
      <c r="S488" s="126"/>
    </row>
    <row r="489" spans="1:19" s="125" customFormat="1" ht="15">
      <c r="A489" s="184" t="s">
        <v>963</v>
      </c>
      <c r="B489" s="71"/>
      <c r="C489" s="64"/>
      <c r="D489" s="71"/>
      <c r="E489" s="204"/>
      <c r="F489" s="250"/>
      <c r="G489" s="187"/>
      <c r="H489" s="245"/>
      <c r="I489" s="246"/>
      <c r="J489" s="127"/>
      <c r="K489" s="127"/>
      <c r="L489" s="128"/>
      <c r="M489" s="126"/>
      <c r="N489" s="126"/>
      <c r="O489" s="129"/>
      <c r="P489" s="127"/>
      <c r="Q489" s="128"/>
      <c r="R489" s="126"/>
      <c r="S489" s="126"/>
    </row>
    <row r="490" spans="1:19" s="125" customFormat="1" ht="15">
      <c r="A490" s="184" t="s">
        <v>964</v>
      </c>
      <c r="B490" s="71"/>
      <c r="C490" s="60" t="s">
        <v>182</v>
      </c>
      <c r="D490" s="71" t="s">
        <v>167</v>
      </c>
      <c r="E490" s="204" t="s">
        <v>31</v>
      </c>
      <c r="F490" s="250"/>
      <c r="G490" s="202">
        <f>SUM(G492:G519)</f>
        <v>0</v>
      </c>
      <c r="H490" s="245"/>
      <c r="I490" s="246"/>
      <c r="J490" s="130"/>
      <c r="K490" s="127"/>
      <c r="L490" s="128"/>
      <c r="M490" s="126"/>
      <c r="N490" s="126"/>
      <c r="O490" s="131"/>
      <c r="P490" s="130"/>
      <c r="Q490" s="128"/>
      <c r="R490" s="126"/>
      <c r="S490" s="126"/>
    </row>
    <row r="491" spans="1:19" s="125" customFormat="1" ht="15">
      <c r="A491" s="184" t="s">
        <v>965</v>
      </c>
      <c r="B491" s="71"/>
      <c r="C491" s="60"/>
      <c r="D491" s="71"/>
      <c r="E491" s="204"/>
      <c r="F491" s="250"/>
      <c r="G491" s="133"/>
      <c r="H491" s="245"/>
      <c r="I491" s="246"/>
      <c r="J491" s="127"/>
      <c r="K491" s="126"/>
      <c r="L491" s="128"/>
      <c r="M491" s="126"/>
      <c r="N491" s="126"/>
      <c r="O491" s="129"/>
      <c r="P491" s="127"/>
      <c r="Q491" s="128"/>
      <c r="R491" s="126"/>
      <c r="S491" s="126"/>
    </row>
    <row r="492" spans="1:19" s="125" customFormat="1" ht="96.75">
      <c r="A492" s="184" t="s">
        <v>966</v>
      </c>
      <c r="B492" s="162" t="s">
        <v>164</v>
      </c>
      <c r="C492" s="64" t="s">
        <v>166</v>
      </c>
      <c r="D492" s="150" t="s">
        <v>71</v>
      </c>
      <c r="E492" s="229">
        <f>SUM(E493:E498)</f>
        <v>14</v>
      </c>
      <c r="F492" s="268">
        <v>0</v>
      </c>
      <c r="G492" s="197">
        <f>E492*F492</f>
        <v>0</v>
      </c>
      <c r="H492" s="245"/>
      <c r="I492" s="246"/>
      <c r="J492" s="127"/>
      <c r="K492" s="127"/>
      <c r="L492" s="128"/>
      <c r="M492" s="126"/>
      <c r="N492" s="126"/>
      <c r="O492" s="129"/>
      <c r="P492" s="127"/>
      <c r="Q492" s="128"/>
      <c r="R492" s="126"/>
      <c r="S492" s="126"/>
    </row>
    <row r="493" spans="1:19" s="125" customFormat="1" ht="15">
      <c r="A493" s="184" t="s">
        <v>967</v>
      </c>
      <c r="B493" s="71"/>
      <c r="C493" s="151" t="s">
        <v>225</v>
      </c>
      <c r="D493" s="47" t="s">
        <v>71</v>
      </c>
      <c r="E493" s="230">
        <v>3</v>
      </c>
      <c r="F493" s="262"/>
      <c r="G493" s="187"/>
      <c r="H493" s="245"/>
      <c r="I493" s="246"/>
      <c r="J493" s="127"/>
      <c r="K493" s="127"/>
      <c r="L493" s="128"/>
      <c r="M493" s="126"/>
      <c r="N493" s="126"/>
      <c r="O493" s="129"/>
      <c r="P493" s="127"/>
      <c r="Q493" s="128"/>
      <c r="R493" s="126"/>
      <c r="S493" s="126"/>
    </row>
    <row r="494" spans="1:19" s="125" customFormat="1" ht="15">
      <c r="A494" s="184" t="s">
        <v>968</v>
      </c>
      <c r="B494" s="71"/>
      <c r="C494" s="151" t="s">
        <v>226</v>
      </c>
      <c r="D494" s="47" t="s">
        <v>71</v>
      </c>
      <c r="E494" s="231">
        <v>2</v>
      </c>
      <c r="F494" s="262"/>
      <c r="G494" s="187"/>
      <c r="H494" s="245"/>
      <c r="I494" s="246"/>
      <c r="J494" s="127"/>
      <c r="K494" s="127"/>
      <c r="L494" s="128"/>
      <c r="M494" s="126"/>
      <c r="N494" s="126"/>
      <c r="O494" s="129"/>
      <c r="P494" s="127"/>
      <c r="Q494" s="128"/>
      <c r="R494" s="126"/>
      <c r="S494" s="126"/>
    </row>
    <row r="495" spans="1:19" s="125" customFormat="1" ht="15">
      <c r="A495" s="184" t="s">
        <v>969</v>
      </c>
      <c r="B495" s="71"/>
      <c r="C495" s="151" t="s">
        <v>227</v>
      </c>
      <c r="D495" s="47" t="s">
        <v>71</v>
      </c>
      <c r="E495" s="156">
        <v>3</v>
      </c>
      <c r="F495" s="262"/>
      <c r="G495" s="187"/>
      <c r="H495" s="245"/>
      <c r="I495" s="246"/>
      <c r="J495" s="127"/>
      <c r="K495" s="127"/>
      <c r="L495" s="128"/>
      <c r="M495" s="126"/>
      <c r="N495" s="126"/>
      <c r="O495" s="129"/>
      <c r="P495" s="127"/>
      <c r="Q495" s="128"/>
      <c r="R495" s="126"/>
      <c r="S495" s="126"/>
    </row>
    <row r="496" spans="1:19" s="125" customFormat="1" ht="15">
      <c r="A496" s="184" t="s">
        <v>970</v>
      </c>
      <c r="B496" s="71"/>
      <c r="C496" s="151" t="s">
        <v>228</v>
      </c>
      <c r="D496" s="47" t="s">
        <v>71</v>
      </c>
      <c r="E496" s="231">
        <v>2</v>
      </c>
      <c r="F496" s="262"/>
      <c r="G496" s="187"/>
      <c r="H496" s="245"/>
      <c r="I496" s="246"/>
      <c r="J496" s="127"/>
      <c r="K496" s="127"/>
      <c r="L496" s="128"/>
      <c r="M496" s="126"/>
      <c r="N496" s="126"/>
      <c r="O496" s="129"/>
      <c r="P496" s="127"/>
      <c r="Q496" s="128"/>
      <c r="R496" s="126"/>
      <c r="S496" s="126"/>
    </row>
    <row r="497" spans="1:9" ht="14.25">
      <c r="A497" s="184" t="s">
        <v>971</v>
      </c>
      <c r="C497" s="151" t="s">
        <v>229</v>
      </c>
      <c r="D497" s="47" t="s">
        <v>71</v>
      </c>
      <c r="E497" s="156">
        <v>2</v>
      </c>
      <c r="F497" s="262"/>
      <c r="H497" s="245"/>
      <c r="I497" s="246"/>
    </row>
    <row r="498" spans="1:9" ht="14.25">
      <c r="A498" s="184" t="s">
        <v>972</v>
      </c>
      <c r="C498" s="151" t="s">
        <v>230</v>
      </c>
      <c r="D498" s="47" t="s">
        <v>71</v>
      </c>
      <c r="E498" s="231">
        <v>2</v>
      </c>
      <c r="F498" s="262"/>
      <c r="H498" s="245"/>
      <c r="I498" s="246"/>
    </row>
    <row r="499" spans="1:9" ht="14.25">
      <c r="A499" s="184" t="s">
        <v>973</v>
      </c>
      <c r="D499" s="69"/>
      <c r="E499" s="225"/>
      <c r="F499" s="262"/>
      <c r="H499" s="245"/>
      <c r="I499" s="246"/>
    </row>
    <row r="500" spans="1:9" ht="84">
      <c r="A500" s="184" t="s">
        <v>974</v>
      </c>
      <c r="B500" s="162" t="s">
        <v>164</v>
      </c>
      <c r="C500" s="68" t="s">
        <v>128</v>
      </c>
      <c r="D500" s="146" t="s">
        <v>71</v>
      </c>
      <c r="E500" s="229">
        <f>SUM(E501:E501)</f>
        <v>3</v>
      </c>
      <c r="F500" s="268">
        <v>0</v>
      </c>
      <c r="G500" s="197">
        <f>E500*F500</f>
        <v>0</v>
      </c>
      <c r="H500" s="245"/>
      <c r="I500" s="246"/>
    </row>
    <row r="501" spans="1:9" ht="14.25">
      <c r="A501" s="184" t="s">
        <v>975</v>
      </c>
      <c r="B501" s="161"/>
      <c r="C501" s="151" t="s">
        <v>231</v>
      </c>
      <c r="D501" s="47" t="s">
        <v>71</v>
      </c>
      <c r="E501" s="230">
        <v>3</v>
      </c>
      <c r="F501" s="271"/>
      <c r="G501" s="198"/>
      <c r="H501" s="245"/>
      <c r="I501" s="246"/>
    </row>
    <row r="502" spans="1:10" ht="14.25">
      <c r="A502" s="184" t="s">
        <v>976</v>
      </c>
      <c r="H502" s="245"/>
      <c r="I502" s="246"/>
      <c r="J502" s="102"/>
    </row>
    <row r="503" spans="1:9" ht="96">
      <c r="A503" s="184" t="s">
        <v>977</v>
      </c>
      <c r="B503" s="162" t="s">
        <v>164</v>
      </c>
      <c r="C503" s="51" t="s">
        <v>165</v>
      </c>
      <c r="D503" s="146" t="s">
        <v>71</v>
      </c>
      <c r="E503" s="229">
        <f>SUM(E504:E509)</f>
        <v>10</v>
      </c>
      <c r="F503" s="268">
        <v>0</v>
      </c>
      <c r="G503" s="197">
        <f>E503*F503</f>
        <v>0</v>
      </c>
      <c r="H503" s="245"/>
      <c r="I503" s="246"/>
    </row>
    <row r="504" spans="1:9" ht="14.25">
      <c r="A504" s="184" t="s">
        <v>978</v>
      </c>
      <c r="B504" s="145"/>
      <c r="C504" s="151" t="s">
        <v>225</v>
      </c>
      <c r="D504" s="47" t="s">
        <v>71</v>
      </c>
      <c r="E504" s="230">
        <v>5</v>
      </c>
      <c r="F504" s="262"/>
      <c r="G504" s="189"/>
      <c r="H504" s="245"/>
      <c r="I504" s="246"/>
    </row>
    <row r="505" spans="1:9" ht="14.25">
      <c r="A505" s="184" t="s">
        <v>979</v>
      </c>
      <c r="B505" s="145"/>
      <c r="C505" s="151" t="s">
        <v>226</v>
      </c>
      <c r="D505" s="47" t="s">
        <v>71</v>
      </c>
      <c r="E505" s="231">
        <v>1</v>
      </c>
      <c r="F505" s="262"/>
      <c r="G505" s="189"/>
      <c r="H505" s="245"/>
      <c r="I505" s="246"/>
    </row>
    <row r="506" spans="1:9" ht="14.25">
      <c r="A506" s="184" t="s">
        <v>980</v>
      </c>
      <c r="B506" s="145"/>
      <c r="C506" s="151" t="s">
        <v>227</v>
      </c>
      <c r="D506" s="47" t="s">
        <v>71</v>
      </c>
      <c r="E506" s="230">
        <v>1</v>
      </c>
      <c r="F506" s="262"/>
      <c r="G506" s="189"/>
      <c r="H506" s="245"/>
      <c r="I506" s="246"/>
    </row>
    <row r="507" spans="1:9" ht="14.25">
      <c r="A507" s="184" t="s">
        <v>981</v>
      </c>
      <c r="B507" s="145"/>
      <c r="C507" s="151" t="s">
        <v>228</v>
      </c>
      <c r="D507" s="47" t="s">
        <v>71</v>
      </c>
      <c r="E507" s="231">
        <v>0</v>
      </c>
      <c r="F507" s="262"/>
      <c r="G507" s="189"/>
      <c r="H507" s="245"/>
      <c r="I507" s="246"/>
    </row>
    <row r="508" spans="1:9" ht="14.25">
      <c r="A508" s="184" t="s">
        <v>982</v>
      </c>
      <c r="B508" s="145"/>
      <c r="C508" s="151" t="s">
        <v>229</v>
      </c>
      <c r="D508" s="47" t="s">
        <v>71</v>
      </c>
      <c r="E508" s="230">
        <v>1</v>
      </c>
      <c r="F508" s="262"/>
      <c r="G508" s="189"/>
      <c r="H508" s="245"/>
      <c r="I508" s="246"/>
    </row>
    <row r="509" spans="1:9" ht="14.25">
      <c r="A509" s="184" t="s">
        <v>983</v>
      </c>
      <c r="B509" s="145"/>
      <c r="C509" s="151" t="s">
        <v>230</v>
      </c>
      <c r="D509" s="47" t="s">
        <v>71</v>
      </c>
      <c r="E509" s="231">
        <v>2</v>
      </c>
      <c r="F509" s="262"/>
      <c r="G509" s="189"/>
      <c r="H509" s="245"/>
      <c r="I509" s="246"/>
    </row>
    <row r="510" spans="1:9" ht="14.25">
      <c r="A510" s="184" t="s">
        <v>984</v>
      </c>
      <c r="B510" s="145"/>
      <c r="C510" s="151"/>
      <c r="D510" s="47"/>
      <c r="E510" s="230"/>
      <c r="F510" s="256"/>
      <c r="G510" s="189"/>
      <c r="H510" s="245"/>
      <c r="I510" s="246"/>
    </row>
    <row r="511" spans="1:9" ht="84">
      <c r="A511" s="184" t="s">
        <v>985</v>
      </c>
      <c r="B511" s="162" t="s">
        <v>164</v>
      </c>
      <c r="C511" s="64" t="s">
        <v>129</v>
      </c>
      <c r="D511" s="146" t="s">
        <v>71</v>
      </c>
      <c r="E511" s="229">
        <f>SUM(E512:E517)</f>
        <v>9</v>
      </c>
      <c r="F511" s="268">
        <v>0</v>
      </c>
      <c r="G511" s="187">
        <f>E511*F511</f>
        <v>0</v>
      </c>
      <c r="H511" s="245"/>
      <c r="I511" s="246"/>
    </row>
    <row r="512" spans="1:9" ht="14.25">
      <c r="A512" s="184" t="s">
        <v>986</v>
      </c>
      <c r="B512" s="145"/>
      <c r="C512" s="151" t="s">
        <v>225</v>
      </c>
      <c r="D512" s="47" t="s">
        <v>71</v>
      </c>
      <c r="E512" s="230">
        <v>0</v>
      </c>
      <c r="F512" s="256"/>
      <c r="G512" s="189"/>
      <c r="H512" s="245"/>
      <c r="I512" s="246"/>
    </row>
    <row r="513" spans="1:9" ht="14.25">
      <c r="A513" s="184" t="s">
        <v>987</v>
      </c>
      <c r="B513" s="145"/>
      <c r="C513" s="151" t="s">
        <v>226</v>
      </c>
      <c r="D513" s="47" t="s">
        <v>71</v>
      </c>
      <c r="E513" s="231">
        <v>2</v>
      </c>
      <c r="F513" s="256"/>
      <c r="G513" s="189"/>
      <c r="H513" s="245"/>
      <c r="I513" s="246"/>
    </row>
    <row r="514" spans="1:9" ht="14.25">
      <c r="A514" s="184" t="s">
        <v>988</v>
      </c>
      <c r="B514" s="145"/>
      <c r="C514" s="151" t="s">
        <v>227</v>
      </c>
      <c r="D514" s="47" t="s">
        <v>71</v>
      </c>
      <c r="E514" s="156">
        <v>3</v>
      </c>
      <c r="F514" s="256"/>
      <c r="G514" s="189"/>
      <c r="H514" s="245"/>
      <c r="I514" s="246"/>
    </row>
    <row r="515" spans="1:9" ht="14.25">
      <c r="A515" s="184" t="s">
        <v>989</v>
      </c>
      <c r="B515" s="145"/>
      <c r="C515" s="151" t="s">
        <v>228</v>
      </c>
      <c r="D515" s="47" t="s">
        <v>71</v>
      </c>
      <c r="E515" s="231">
        <v>2</v>
      </c>
      <c r="F515" s="256"/>
      <c r="G515" s="189"/>
      <c r="H515" s="245"/>
      <c r="I515" s="246"/>
    </row>
    <row r="516" spans="1:9" ht="14.25">
      <c r="A516" s="184" t="s">
        <v>990</v>
      </c>
      <c r="B516" s="145"/>
      <c r="C516" s="151" t="s">
        <v>229</v>
      </c>
      <c r="D516" s="47" t="s">
        <v>71</v>
      </c>
      <c r="E516" s="156">
        <v>2</v>
      </c>
      <c r="F516" s="256"/>
      <c r="G516" s="189"/>
      <c r="H516" s="245"/>
      <c r="I516" s="246"/>
    </row>
    <row r="517" spans="1:9" ht="14.25">
      <c r="A517" s="184" t="s">
        <v>991</v>
      </c>
      <c r="B517" s="145"/>
      <c r="C517" s="151" t="s">
        <v>230</v>
      </c>
      <c r="D517" s="47" t="s">
        <v>71</v>
      </c>
      <c r="E517" s="231">
        <v>0</v>
      </c>
      <c r="F517" s="256"/>
      <c r="G517" s="189"/>
      <c r="H517" s="245"/>
      <c r="I517" s="246"/>
    </row>
    <row r="518" spans="1:9" ht="14.25">
      <c r="A518" s="184" t="s">
        <v>992</v>
      </c>
      <c r="B518" s="145"/>
      <c r="D518" s="95"/>
      <c r="E518" s="195"/>
      <c r="F518" s="256"/>
      <c r="G518" s="189"/>
      <c r="H518" s="245"/>
      <c r="I518" s="246"/>
    </row>
    <row r="519" spans="1:9" ht="16.5" customHeight="1">
      <c r="A519" s="184" t="s">
        <v>993</v>
      </c>
      <c r="B519" s="162" t="s">
        <v>164</v>
      </c>
      <c r="C519" s="66" t="s">
        <v>521</v>
      </c>
      <c r="D519" s="71" t="s">
        <v>68</v>
      </c>
      <c r="E519" s="204">
        <v>1</v>
      </c>
      <c r="F519" s="250">
        <v>0</v>
      </c>
      <c r="G519" s="187">
        <f>E519*F519</f>
        <v>0</v>
      </c>
      <c r="H519" s="245"/>
      <c r="I519" s="246"/>
    </row>
    <row r="520" spans="1:9" ht="14.25">
      <c r="A520" s="184" t="s">
        <v>994</v>
      </c>
      <c r="B520" s="145"/>
      <c r="C520" s="151"/>
      <c r="D520" s="47"/>
      <c r="E520" s="156"/>
      <c r="F520" s="256"/>
      <c r="G520" s="189"/>
      <c r="H520" s="245"/>
      <c r="I520" s="246"/>
    </row>
    <row r="521" spans="1:9" ht="14.25">
      <c r="A521" s="184" t="s">
        <v>995</v>
      </c>
      <c r="B521" s="145"/>
      <c r="C521" s="60" t="s">
        <v>183</v>
      </c>
      <c r="D521" s="71" t="s">
        <v>167</v>
      </c>
      <c r="E521" s="204" t="s">
        <v>31</v>
      </c>
      <c r="G521" s="202">
        <f>SUM(G522:G602)</f>
        <v>0</v>
      </c>
      <c r="H521" s="245"/>
      <c r="I521" s="246"/>
    </row>
    <row r="522" spans="1:9" ht="81" customHeight="1">
      <c r="A522" s="184" t="s">
        <v>996</v>
      </c>
      <c r="B522" s="162" t="s">
        <v>164</v>
      </c>
      <c r="C522" s="60" t="s">
        <v>379</v>
      </c>
      <c r="D522" s="147" t="s">
        <v>378</v>
      </c>
      <c r="E522" s="204">
        <v>1</v>
      </c>
      <c r="F522" s="250">
        <v>0</v>
      </c>
      <c r="G522" s="199">
        <f>E522*F522</f>
        <v>0</v>
      </c>
      <c r="H522" s="245"/>
      <c r="I522" s="246"/>
    </row>
    <row r="523" spans="1:9" ht="108">
      <c r="A523" s="184" t="s">
        <v>997</v>
      </c>
      <c r="B523" s="162" t="s">
        <v>164</v>
      </c>
      <c r="C523" s="64" t="s">
        <v>125</v>
      </c>
      <c r="D523" s="125" t="s">
        <v>71</v>
      </c>
      <c r="E523" s="225">
        <f>SUM(E524:E529)</f>
        <v>7</v>
      </c>
      <c r="F523" s="262">
        <v>0</v>
      </c>
      <c r="G523" s="192">
        <f>E523*F523</f>
        <v>0</v>
      </c>
      <c r="H523" s="245"/>
      <c r="I523" s="246"/>
    </row>
    <row r="524" spans="1:9" ht="14.25">
      <c r="A524" s="184" t="s">
        <v>998</v>
      </c>
      <c r="B524" s="145"/>
      <c r="C524" s="151" t="s">
        <v>225</v>
      </c>
      <c r="D524" s="95" t="s">
        <v>71</v>
      </c>
      <c r="E524" s="232">
        <v>2</v>
      </c>
      <c r="F524" s="262"/>
      <c r="G524" s="192"/>
      <c r="H524" s="245"/>
      <c r="I524" s="246"/>
    </row>
    <row r="525" spans="1:9" ht="14.25">
      <c r="A525" s="184" t="s">
        <v>999</v>
      </c>
      <c r="B525" s="145"/>
      <c r="C525" s="151" t="s">
        <v>226</v>
      </c>
      <c r="D525" s="95" t="s">
        <v>71</v>
      </c>
      <c r="E525" s="227">
        <v>1</v>
      </c>
      <c r="F525" s="262"/>
      <c r="G525" s="192"/>
      <c r="H525" s="245"/>
      <c r="I525" s="246"/>
    </row>
    <row r="526" spans="1:9" ht="14.25">
      <c r="A526" s="184" t="s">
        <v>1000</v>
      </c>
      <c r="B526" s="145"/>
      <c r="C526" s="151" t="s">
        <v>227</v>
      </c>
      <c r="D526" s="95" t="s">
        <v>71</v>
      </c>
      <c r="E526" s="232">
        <v>1</v>
      </c>
      <c r="F526" s="262"/>
      <c r="G526" s="192"/>
      <c r="H526" s="245"/>
      <c r="I526" s="246"/>
    </row>
    <row r="527" spans="1:9" ht="14.25">
      <c r="A527" s="184" t="s">
        <v>1001</v>
      </c>
      <c r="B527" s="145"/>
      <c r="C527" s="151" t="s">
        <v>228</v>
      </c>
      <c r="D527" s="95" t="s">
        <v>71</v>
      </c>
      <c r="E527" s="227">
        <v>1</v>
      </c>
      <c r="F527" s="262"/>
      <c r="G527" s="192"/>
      <c r="H527" s="245"/>
      <c r="I527" s="246"/>
    </row>
    <row r="528" spans="1:9" ht="14.25">
      <c r="A528" s="184" t="s">
        <v>1002</v>
      </c>
      <c r="B528" s="145"/>
      <c r="C528" s="151" t="s">
        <v>229</v>
      </c>
      <c r="D528" s="95" t="s">
        <v>71</v>
      </c>
      <c r="E528" s="227">
        <v>1</v>
      </c>
      <c r="F528" s="262"/>
      <c r="G528" s="192"/>
      <c r="H528" s="245"/>
      <c r="I528" s="246"/>
    </row>
    <row r="529" spans="1:9" ht="14.25">
      <c r="A529" s="184" t="s">
        <v>1003</v>
      </c>
      <c r="B529" s="145"/>
      <c r="C529" s="151" t="s">
        <v>230</v>
      </c>
      <c r="D529" s="95" t="s">
        <v>71</v>
      </c>
      <c r="E529" s="232">
        <v>1</v>
      </c>
      <c r="F529" s="262"/>
      <c r="G529" s="192"/>
      <c r="H529" s="245"/>
      <c r="I529" s="246"/>
    </row>
    <row r="530" spans="1:9" ht="14.25">
      <c r="A530" s="184" t="s">
        <v>1004</v>
      </c>
      <c r="B530" s="145"/>
      <c r="D530" s="95"/>
      <c r="E530" s="232"/>
      <c r="F530" s="262"/>
      <c r="G530" s="192"/>
      <c r="H530" s="245"/>
      <c r="I530" s="246"/>
    </row>
    <row r="531" spans="1:9" ht="60">
      <c r="A531" s="184" t="s">
        <v>1005</v>
      </c>
      <c r="B531" s="162" t="s">
        <v>164</v>
      </c>
      <c r="C531" s="65" t="s">
        <v>126</v>
      </c>
      <c r="D531" s="125" t="s">
        <v>71</v>
      </c>
      <c r="E531" s="225">
        <f>SUM(E532:E537)</f>
        <v>7</v>
      </c>
      <c r="F531" s="262">
        <v>0</v>
      </c>
      <c r="G531" s="192">
        <f>E531*F531</f>
        <v>0</v>
      </c>
      <c r="H531" s="245"/>
      <c r="I531" s="246"/>
    </row>
    <row r="532" spans="1:9" ht="14.25">
      <c r="A532" s="184" t="s">
        <v>1006</v>
      </c>
      <c r="B532" s="145"/>
      <c r="C532" s="151" t="s">
        <v>225</v>
      </c>
      <c r="D532" s="95" t="s">
        <v>71</v>
      </c>
      <c r="E532" s="232">
        <v>2</v>
      </c>
      <c r="F532" s="272"/>
      <c r="G532" s="200"/>
      <c r="I532" s="190"/>
    </row>
    <row r="533" spans="1:9" ht="14.25">
      <c r="A533" s="184" t="s">
        <v>1007</v>
      </c>
      <c r="B533" s="145"/>
      <c r="C533" s="151" t="s">
        <v>226</v>
      </c>
      <c r="D533" s="95" t="s">
        <v>71</v>
      </c>
      <c r="E533" s="227">
        <v>1</v>
      </c>
      <c r="F533" s="272"/>
      <c r="G533" s="200"/>
      <c r="I533" s="190"/>
    </row>
    <row r="534" spans="1:9" ht="14.25">
      <c r="A534" s="184" t="s">
        <v>1008</v>
      </c>
      <c r="B534" s="145"/>
      <c r="C534" s="151" t="s">
        <v>227</v>
      </c>
      <c r="D534" s="95" t="s">
        <v>71</v>
      </c>
      <c r="E534" s="232">
        <v>1</v>
      </c>
      <c r="F534" s="272"/>
      <c r="G534" s="200"/>
      <c r="I534" s="190"/>
    </row>
    <row r="535" spans="1:9" ht="14.25">
      <c r="A535" s="184" t="s">
        <v>1009</v>
      </c>
      <c r="B535" s="145"/>
      <c r="C535" s="151" t="s">
        <v>228</v>
      </c>
      <c r="D535" s="95" t="s">
        <v>71</v>
      </c>
      <c r="E535" s="227">
        <v>1</v>
      </c>
      <c r="F535" s="272"/>
      <c r="G535" s="200"/>
      <c r="I535" s="190"/>
    </row>
    <row r="536" spans="1:9" ht="12">
      <c r="A536" s="184" t="s">
        <v>1010</v>
      </c>
      <c r="B536" s="145"/>
      <c r="C536" s="151" t="s">
        <v>229</v>
      </c>
      <c r="D536" s="95" t="s">
        <v>71</v>
      </c>
      <c r="E536" s="227">
        <v>1</v>
      </c>
      <c r="F536" s="262"/>
      <c r="G536" s="192"/>
      <c r="I536" s="190"/>
    </row>
    <row r="537" spans="1:9" ht="12">
      <c r="A537" s="184" t="s">
        <v>1011</v>
      </c>
      <c r="B537" s="145"/>
      <c r="C537" s="151" t="s">
        <v>230</v>
      </c>
      <c r="D537" s="95" t="s">
        <v>71</v>
      </c>
      <c r="E537" s="232">
        <v>1</v>
      </c>
      <c r="F537" s="262"/>
      <c r="G537" s="192"/>
      <c r="I537" s="190"/>
    </row>
    <row r="538" spans="1:9" ht="14.25">
      <c r="A538" s="184" t="s">
        <v>1012</v>
      </c>
      <c r="B538" s="145"/>
      <c r="C538" s="65"/>
      <c r="D538" s="125"/>
      <c r="E538" s="225"/>
      <c r="F538" s="262"/>
      <c r="G538" s="192"/>
      <c r="I538" s="190"/>
    </row>
    <row r="539" spans="1:9" ht="60">
      <c r="A539" s="184" t="s">
        <v>1013</v>
      </c>
      <c r="B539" s="162" t="s">
        <v>164</v>
      </c>
      <c r="C539" s="68" t="s">
        <v>127</v>
      </c>
      <c r="D539" s="125" t="s">
        <v>118</v>
      </c>
      <c r="E539" s="233">
        <f>SUM(E540:E545)</f>
        <v>10</v>
      </c>
      <c r="F539" s="256">
        <v>0</v>
      </c>
      <c r="G539" s="192">
        <f>E539*F539</f>
        <v>0</v>
      </c>
      <c r="I539" s="190"/>
    </row>
    <row r="540" spans="1:9" ht="12">
      <c r="A540" s="184" t="s">
        <v>1014</v>
      </c>
      <c r="B540" s="145"/>
      <c r="C540" s="151" t="s">
        <v>225</v>
      </c>
      <c r="D540" s="95" t="s">
        <v>71</v>
      </c>
      <c r="E540" s="232">
        <v>2</v>
      </c>
      <c r="F540" s="256"/>
      <c r="G540" s="192"/>
      <c r="I540" s="190"/>
    </row>
    <row r="541" spans="1:9" ht="12">
      <c r="A541" s="184" t="s">
        <v>1015</v>
      </c>
      <c r="B541" s="145"/>
      <c r="C541" s="151" t="s">
        <v>226</v>
      </c>
      <c r="D541" s="95" t="s">
        <v>71</v>
      </c>
      <c r="E541" s="227">
        <v>1</v>
      </c>
      <c r="F541" s="256"/>
      <c r="G541" s="192"/>
      <c r="I541" s="190"/>
    </row>
    <row r="542" spans="1:9" ht="12">
      <c r="A542" s="184" t="s">
        <v>1016</v>
      </c>
      <c r="B542" s="145"/>
      <c r="C542" s="151" t="s">
        <v>227</v>
      </c>
      <c r="D542" s="95" t="s">
        <v>71</v>
      </c>
      <c r="E542" s="232">
        <v>2</v>
      </c>
      <c r="F542" s="256"/>
      <c r="G542" s="192"/>
      <c r="I542" s="190"/>
    </row>
    <row r="543" spans="1:9" ht="12">
      <c r="A543" s="184" t="s">
        <v>1017</v>
      </c>
      <c r="B543" s="145"/>
      <c r="C543" s="151" t="s">
        <v>228</v>
      </c>
      <c r="D543" s="95" t="s">
        <v>71</v>
      </c>
      <c r="E543" s="227">
        <v>2</v>
      </c>
      <c r="F543" s="256"/>
      <c r="G543" s="192"/>
      <c r="I543" s="190"/>
    </row>
    <row r="544" spans="1:9" ht="12">
      <c r="A544" s="184" t="s">
        <v>1018</v>
      </c>
      <c r="B544" s="145"/>
      <c r="C544" s="151" t="s">
        <v>229</v>
      </c>
      <c r="D544" s="95" t="s">
        <v>71</v>
      </c>
      <c r="E544" s="227">
        <v>2</v>
      </c>
      <c r="F544" s="256"/>
      <c r="G544" s="192"/>
      <c r="I544" s="190"/>
    </row>
    <row r="545" spans="1:9" ht="12">
      <c r="A545" s="184" t="s">
        <v>1019</v>
      </c>
      <c r="B545" s="145"/>
      <c r="C545" s="151" t="s">
        <v>230</v>
      </c>
      <c r="D545" s="95" t="s">
        <v>71</v>
      </c>
      <c r="E545" s="232">
        <v>1</v>
      </c>
      <c r="F545" s="256"/>
      <c r="G545" s="192"/>
      <c r="I545" s="190"/>
    </row>
    <row r="546" spans="1:9" ht="14.25">
      <c r="A546" s="184" t="s">
        <v>1020</v>
      </c>
      <c r="B546" s="145"/>
      <c r="C546" s="124"/>
      <c r="D546" s="132"/>
      <c r="E546" s="225"/>
      <c r="F546" s="262"/>
      <c r="G546" s="192"/>
      <c r="I546" s="190"/>
    </row>
    <row r="547" spans="1:9" ht="60">
      <c r="A547" s="184" t="s">
        <v>1021</v>
      </c>
      <c r="B547" s="162" t="s">
        <v>164</v>
      </c>
      <c r="C547" s="68" t="s">
        <v>130</v>
      </c>
      <c r="D547" s="59" t="s">
        <v>71</v>
      </c>
      <c r="E547" s="225">
        <f>SUM(E548:E553)</f>
        <v>10</v>
      </c>
      <c r="F547" s="262">
        <v>0</v>
      </c>
      <c r="G547" s="192">
        <f>E547*F547</f>
        <v>0</v>
      </c>
      <c r="I547" s="190"/>
    </row>
    <row r="548" spans="1:9" ht="12">
      <c r="A548" s="184" t="s">
        <v>1022</v>
      </c>
      <c r="B548" s="145"/>
      <c r="C548" s="151" t="s">
        <v>225</v>
      </c>
      <c r="D548" s="95" t="s">
        <v>71</v>
      </c>
      <c r="E548" s="232">
        <v>1</v>
      </c>
      <c r="F548" s="262"/>
      <c r="G548" s="192"/>
      <c r="I548" s="190"/>
    </row>
    <row r="549" spans="1:9" ht="12">
      <c r="A549" s="184" t="s">
        <v>1023</v>
      </c>
      <c r="B549" s="145"/>
      <c r="C549" s="151" t="s">
        <v>226</v>
      </c>
      <c r="D549" s="95" t="s">
        <v>71</v>
      </c>
      <c r="E549" s="227">
        <v>1</v>
      </c>
      <c r="F549" s="262"/>
      <c r="G549" s="192"/>
      <c r="I549" s="190"/>
    </row>
    <row r="550" spans="1:9" ht="12">
      <c r="A550" s="184" t="s">
        <v>1024</v>
      </c>
      <c r="B550" s="145"/>
      <c r="C550" s="151" t="s">
        <v>227</v>
      </c>
      <c r="D550" s="95" t="s">
        <v>71</v>
      </c>
      <c r="E550" s="232">
        <v>2</v>
      </c>
      <c r="F550" s="262"/>
      <c r="G550" s="192"/>
      <c r="I550" s="190"/>
    </row>
    <row r="551" spans="1:9" ht="12">
      <c r="A551" s="184" t="s">
        <v>1025</v>
      </c>
      <c r="B551" s="145"/>
      <c r="C551" s="151" t="s">
        <v>228</v>
      </c>
      <c r="D551" s="95" t="s">
        <v>71</v>
      </c>
      <c r="E551" s="227">
        <v>3</v>
      </c>
      <c r="F551" s="262"/>
      <c r="G551" s="192"/>
      <c r="I551" s="190"/>
    </row>
    <row r="552" spans="1:9" ht="12">
      <c r="A552" s="184" t="s">
        <v>1026</v>
      </c>
      <c r="B552" s="145"/>
      <c r="C552" s="151" t="s">
        <v>229</v>
      </c>
      <c r="D552" s="95" t="s">
        <v>71</v>
      </c>
      <c r="E552" s="227">
        <v>2</v>
      </c>
      <c r="F552" s="262"/>
      <c r="G552" s="192"/>
      <c r="I552" s="190"/>
    </row>
    <row r="553" spans="1:9" ht="12">
      <c r="A553" s="184" t="s">
        <v>1027</v>
      </c>
      <c r="B553" s="145"/>
      <c r="C553" s="151" t="s">
        <v>230</v>
      </c>
      <c r="D553" s="95" t="s">
        <v>71</v>
      </c>
      <c r="E553" s="232">
        <v>1</v>
      </c>
      <c r="F553" s="262"/>
      <c r="G553" s="192"/>
      <c r="I553" s="190"/>
    </row>
    <row r="554" spans="1:9" ht="12">
      <c r="A554" s="184" t="s">
        <v>1028</v>
      </c>
      <c r="B554" s="145"/>
      <c r="D554" s="95"/>
      <c r="E554" s="232"/>
      <c r="F554" s="262"/>
      <c r="G554" s="192"/>
      <c r="I554" s="190"/>
    </row>
    <row r="555" spans="1:9" ht="84">
      <c r="A555" s="184" t="s">
        <v>1029</v>
      </c>
      <c r="B555" s="162" t="s">
        <v>164</v>
      </c>
      <c r="C555" s="64" t="s">
        <v>131</v>
      </c>
      <c r="D555" s="59" t="s">
        <v>71</v>
      </c>
      <c r="E555" s="225">
        <f>SUM(E556:E561)</f>
        <v>10</v>
      </c>
      <c r="F555" s="262">
        <v>0</v>
      </c>
      <c r="G555" s="192">
        <f>E555*F555</f>
        <v>0</v>
      </c>
      <c r="I555" s="190"/>
    </row>
    <row r="556" spans="1:9" ht="12">
      <c r="A556" s="184" t="s">
        <v>1030</v>
      </c>
      <c r="B556" s="145"/>
      <c r="C556" s="151" t="s">
        <v>225</v>
      </c>
      <c r="D556" s="95" t="s">
        <v>71</v>
      </c>
      <c r="E556" s="232">
        <v>1</v>
      </c>
      <c r="F556" s="262"/>
      <c r="G556" s="192"/>
      <c r="I556" s="190"/>
    </row>
    <row r="557" spans="1:9" ht="12">
      <c r="A557" s="184" t="s">
        <v>1031</v>
      </c>
      <c r="B557" s="145"/>
      <c r="C557" s="151" t="s">
        <v>226</v>
      </c>
      <c r="D557" s="95" t="s">
        <v>71</v>
      </c>
      <c r="E557" s="227">
        <v>1</v>
      </c>
      <c r="F557" s="262"/>
      <c r="G557" s="192"/>
      <c r="I557" s="190"/>
    </row>
    <row r="558" spans="1:9" ht="12">
      <c r="A558" s="184" t="s">
        <v>1032</v>
      </c>
      <c r="B558" s="145"/>
      <c r="C558" s="151" t="s">
        <v>227</v>
      </c>
      <c r="D558" s="95" t="s">
        <v>71</v>
      </c>
      <c r="E558" s="232">
        <v>2</v>
      </c>
      <c r="F558" s="262"/>
      <c r="G558" s="192"/>
      <c r="I558" s="190"/>
    </row>
    <row r="559" spans="1:9" ht="12">
      <c r="A559" s="184" t="s">
        <v>1033</v>
      </c>
      <c r="B559" s="145"/>
      <c r="C559" s="151" t="s">
        <v>228</v>
      </c>
      <c r="D559" s="95" t="s">
        <v>71</v>
      </c>
      <c r="E559" s="227">
        <v>3</v>
      </c>
      <c r="F559" s="262"/>
      <c r="G559" s="192"/>
      <c r="I559" s="190"/>
    </row>
    <row r="560" spans="1:9" ht="12">
      <c r="A560" s="184" t="s">
        <v>1034</v>
      </c>
      <c r="B560" s="145"/>
      <c r="C560" s="151" t="s">
        <v>229</v>
      </c>
      <c r="D560" s="95" t="s">
        <v>71</v>
      </c>
      <c r="E560" s="227">
        <v>2</v>
      </c>
      <c r="F560" s="262"/>
      <c r="G560" s="192"/>
      <c r="I560" s="190"/>
    </row>
    <row r="561" spans="1:9" ht="12">
      <c r="A561" s="184" t="s">
        <v>1035</v>
      </c>
      <c r="B561" s="145"/>
      <c r="C561" s="151" t="s">
        <v>230</v>
      </c>
      <c r="D561" s="95" t="s">
        <v>71</v>
      </c>
      <c r="E561" s="232">
        <v>1</v>
      </c>
      <c r="F561" s="262"/>
      <c r="G561" s="192"/>
      <c r="I561" s="190"/>
    </row>
    <row r="562" spans="1:9" ht="12">
      <c r="A562" s="184" t="s">
        <v>1036</v>
      </c>
      <c r="B562" s="145"/>
      <c r="D562" s="95"/>
      <c r="E562" s="232"/>
      <c r="F562" s="262"/>
      <c r="G562" s="192"/>
      <c r="I562" s="190"/>
    </row>
    <row r="563" spans="1:9" ht="50.25" customHeight="1">
      <c r="A563" s="184" t="s">
        <v>1037</v>
      </c>
      <c r="B563" s="162" t="s">
        <v>164</v>
      </c>
      <c r="C563" s="64" t="s">
        <v>132</v>
      </c>
      <c r="D563" s="59" t="s">
        <v>71</v>
      </c>
      <c r="E563" s="225">
        <f>SUM(E564:E569)</f>
        <v>6</v>
      </c>
      <c r="F563" s="262">
        <v>0</v>
      </c>
      <c r="G563" s="192">
        <f>E563*F563</f>
        <v>0</v>
      </c>
      <c r="I563" s="190"/>
    </row>
    <row r="564" spans="1:9" ht="12">
      <c r="A564" s="184" t="s">
        <v>1038</v>
      </c>
      <c r="B564" s="145"/>
      <c r="C564" s="151" t="s">
        <v>225</v>
      </c>
      <c r="D564" s="95" t="s">
        <v>71</v>
      </c>
      <c r="E564" s="232">
        <v>1</v>
      </c>
      <c r="F564" s="262"/>
      <c r="G564" s="192"/>
      <c r="I564" s="190"/>
    </row>
    <row r="565" spans="1:9" ht="12">
      <c r="A565" s="184" t="s">
        <v>1039</v>
      </c>
      <c r="B565" s="145"/>
      <c r="C565" s="151" t="s">
        <v>226</v>
      </c>
      <c r="D565" s="95" t="s">
        <v>71</v>
      </c>
      <c r="E565" s="227">
        <v>1</v>
      </c>
      <c r="F565" s="262"/>
      <c r="G565" s="192"/>
      <c r="I565" s="190"/>
    </row>
    <row r="566" spans="1:9" ht="12">
      <c r="A566" s="184" t="s">
        <v>1040</v>
      </c>
      <c r="B566" s="145"/>
      <c r="C566" s="151" t="s">
        <v>227</v>
      </c>
      <c r="D566" s="95" t="s">
        <v>71</v>
      </c>
      <c r="E566" s="232">
        <v>0</v>
      </c>
      <c r="F566" s="262"/>
      <c r="G566" s="192"/>
      <c r="I566" s="190"/>
    </row>
    <row r="567" spans="1:9" ht="12">
      <c r="A567" s="184" t="s">
        <v>1041</v>
      </c>
      <c r="B567" s="145"/>
      <c r="C567" s="151" t="s">
        <v>228</v>
      </c>
      <c r="D567" s="95" t="s">
        <v>71</v>
      </c>
      <c r="E567" s="227">
        <v>3</v>
      </c>
      <c r="F567" s="262"/>
      <c r="G567" s="192"/>
      <c r="I567" s="190"/>
    </row>
    <row r="568" spans="1:9" ht="12">
      <c r="A568" s="184" t="s">
        <v>1042</v>
      </c>
      <c r="B568" s="145"/>
      <c r="C568" s="151" t="s">
        <v>229</v>
      </c>
      <c r="D568" s="95" t="s">
        <v>71</v>
      </c>
      <c r="E568" s="227">
        <v>0</v>
      </c>
      <c r="F568" s="262"/>
      <c r="G568" s="192"/>
      <c r="I568" s="190"/>
    </row>
    <row r="569" spans="1:9" ht="12">
      <c r="A569" s="184" t="s">
        <v>1043</v>
      </c>
      <c r="B569" s="145"/>
      <c r="C569" s="151" t="s">
        <v>230</v>
      </c>
      <c r="D569" s="95" t="s">
        <v>71</v>
      </c>
      <c r="E569" s="232">
        <v>1</v>
      </c>
      <c r="F569" s="262"/>
      <c r="G569" s="192"/>
      <c r="I569" s="190"/>
    </row>
    <row r="570" spans="1:9" ht="14.25">
      <c r="A570" s="184" t="s">
        <v>1044</v>
      </c>
      <c r="B570" s="145"/>
      <c r="C570" s="124"/>
      <c r="D570" s="59"/>
      <c r="E570" s="225"/>
      <c r="F570" s="262"/>
      <c r="G570" s="192"/>
      <c r="I570" s="190"/>
    </row>
    <row r="571" spans="1:9" ht="36">
      <c r="A571" s="184" t="s">
        <v>1045</v>
      </c>
      <c r="B571" s="162" t="s">
        <v>164</v>
      </c>
      <c r="C571" s="64" t="s">
        <v>133</v>
      </c>
      <c r="D571" s="59" t="s">
        <v>71</v>
      </c>
      <c r="E571" s="225">
        <f>SUM(E572:E577)</f>
        <v>6</v>
      </c>
      <c r="F571" s="262">
        <v>0</v>
      </c>
      <c r="G571" s="192">
        <f>E571*F571</f>
        <v>0</v>
      </c>
      <c r="I571" s="190"/>
    </row>
    <row r="572" spans="1:9" ht="12">
      <c r="A572" s="184" t="s">
        <v>1046</v>
      </c>
      <c r="B572" s="145"/>
      <c r="C572" s="151" t="s">
        <v>225</v>
      </c>
      <c r="D572" s="95" t="s">
        <v>71</v>
      </c>
      <c r="E572" s="232">
        <v>1</v>
      </c>
      <c r="F572" s="262"/>
      <c r="G572" s="192"/>
      <c r="I572" s="190"/>
    </row>
    <row r="573" spans="1:9" ht="12">
      <c r="A573" s="184" t="s">
        <v>1047</v>
      </c>
      <c r="B573" s="145"/>
      <c r="C573" s="151" t="s">
        <v>226</v>
      </c>
      <c r="D573" s="95" t="s">
        <v>71</v>
      </c>
      <c r="E573" s="227">
        <v>1</v>
      </c>
      <c r="F573" s="262"/>
      <c r="G573" s="192"/>
      <c r="I573" s="190"/>
    </row>
    <row r="574" spans="1:9" ht="12">
      <c r="A574" s="184" t="s">
        <v>1048</v>
      </c>
      <c r="B574" s="145"/>
      <c r="C574" s="151" t="s">
        <v>227</v>
      </c>
      <c r="D574" s="95" t="s">
        <v>71</v>
      </c>
      <c r="E574" s="232">
        <v>1</v>
      </c>
      <c r="F574" s="262"/>
      <c r="G574" s="192"/>
      <c r="I574" s="190"/>
    </row>
    <row r="575" spans="1:9" ht="12">
      <c r="A575" s="184" t="s">
        <v>1049</v>
      </c>
      <c r="B575" s="145"/>
      <c r="C575" s="151" t="s">
        <v>228</v>
      </c>
      <c r="D575" s="95" t="s">
        <v>71</v>
      </c>
      <c r="E575" s="227">
        <v>1</v>
      </c>
      <c r="F575" s="262"/>
      <c r="G575" s="192"/>
      <c r="I575" s="190"/>
    </row>
    <row r="576" spans="1:9" ht="12">
      <c r="A576" s="184" t="s">
        <v>1050</v>
      </c>
      <c r="B576" s="145"/>
      <c r="C576" s="151" t="s">
        <v>229</v>
      </c>
      <c r="D576" s="95" t="s">
        <v>71</v>
      </c>
      <c r="E576" s="227">
        <v>1</v>
      </c>
      <c r="F576" s="262"/>
      <c r="G576" s="192"/>
      <c r="I576" s="190"/>
    </row>
    <row r="577" spans="1:9" ht="12">
      <c r="A577" s="184" t="s">
        <v>1051</v>
      </c>
      <c r="B577" s="145"/>
      <c r="C577" s="151" t="s">
        <v>230</v>
      </c>
      <c r="D577" s="95" t="s">
        <v>71</v>
      </c>
      <c r="E577" s="232">
        <v>1</v>
      </c>
      <c r="F577" s="262"/>
      <c r="G577" s="192"/>
      <c r="I577" s="190"/>
    </row>
    <row r="578" spans="1:9" ht="14.25">
      <c r="A578" s="184" t="s">
        <v>1052</v>
      </c>
      <c r="B578" s="145"/>
      <c r="C578" s="124"/>
      <c r="D578" s="59"/>
      <c r="E578" s="225"/>
      <c r="F578" s="262"/>
      <c r="G578" s="192"/>
      <c r="I578" s="190"/>
    </row>
    <row r="579" spans="1:9" ht="72">
      <c r="A579" s="184" t="s">
        <v>1053</v>
      </c>
      <c r="B579" s="162" t="s">
        <v>164</v>
      </c>
      <c r="C579" s="51" t="s">
        <v>134</v>
      </c>
      <c r="D579" s="59" t="s">
        <v>71</v>
      </c>
      <c r="E579" s="225">
        <f>SUM(E580:E585)</f>
        <v>6</v>
      </c>
      <c r="F579" s="262">
        <v>0</v>
      </c>
      <c r="G579" s="192">
        <f>E579*F579</f>
        <v>0</v>
      </c>
      <c r="I579" s="190"/>
    </row>
    <row r="580" spans="1:9" ht="14.25">
      <c r="A580" s="184" t="s">
        <v>1054</v>
      </c>
      <c r="B580" s="145"/>
      <c r="C580" s="151" t="s">
        <v>225</v>
      </c>
      <c r="D580" s="95" t="s">
        <v>71</v>
      </c>
      <c r="E580" s="232">
        <v>1</v>
      </c>
      <c r="F580" s="272"/>
      <c r="G580" s="201"/>
      <c r="I580" s="190"/>
    </row>
    <row r="581" spans="1:9" ht="14.25">
      <c r="A581" s="184" t="s">
        <v>1055</v>
      </c>
      <c r="B581" s="145"/>
      <c r="C581" s="151" t="s">
        <v>226</v>
      </c>
      <c r="D581" s="95" t="s">
        <v>71</v>
      </c>
      <c r="E581" s="227">
        <v>1</v>
      </c>
      <c r="F581" s="272"/>
      <c r="G581" s="201"/>
      <c r="I581" s="190"/>
    </row>
    <row r="582" spans="1:9" ht="14.25">
      <c r="A582" s="184" t="s">
        <v>1056</v>
      </c>
      <c r="B582" s="145"/>
      <c r="C582" s="151" t="s">
        <v>227</v>
      </c>
      <c r="D582" s="95" t="s">
        <v>71</v>
      </c>
      <c r="E582" s="232">
        <v>0</v>
      </c>
      <c r="F582" s="272"/>
      <c r="G582" s="201"/>
      <c r="I582" s="190"/>
    </row>
    <row r="583" spans="1:9" ht="14.25">
      <c r="A583" s="184" t="s">
        <v>1057</v>
      </c>
      <c r="B583" s="145"/>
      <c r="C583" s="151" t="s">
        <v>228</v>
      </c>
      <c r="D583" s="95" t="s">
        <v>71</v>
      </c>
      <c r="E583" s="227">
        <v>3</v>
      </c>
      <c r="F583" s="272"/>
      <c r="G583" s="201"/>
      <c r="I583" s="190"/>
    </row>
    <row r="584" spans="1:9" ht="14.25">
      <c r="A584" s="184" t="s">
        <v>1058</v>
      </c>
      <c r="B584" s="145"/>
      <c r="C584" s="151" t="s">
        <v>229</v>
      </c>
      <c r="D584" s="95" t="s">
        <v>71</v>
      </c>
      <c r="E584" s="227">
        <v>0</v>
      </c>
      <c r="F584" s="272"/>
      <c r="G584" s="201"/>
      <c r="I584" s="190"/>
    </row>
    <row r="585" spans="1:9" ht="14.25">
      <c r="A585" s="184" t="s">
        <v>1059</v>
      </c>
      <c r="B585" s="145"/>
      <c r="C585" s="151" t="s">
        <v>230</v>
      </c>
      <c r="D585" s="95" t="s">
        <v>71</v>
      </c>
      <c r="E585" s="232">
        <v>1</v>
      </c>
      <c r="F585" s="272"/>
      <c r="G585" s="201"/>
      <c r="I585" s="190"/>
    </row>
    <row r="586" spans="1:9" ht="14.25">
      <c r="A586" s="184" t="s">
        <v>1060</v>
      </c>
      <c r="B586" s="145"/>
      <c r="D586" s="59"/>
      <c r="E586" s="227"/>
      <c r="F586" s="272"/>
      <c r="G586" s="201"/>
      <c r="I586" s="190"/>
    </row>
    <row r="587" spans="1:9" ht="36">
      <c r="A587" s="184" t="s">
        <v>1061</v>
      </c>
      <c r="B587" s="162" t="s">
        <v>164</v>
      </c>
      <c r="C587" s="64" t="s">
        <v>179</v>
      </c>
      <c r="D587" s="125"/>
      <c r="E587" s="200"/>
      <c r="F587" s="262"/>
      <c r="G587" s="200"/>
      <c r="I587" s="190"/>
    </row>
    <row r="588" spans="1:9" ht="12">
      <c r="A588" s="184" t="s">
        <v>1062</v>
      </c>
      <c r="B588" s="162"/>
      <c r="D588" s="59" t="s">
        <v>71</v>
      </c>
      <c r="E588" s="225">
        <f>SUM(E589:E594)</f>
        <v>6</v>
      </c>
      <c r="F588" s="262">
        <v>0</v>
      </c>
      <c r="G588" s="192">
        <f>E588*F588</f>
        <v>0</v>
      </c>
      <c r="I588" s="190"/>
    </row>
    <row r="589" spans="1:9" ht="12">
      <c r="A589" s="184" t="s">
        <v>1063</v>
      </c>
      <c r="B589" s="145"/>
      <c r="C589" s="151" t="s">
        <v>225</v>
      </c>
      <c r="D589" s="95" t="s">
        <v>71</v>
      </c>
      <c r="E589" s="232">
        <v>1</v>
      </c>
      <c r="F589" s="262"/>
      <c r="G589" s="192"/>
      <c r="I589" s="190"/>
    </row>
    <row r="590" spans="1:9" ht="12">
      <c r="A590" s="184" t="s">
        <v>1064</v>
      </c>
      <c r="B590" s="145"/>
      <c r="C590" s="151" t="s">
        <v>226</v>
      </c>
      <c r="D590" s="95" t="s">
        <v>71</v>
      </c>
      <c r="E590" s="227">
        <v>1</v>
      </c>
      <c r="F590" s="262"/>
      <c r="G590" s="192"/>
      <c r="I590" s="190"/>
    </row>
    <row r="591" spans="1:9" ht="12">
      <c r="A591" s="184" t="s">
        <v>1065</v>
      </c>
      <c r="B591" s="145"/>
      <c r="C591" s="151" t="s">
        <v>227</v>
      </c>
      <c r="D591" s="95" t="s">
        <v>71</v>
      </c>
      <c r="E591" s="232">
        <v>1</v>
      </c>
      <c r="F591" s="262"/>
      <c r="G591" s="192"/>
      <c r="I591" s="190"/>
    </row>
    <row r="592" spans="1:9" ht="12">
      <c r="A592" s="184" t="s">
        <v>1066</v>
      </c>
      <c r="B592" s="145"/>
      <c r="C592" s="151" t="s">
        <v>228</v>
      </c>
      <c r="D592" s="95" t="s">
        <v>71</v>
      </c>
      <c r="E592" s="227">
        <v>1</v>
      </c>
      <c r="F592" s="262"/>
      <c r="G592" s="192"/>
      <c r="I592" s="190"/>
    </row>
    <row r="593" spans="1:9" ht="12">
      <c r="A593" s="184" t="s">
        <v>1067</v>
      </c>
      <c r="B593" s="145"/>
      <c r="C593" s="151" t="s">
        <v>229</v>
      </c>
      <c r="D593" s="95" t="s">
        <v>71</v>
      </c>
      <c r="E593" s="227">
        <v>1</v>
      </c>
      <c r="F593" s="262"/>
      <c r="G593" s="192"/>
      <c r="I593" s="190"/>
    </row>
    <row r="594" spans="1:9" ht="12">
      <c r="A594" s="184" t="s">
        <v>1068</v>
      </c>
      <c r="B594" s="145"/>
      <c r="C594" s="151" t="s">
        <v>230</v>
      </c>
      <c r="D594" s="95" t="s">
        <v>71</v>
      </c>
      <c r="E594" s="232">
        <v>1</v>
      </c>
      <c r="F594" s="262"/>
      <c r="G594" s="192"/>
      <c r="I594" s="190"/>
    </row>
    <row r="595" spans="1:9" ht="12">
      <c r="A595" s="184" t="s">
        <v>1069</v>
      </c>
      <c r="B595" s="145"/>
      <c r="C595" s="151"/>
      <c r="D595" s="95"/>
      <c r="E595" s="232"/>
      <c r="F595" s="262"/>
      <c r="G595" s="192"/>
      <c r="I595" s="190"/>
    </row>
    <row r="596" spans="1:9" ht="24">
      <c r="A596" s="184" t="s">
        <v>1070</v>
      </c>
      <c r="B596" s="162" t="s">
        <v>164</v>
      </c>
      <c r="C596" s="64" t="s">
        <v>380</v>
      </c>
      <c r="D596" s="95" t="s">
        <v>71</v>
      </c>
      <c r="E596" s="232">
        <v>6</v>
      </c>
      <c r="F596" s="262">
        <v>0</v>
      </c>
      <c r="G596" s="192">
        <f>E596*F596</f>
        <v>0</v>
      </c>
      <c r="I596" s="190"/>
    </row>
    <row r="597" spans="1:9" ht="12">
      <c r="A597" s="184" t="s">
        <v>1071</v>
      </c>
      <c r="B597" s="145"/>
      <c r="C597" s="59" t="s">
        <v>381</v>
      </c>
      <c r="D597" s="155" t="s">
        <v>71</v>
      </c>
      <c r="E597" s="227">
        <v>3</v>
      </c>
      <c r="F597" s="262"/>
      <c r="G597" s="192"/>
      <c r="I597" s="190"/>
    </row>
    <row r="598" spans="1:7" ht="12">
      <c r="A598" s="184" t="s">
        <v>1072</v>
      </c>
      <c r="B598" s="145"/>
      <c r="C598" s="59" t="s">
        <v>382</v>
      </c>
      <c r="D598" s="155" t="s">
        <v>71</v>
      </c>
      <c r="E598" s="227">
        <v>3</v>
      </c>
      <c r="F598" s="262"/>
      <c r="G598" s="192"/>
    </row>
    <row r="599" spans="1:7" ht="12">
      <c r="A599" s="184" t="s">
        <v>1073</v>
      </c>
      <c r="B599" s="145"/>
      <c r="C599" s="59"/>
      <c r="D599" s="155"/>
      <c r="E599" s="227"/>
      <c r="F599" s="262"/>
      <c r="G599" s="192"/>
    </row>
    <row r="600" spans="1:19" s="125" customFormat="1" ht="36.75">
      <c r="A600" s="184" t="s">
        <v>1074</v>
      </c>
      <c r="B600" s="162" t="s">
        <v>164</v>
      </c>
      <c r="C600" s="120" t="s">
        <v>376</v>
      </c>
      <c r="D600" s="77"/>
      <c r="E600" s="205"/>
      <c r="F600" s="272"/>
      <c r="G600" s="201"/>
      <c r="H600" s="245"/>
      <c r="I600" s="246"/>
      <c r="J600" s="127"/>
      <c r="K600" s="127"/>
      <c r="L600" s="128"/>
      <c r="M600" s="126"/>
      <c r="N600" s="126"/>
      <c r="O600" s="129"/>
      <c r="P600" s="127"/>
      <c r="Q600" s="128"/>
      <c r="R600" s="126"/>
      <c r="S600" s="126"/>
    </row>
    <row r="601" spans="1:19" s="125" customFormat="1" ht="15">
      <c r="A601" s="184" t="s">
        <v>1075</v>
      </c>
      <c r="B601" s="145"/>
      <c r="C601" s="121" t="s">
        <v>377</v>
      </c>
      <c r="D601" s="107" t="s">
        <v>68</v>
      </c>
      <c r="E601" s="204">
        <v>6</v>
      </c>
      <c r="F601" s="262">
        <v>0</v>
      </c>
      <c r="G601" s="192">
        <f>E601*F601</f>
        <v>0</v>
      </c>
      <c r="H601" s="245"/>
      <c r="I601" s="246"/>
      <c r="J601" s="127"/>
      <c r="K601" s="127"/>
      <c r="L601" s="128"/>
      <c r="M601" s="126"/>
      <c r="N601" s="126"/>
      <c r="O601" s="129"/>
      <c r="P601" s="127"/>
      <c r="Q601" s="128"/>
      <c r="R601" s="126"/>
      <c r="S601" s="126"/>
    </row>
    <row r="602" spans="1:7" ht="12">
      <c r="A602" s="185"/>
      <c r="B602" s="145"/>
      <c r="C602" s="140"/>
      <c r="D602" s="141"/>
      <c r="E602" s="234"/>
      <c r="F602" s="273"/>
      <c r="G602" s="199"/>
    </row>
    <row r="603" spans="1:7" ht="12">
      <c r="A603" s="185"/>
      <c r="B603" s="145"/>
      <c r="C603" s="119"/>
      <c r="D603" s="97"/>
      <c r="G603" s="189"/>
    </row>
    <row r="604" spans="1:7" ht="12">
      <c r="A604" s="185"/>
      <c r="B604" s="145"/>
      <c r="C604" s="119"/>
      <c r="D604" s="97"/>
      <c r="E604" s="205"/>
      <c r="F604" s="251"/>
      <c r="G604" s="133"/>
    </row>
    <row r="605" spans="1:4" ht="12">
      <c r="A605" s="185"/>
      <c r="B605" s="145"/>
      <c r="C605" s="119"/>
      <c r="D605" s="97"/>
    </row>
    <row r="606" spans="1:4" ht="12">
      <c r="A606" s="185"/>
      <c r="B606" s="145"/>
      <c r="C606" s="119"/>
      <c r="D606" s="97"/>
    </row>
    <row r="607" spans="1:7" ht="12">
      <c r="A607" s="72"/>
      <c r="B607" s="147"/>
      <c r="D607" s="64"/>
      <c r="E607" s="97"/>
      <c r="F607" s="256"/>
      <c r="G607" s="97"/>
    </row>
    <row r="608" spans="1:7" ht="12">
      <c r="A608" s="72"/>
      <c r="B608" s="147"/>
      <c r="D608" s="64"/>
      <c r="E608" s="97"/>
      <c r="F608" s="256"/>
      <c r="G608" s="97"/>
    </row>
    <row r="609" spans="1:7" ht="12">
      <c r="A609" s="72"/>
      <c r="B609" s="147"/>
      <c r="D609" s="64"/>
      <c r="E609" s="97"/>
      <c r="F609" s="256"/>
      <c r="G609" s="97"/>
    </row>
    <row r="610" spans="1:7" ht="12">
      <c r="A610" s="185"/>
      <c r="B610" s="174"/>
      <c r="C610" s="49"/>
      <c r="D610" s="105"/>
      <c r="E610" s="205"/>
      <c r="G610" s="189"/>
    </row>
    <row r="611" spans="1:7" ht="12">
      <c r="A611" s="185"/>
      <c r="B611" s="174"/>
      <c r="C611" s="118"/>
      <c r="D611" s="106"/>
      <c r="F611" s="251"/>
      <c r="G611" s="133"/>
    </row>
    <row r="612" spans="2:5" ht="12">
      <c r="B612" s="174"/>
      <c r="C612" s="55"/>
      <c r="D612" s="108"/>
      <c r="E612" s="195"/>
    </row>
    <row r="613" spans="2:5" ht="12">
      <c r="B613" s="174"/>
      <c r="C613" s="55"/>
      <c r="D613" s="109"/>
      <c r="E613" s="195"/>
    </row>
    <row r="614" spans="2:7" ht="12">
      <c r="B614" s="174"/>
      <c r="C614" s="118"/>
      <c r="D614" s="109"/>
      <c r="E614" s="195"/>
      <c r="F614" s="259"/>
      <c r="G614" s="54"/>
    </row>
    <row r="615" spans="2:5" ht="12">
      <c r="B615" s="174"/>
      <c r="C615" s="118"/>
      <c r="D615" s="109"/>
      <c r="E615" s="195"/>
    </row>
    <row r="616" spans="2:7" ht="12">
      <c r="B616" s="174"/>
      <c r="C616" s="119"/>
      <c r="D616" s="109"/>
      <c r="E616" s="195"/>
      <c r="F616" s="256"/>
      <c r="G616" s="189"/>
    </row>
    <row r="617" spans="2:7" ht="12">
      <c r="B617" s="174"/>
      <c r="C617" s="119"/>
      <c r="D617" s="109"/>
      <c r="E617" s="195"/>
      <c r="F617" s="256"/>
      <c r="G617" s="189"/>
    </row>
    <row r="618" spans="2:7" ht="12">
      <c r="B618" s="174"/>
      <c r="C618" s="119"/>
      <c r="D618" s="109"/>
      <c r="E618" s="195"/>
      <c r="F618" s="256"/>
      <c r="G618" s="189"/>
    </row>
    <row r="619" spans="2:7" ht="12">
      <c r="B619" s="174"/>
      <c r="C619" s="119"/>
      <c r="D619" s="109"/>
      <c r="E619" s="195"/>
      <c r="F619" s="256"/>
      <c r="G619" s="189"/>
    </row>
    <row r="620" spans="2:7" ht="12">
      <c r="B620" s="174"/>
      <c r="C620" s="119"/>
      <c r="D620" s="109"/>
      <c r="E620" s="207"/>
      <c r="F620" s="256"/>
      <c r="G620" s="189"/>
    </row>
    <row r="621" spans="2:7" ht="12">
      <c r="B621" s="174"/>
      <c r="C621" s="119"/>
      <c r="D621" s="109"/>
      <c r="E621" s="207"/>
      <c r="F621" s="256"/>
      <c r="G621" s="189"/>
    </row>
    <row r="622" spans="2:7" ht="12">
      <c r="B622" s="174"/>
      <c r="C622" s="119"/>
      <c r="D622" s="109"/>
      <c r="E622" s="195"/>
      <c r="F622" s="256"/>
      <c r="G622" s="189"/>
    </row>
    <row r="623" spans="2:7" ht="12">
      <c r="B623" s="174"/>
      <c r="C623" s="122"/>
      <c r="D623" s="78"/>
      <c r="F623" s="256"/>
      <c r="G623" s="189"/>
    </row>
    <row r="624" spans="2:7" ht="12">
      <c r="B624" s="145"/>
      <c r="C624" s="68"/>
      <c r="D624" s="78"/>
      <c r="E624" s="205"/>
      <c r="F624" s="256"/>
      <c r="G624" s="189"/>
    </row>
    <row r="625" spans="2:7" ht="12">
      <c r="B625" s="145"/>
      <c r="C625" s="68"/>
      <c r="D625" s="78"/>
      <c r="E625" s="205"/>
      <c r="F625" s="256"/>
      <c r="G625" s="189"/>
    </row>
    <row r="626" spans="2:7" ht="12">
      <c r="B626" s="145"/>
      <c r="C626" s="68"/>
      <c r="D626" s="78"/>
      <c r="E626" s="205"/>
      <c r="F626" s="256"/>
      <c r="G626" s="189"/>
    </row>
    <row r="627" spans="2:5" ht="12">
      <c r="B627" s="145"/>
      <c r="C627" s="68"/>
      <c r="D627" s="78"/>
      <c r="E627" s="205"/>
    </row>
    <row r="628" spans="2:7" ht="12">
      <c r="B628" s="145"/>
      <c r="C628" s="68"/>
      <c r="D628" s="78"/>
      <c r="E628" s="205"/>
      <c r="G628" s="133"/>
    </row>
    <row r="629" spans="2:7" ht="12">
      <c r="B629" s="145"/>
      <c r="C629" s="68"/>
      <c r="D629" s="78"/>
      <c r="E629" s="205"/>
      <c r="G629" s="133"/>
    </row>
    <row r="630" spans="2:7" ht="12">
      <c r="B630" s="145"/>
      <c r="C630" s="68"/>
      <c r="D630" s="78"/>
      <c r="E630" s="205"/>
      <c r="G630" s="133"/>
    </row>
    <row r="631" spans="2:7" ht="12">
      <c r="B631" s="145"/>
      <c r="C631" s="68"/>
      <c r="D631" s="78"/>
      <c r="E631" s="205"/>
      <c r="G631" s="133"/>
    </row>
    <row r="632" spans="2:7" ht="12">
      <c r="B632" s="145"/>
      <c r="C632" s="68"/>
      <c r="D632" s="78"/>
      <c r="E632" s="205"/>
      <c r="G632" s="133"/>
    </row>
    <row r="633" spans="2:7" ht="12">
      <c r="B633" s="145"/>
      <c r="C633" s="68"/>
      <c r="D633" s="78"/>
      <c r="E633" s="205"/>
      <c r="G633" s="133"/>
    </row>
    <row r="634" spans="2:7" ht="12">
      <c r="B634" s="145"/>
      <c r="C634" s="68"/>
      <c r="D634" s="78"/>
      <c r="E634" s="205"/>
      <c r="G634" s="133"/>
    </row>
    <row r="635" spans="2:7" ht="12">
      <c r="B635" s="145"/>
      <c r="C635" s="68"/>
      <c r="D635" s="78"/>
      <c r="E635" s="205"/>
      <c r="G635" s="133"/>
    </row>
    <row r="636" spans="2:7" ht="12">
      <c r="B636" s="145"/>
      <c r="C636" s="68"/>
      <c r="D636" s="78"/>
      <c r="E636" s="205"/>
      <c r="G636" s="133"/>
    </row>
    <row r="637" spans="2:7" ht="12">
      <c r="B637" s="145"/>
      <c r="C637" s="68"/>
      <c r="D637" s="78"/>
      <c r="E637" s="205"/>
      <c r="G637" s="133"/>
    </row>
    <row r="638" spans="2:7" ht="12">
      <c r="B638" s="145"/>
      <c r="C638" s="68"/>
      <c r="D638" s="78"/>
      <c r="E638" s="205"/>
      <c r="G638" s="133"/>
    </row>
    <row r="639" spans="2:7" ht="12">
      <c r="B639" s="145"/>
      <c r="C639" s="68"/>
      <c r="D639" s="78"/>
      <c r="E639" s="205"/>
      <c r="G639" s="133"/>
    </row>
    <row r="640" spans="2:7" ht="12">
      <c r="B640" s="145"/>
      <c r="C640" s="68"/>
      <c r="D640" s="78"/>
      <c r="E640" s="205"/>
      <c r="G640" s="133"/>
    </row>
    <row r="641" spans="3:7" ht="12">
      <c r="C641" s="68"/>
      <c r="D641" s="78"/>
      <c r="E641" s="205"/>
      <c r="G641" s="133"/>
    </row>
    <row r="642" spans="3:7" ht="12">
      <c r="C642" s="68"/>
      <c r="D642" s="78"/>
      <c r="E642" s="205"/>
      <c r="G642" s="133"/>
    </row>
    <row r="643" spans="3:7" ht="12">
      <c r="C643" s="68"/>
      <c r="D643" s="78"/>
      <c r="E643" s="205"/>
      <c r="G643" s="133"/>
    </row>
    <row r="644" spans="3:7" ht="12">
      <c r="C644" s="68"/>
      <c r="D644" s="78"/>
      <c r="E644" s="205"/>
      <c r="G644" s="133"/>
    </row>
    <row r="645" spans="3:7" ht="12">
      <c r="C645" s="68"/>
      <c r="D645" s="78"/>
      <c r="E645" s="205"/>
      <c r="G645" s="133"/>
    </row>
    <row r="646" spans="3:7" ht="12">
      <c r="C646" s="68"/>
      <c r="D646" s="78"/>
      <c r="E646" s="205"/>
      <c r="G646" s="133"/>
    </row>
    <row r="647" spans="3:7" ht="12">
      <c r="C647" s="68"/>
      <c r="D647" s="78"/>
      <c r="E647" s="205"/>
      <c r="G647" s="133"/>
    </row>
    <row r="648" spans="3:7" ht="12">
      <c r="C648" s="68"/>
      <c r="D648" s="78"/>
      <c r="E648" s="205"/>
      <c r="G648" s="133"/>
    </row>
    <row r="649" spans="3:7" ht="12">
      <c r="C649" s="68"/>
      <c r="D649" s="78"/>
      <c r="E649" s="205"/>
      <c r="G649" s="133"/>
    </row>
    <row r="650" spans="3:7" ht="12">
      <c r="C650" s="68"/>
      <c r="D650" s="78"/>
      <c r="E650" s="205"/>
      <c r="G650" s="133"/>
    </row>
    <row r="651" spans="3:7" ht="12">
      <c r="C651" s="68"/>
      <c r="D651" s="78"/>
      <c r="E651" s="205"/>
      <c r="G651" s="133"/>
    </row>
    <row r="652" spans="3:7" ht="12">
      <c r="C652" s="68"/>
      <c r="D652" s="78"/>
      <c r="E652" s="205"/>
      <c r="G652" s="133"/>
    </row>
    <row r="653" spans="3:7" ht="12">
      <c r="C653" s="68"/>
      <c r="D653" s="78"/>
      <c r="E653" s="205"/>
      <c r="G653" s="133"/>
    </row>
    <row r="654" spans="3:7" ht="12">
      <c r="C654" s="68"/>
      <c r="D654" s="78"/>
      <c r="E654" s="205"/>
      <c r="G654" s="133"/>
    </row>
    <row r="655" spans="3:7" ht="12">
      <c r="C655" s="68"/>
      <c r="D655" s="78"/>
      <c r="E655" s="205"/>
      <c r="G655" s="133"/>
    </row>
    <row r="656" spans="3:7" ht="12">
      <c r="C656" s="68"/>
      <c r="D656" s="78"/>
      <c r="E656" s="205"/>
      <c r="G656" s="133"/>
    </row>
    <row r="657" spans="3:7" ht="12">
      <c r="C657" s="68"/>
      <c r="D657" s="78"/>
      <c r="E657" s="205"/>
      <c r="G657" s="133"/>
    </row>
    <row r="658" spans="3:7" ht="12">
      <c r="C658" s="68"/>
      <c r="D658" s="78"/>
      <c r="E658" s="205"/>
      <c r="G658" s="133"/>
    </row>
    <row r="659" spans="3:7" ht="12">
      <c r="C659" s="68"/>
      <c r="D659" s="78"/>
      <c r="E659" s="205"/>
      <c r="G659" s="133"/>
    </row>
    <row r="660" spans="3:7" ht="12">
      <c r="C660" s="68"/>
      <c r="D660" s="78"/>
      <c r="E660" s="205"/>
      <c r="G660" s="133"/>
    </row>
    <row r="661" spans="3:7" ht="12">
      <c r="C661" s="68"/>
      <c r="D661" s="78"/>
      <c r="E661" s="205"/>
      <c r="G661" s="133"/>
    </row>
    <row r="662" spans="3:7" ht="12">
      <c r="C662" s="68"/>
      <c r="D662" s="78"/>
      <c r="E662" s="205"/>
      <c r="G662" s="133"/>
    </row>
    <row r="663" spans="3:7" ht="12">
      <c r="C663" s="68"/>
      <c r="D663" s="78"/>
      <c r="E663" s="205"/>
      <c r="G663" s="133"/>
    </row>
    <row r="664" spans="3:7" ht="12">
      <c r="C664" s="68"/>
      <c r="D664" s="78"/>
      <c r="E664" s="205"/>
      <c r="G664" s="133"/>
    </row>
    <row r="665" spans="3:7" ht="12">
      <c r="C665" s="68"/>
      <c r="D665" s="78"/>
      <c r="E665" s="205"/>
      <c r="G665" s="133"/>
    </row>
    <row r="666" spans="3:7" ht="12">
      <c r="C666" s="68"/>
      <c r="D666" s="78"/>
      <c r="E666" s="205"/>
      <c r="G666" s="133"/>
    </row>
    <row r="667" spans="3:7" ht="12">
      <c r="C667" s="68"/>
      <c r="D667" s="78"/>
      <c r="E667" s="205"/>
      <c r="G667" s="133"/>
    </row>
    <row r="668" spans="3:7" ht="12">
      <c r="C668" s="68"/>
      <c r="D668" s="78"/>
      <c r="E668" s="205"/>
      <c r="G668" s="133"/>
    </row>
    <row r="669" spans="3:7" ht="12">
      <c r="C669" s="68"/>
      <c r="D669" s="78"/>
      <c r="E669" s="205"/>
      <c r="G669" s="133"/>
    </row>
    <row r="670" spans="3:7" ht="12">
      <c r="C670" s="68"/>
      <c r="D670" s="78"/>
      <c r="E670" s="205"/>
      <c r="G670" s="133"/>
    </row>
    <row r="671" spans="3:7" ht="12">
      <c r="C671" s="68"/>
      <c r="D671" s="78"/>
      <c r="E671" s="205"/>
      <c r="G671" s="133"/>
    </row>
    <row r="672" spans="3:7" ht="12">
      <c r="C672" s="68"/>
      <c r="D672" s="78"/>
      <c r="E672" s="205"/>
      <c r="G672" s="133"/>
    </row>
    <row r="673" spans="3:7" ht="12">
      <c r="C673" s="68"/>
      <c r="D673" s="78"/>
      <c r="E673" s="205"/>
      <c r="G673" s="133"/>
    </row>
    <row r="674" spans="3:7" ht="12">
      <c r="C674" s="68"/>
      <c r="D674" s="78"/>
      <c r="E674" s="205"/>
      <c r="G674" s="133"/>
    </row>
    <row r="675" spans="3:7" ht="12">
      <c r="C675" s="68"/>
      <c r="D675" s="78"/>
      <c r="E675" s="205"/>
      <c r="G675" s="133"/>
    </row>
    <row r="676" spans="3:7" ht="12">
      <c r="C676" s="68"/>
      <c r="D676" s="78"/>
      <c r="E676" s="205"/>
      <c r="G676" s="133"/>
    </row>
    <row r="677" spans="3:7" ht="12">
      <c r="C677" s="68"/>
      <c r="D677" s="78"/>
      <c r="E677" s="205"/>
      <c r="G677" s="133"/>
    </row>
    <row r="678" spans="3:7" ht="12">
      <c r="C678" s="68"/>
      <c r="D678" s="78"/>
      <c r="E678" s="205"/>
      <c r="G678" s="133"/>
    </row>
    <row r="679" spans="3:7" ht="12">
      <c r="C679" s="68"/>
      <c r="D679" s="78"/>
      <c r="E679" s="205"/>
      <c r="G679" s="133"/>
    </row>
    <row r="680" spans="3:7" ht="12">
      <c r="C680" s="68"/>
      <c r="D680" s="78"/>
      <c r="E680" s="205"/>
      <c r="G680" s="133"/>
    </row>
    <row r="681" spans="3:7" ht="12">
      <c r="C681" s="68"/>
      <c r="D681" s="78"/>
      <c r="E681" s="205"/>
      <c r="G681" s="133"/>
    </row>
    <row r="682" ht="12">
      <c r="G682" s="133"/>
    </row>
    <row r="683" ht="12">
      <c r="G683" s="133"/>
    </row>
    <row r="684" ht="12">
      <c r="G684" s="133"/>
    </row>
    <row r="685" ht="12">
      <c r="G685" s="133"/>
    </row>
  </sheetData>
  <sheetProtection password="C79A" sheet="1"/>
  <printOptions/>
  <pageMargins left="0.2755905511811024" right="0.1968503937007874" top="0.984251968503937" bottom="0.984251968503937" header="0.5118110236220472" footer="0.5118110236220472"/>
  <pageSetup fitToHeight="0"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Řezníčková Petra</cp:lastModifiedBy>
  <cp:lastPrinted>2021-07-15T16:04:44Z</cp:lastPrinted>
  <dcterms:created xsi:type="dcterms:W3CDTF">2009-05-01T16:07:16Z</dcterms:created>
  <dcterms:modified xsi:type="dcterms:W3CDTF">2021-07-19T09:01:24Z</dcterms:modified>
  <cp:category/>
  <cp:version/>
  <cp:contentType/>
  <cp:contentStatus/>
</cp:coreProperties>
</file>