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9660" windowHeight="5490" activeTab="0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definedNames/>
  <calcPr calcId="145621"/>
</workbook>
</file>

<file path=xl/sharedStrings.xml><?xml version="1.0" encoding="utf-8"?>
<sst xmlns="http://schemas.openxmlformats.org/spreadsheetml/2006/main" count="5640" uniqueCount="1341">
  <si>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</si>
  <si>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</si>
  <si>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</si>
  <si>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</si>
  <si>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</si>
  <si>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</si>
  <si>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</si>
  <si>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</si>
  <si>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</si>
  <si>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</si>
  <si>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</si>
  <si>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</si>
  <si>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</si>
  <si>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</si>
  <si>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</si>
  <si>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</si>
  <si>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</si>
  <si>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</si>
  <si>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</si>
  <si>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</si>
  <si>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</si>
  <si>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</si>
  <si>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</si>
  <si>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</si>
  <si>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</si>
  <si>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</si>
  <si>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</si>
  <si>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</si>
  <si>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</si>
  <si>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</si>
  <si>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</si>
  <si>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</si>
  <si>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</si>
  <si>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</si>
  <si>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</si>
  <si>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</si>
  <si>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</si>
  <si>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</si>
  <si>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</si>
  <si>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</si>
  <si>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</si>
  <si>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</si>
  <si>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</si>
  <si>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</si>
  <si>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</si>
  <si>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</si>
  <si>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</si>
  <si>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</si>
  <si>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</si>
  <si>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</si>
  <si>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</si>
  <si>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</si>
  <si>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</si>
  <si>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</si>
  <si>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</si>
  <si>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</si>
  <si>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</si>
  <si>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</si>
  <si>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</si>
  <si>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</si>
  <si>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</si>
  <si>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</si>
  <si>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</si>
  <si>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</si>
  <si>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</si>
  <si>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</si>
  <si>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</si>
  <si>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</si>
  <si>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</si>
  <si>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</si>
  <si>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</si>
  <si>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</si>
  <si>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</si>
  <si>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</si>
  <si>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</si>
  <si>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</si>
  <si>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</si>
  <si>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</si>
  <si>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</si>
  <si>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</si>
  <si>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</si>
  <si>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</si>
  <si>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</si>
  <si>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</si>
  <si>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</si>
  <si>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</si>
  <si>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</si>
  <si>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</si>
  <si>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</si>
  <si>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</si>
  <si>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</si>
  <si>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</si>
  <si>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</si>
  <si>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</si>
  <si>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</si>
  <si>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</si>
  <si>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</si>
  <si>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</si>
  <si>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</si>
  <si>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</si>
  <si>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</si>
  <si>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</si>
  <si>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</si>
  <si>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</si>
  <si>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</si>
  <si>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</si>
  <si>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</si>
  <si>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</si>
  <si>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</si>
  <si>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</si>
  <si>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</si>
  <si>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</si>
  <si>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</si>
  <si>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</si>
  <si>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</si>
  <si>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</si>
  <si>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</si>
  <si>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</si>
  <si>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</si>
  <si>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</si>
  <si>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</si>
  <si>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</si>
  <si>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</si>
  <si>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</si>
  <si>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</si>
  <si>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</si>
  <si>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</si>
  <si>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</si>
  <si>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</si>
  <si>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</si>
  <si>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</si>
  <si>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</si>
  <si>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</si>
  <si>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</si>
  <si>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</si>
  <si>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</si>
  <si>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</si>
  <si>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</si>
  <si>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</si>
  <si>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</si>
  <si>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</si>
  <si>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</si>
  <si>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</si>
  <si>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</si>
  <si>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</si>
  <si>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</si>
  <si>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</si>
  <si>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</si>
  <si>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</si>
  <si>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</si>
  <si>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</si>
  <si>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</si>
  <si>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</si>
  <si>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</si>
  <si>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</si>
  <si>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</si>
  <si>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</si>
  <si>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</si>
  <si>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</si>
  <si>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</si>
  <si>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</si>
  <si>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</si>
  <si>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</si>
  <si>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</si>
  <si>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</si>
  <si>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</si>
  <si>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</si>
  <si>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</si>
  <si>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</si>
  <si>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</si>
  <si>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</si>
  <si>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</si>
  <si>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</si>
  <si>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</si>
  <si>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</si>
  <si>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</si>
  <si>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</si>
  <si>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</si>
  <si>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</si>
  <si>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</si>
  <si>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</si>
  <si>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</si>
  <si>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</si>
  <si>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</si>
  <si>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</si>
  <si>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</si>
  <si>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</si>
  <si>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</si>
  <si>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</si>
  <si>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</si>
  <si>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</si>
  <si>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</si>
  <si>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</si>
  <si>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</si>
  <si>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</si>
  <si>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</si>
  <si>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</si>
  <si>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</si>
  <si>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</si>
  <si>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</si>
  <si>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</si>
  <si>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</si>
  <si>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</si>
  <si>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</si>
  <si>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</si>
  <si>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</si>
  <si>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</si>
  <si>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</si>
  <si>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</si>
  <si>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</si>
  <si>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</si>
  <si>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</si>
  <si>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</si>
  <si>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</si>
  <si>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</si>
  <si>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</si>
  <si>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</si>
  <si>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</si>
  <si>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</si>
  <si>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</si>
  <si>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</si>
  <si>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</si>
  <si>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</si>
  <si>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</si>
  <si>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</si>
  <si>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</si>
  <si>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</si>
  <si>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</si>
  <si>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</si>
  <si>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</si>
  <si>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</si>
  <si>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</si>
  <si>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</si>
  <si>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</si>
  <si>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</si>
  <si>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</si>
  <si>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</si>
  <si>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</si>
  <si>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</si>
  <si>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</si>
  <si>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</si>
  <si>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</si>
  <si>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</si>
  <si>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</si>
  <si>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</si>
  <si>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</si>
  <si>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</si>
  <si>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</si>
  <si>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</si>
  <si>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</si>
  <si>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</si>
  <si>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</si>
  <si>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</si>
  <si>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</si>
  <si>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</si>
  <si>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</si>
  <si>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</si>
  <si>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</si>
  <si>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</si>
  <si>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</si>
  <si>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</si>
  <si>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</si>
  <si>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</si>
  <si>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</si>
  <si>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</si>
  <si>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</si>
  <si>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</si>
  <si>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</si>
  <si>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</si>
  <si>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</si>
  <si>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</si>
  <si>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</si>
  <si>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</si>
  <si>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</si>
  <si>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</si>
  <si>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</si>
  <si>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</si>
  <si>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</si>
  <si>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</si>
  <si>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</si>
  <si>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</si>
  <si>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</si>
  <si>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</si>
  <si>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</si>
  <si>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</si>
  <si>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</si>
  <si>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</si>
  <si>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</si>
  <si>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</si>
  <si>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</si>
  <si>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</si>
  <si>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</si>
  <si>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</si>
  <si>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</si>
  <si>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</si>
  <si>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</si>
  <si>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</si>
  <si>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</si>
  <si>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</si>
  <si>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</si>
  <si>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</si>
  <si>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</si>
  <si>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</si>
  <si>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</si>
  <si>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</si>
  <si>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</si>
  <si>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</si>
  <si>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</si>
  <si>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</si>
  <si>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</si>
  <si>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</si>
  <si>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</si>
  <si>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</si>
  <si>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</si>
  <si>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</si>
  <si>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</si>
  <si>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</si>
  <si>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</si>
  <si>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</si>
  <si>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</si>
  <si>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</si>
  <si>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</si>
  <si>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Poznámka:</t>
  </si>
  <si>
    <t>Kód</t>
  </si>
  <si>
    <t>112100001RA0</t>
  </si>
  <si>
    <t>121101101R00</t>
  </si>
  <si>
    <t>130001103R00</t>
  </si>
  <si>
    <t>132201110R00</t>
  </si>
  <si>
    <t>132201119R00</t>
  </si>
  <si>
    <t>151101101R00</t>
  </si>
  <si>
    <t>151101111R00</t>
  </si>
  <si>
    <t>161101101R00</t>
  </si>
  <si>
    <t>162201102R00</t>
  </si>
  <si>
    <t>162701105R00</t>
  </si>
  <si>
    <t>166101101R00</t>
  </si>
  <si>
    <t>167101201R00</t>
  </si>
  <si>
    <t>171102123R00</t>
  </si>
  <si>
    <t>171151111RT1</t>
  </si>
  <si>
    <t>171201201R00</t>
  </si>
  <si>
    <t>175101201RT2</t>
  </si>
  <si>
    <t>180405110RA2</t>
  </si>
  <si>
    <t>184101111RAD</t>
  </si>
  <si>
    <t>199000005R00</t>
  </si>
  <si>
    <t>272313611R00</t>
  </si>
  <si>
    <t>275313621R00</t>
  </si>
  <si>
    <t>338251110RT1</t>
  </si>
  <si>
    <t>417321315R00</t>
  </si>
  <si>
    <t>417351111R00</t>
  </si>
  <si>
    <t>417351113R00</t>
  </si>
  <si>
    <t>417361821R00</t>
  </si>
  <si>
    <t>567211105R00</t>
  </si>
  <si>
    <t>564831111R00</t>
  </si>
  <si>
    <t>568111111RT1</t>
  </si>
  <si>
    <t>577000007RAB</t>
  </si>
  <si>
    <t>596841101RA1</t>
  </si>
  <si>
    <t>596841111RT4</t>
  </si>
  <si>
    <t>610991007R00</t>
  </si>
  <si>
    <t>61099100900</t>
  </si>
  <si>
    <t>610991111R00</t>
  </si>
  <si>
    <t>612300120RT2</t>
  </si>
  <si>
    <t>620991121R00</t>
  </si>
  <si>
    <t>621412201RA1</t>
  </si>
  <si>
    <t>621420105RT3</t>
  </si>
  <si>
    <t>622300130RT1</t>
  </si>
  <si>
    <t>622300130RT2</t>
  </si>
  <si>
    <t>622300181RT2</t>
  </si>
  <si>
    <t>622311525RZ1</t>
  </si>
  <si>
    <t>622311610RT5</t>
  </si>
  <si>
    <t>622311635RT3</t>
  </si>
  <si>
    <t>622311635RT5</t>
  </si>
  <si>
    <t>622311752RZ1</t>
  </si>
  <si>
    <t>622391521R00</t>
  </si>
  <si>
    <t>622421492R00</t>
  </si>
  <si>
    <t>622421494R00</t>
  </si>
  <si>
    <t>622422211R00</t>
  </si>
  <si>
    <t>622474151RT3</t>
  </si>
  <si>
    <t>622903111R00</t>
  </si>
  <si>
    <t>622904112R00</t>
  </si>
  <si>
    <t>622904121R00</t>
  </si>
  <si>
    <t>622904212R00</t>
  </si>
  <si>
    <t>648991111RT3</t>
  </si>
  <si>
    <t>648991111RT4</t>
  </si>
  <si>
    <t>648991113RT2</t>
  </si>
  <si>
    <t>648991113RT3</t>
  </si>
  <si>
    <t>648991113RT4</t>
  </si>
  <si>
    <t>941941031R00</t>
  </si>
  <si>
    <t>941941191R00</t>
  </si>
  <si>
    <t>941941831R00</t>
  </si>
  <si>
    <t>941955002R00</t>
  </si>
  <si>
    <t>944944011R00</t>
  </si>
  <si>
    <t>944944031R00</t>
  </si>
  <si>
    <t>944944081R00</t>
  </si>
  <si>
    <t>947941121RT1</t>
  </si>
  <si>
    <t>952901110R00</t>
  </si>
  <si>
    <t>953945312RT1</t>
  </si>
  <si>
    <t>953945331RT1</t>
  </si>
  <si>
    <t>953953611RT1</t>
  </si>
  <si>
    <t>959950104RA1</t>
  </si>
  <si>
    <t>959950110RA1</t>
  </si>
  <si>
    <t>959950110RT1</t>
  </si>
  <si>
    <t>959950120RA1</t>
  </si>
  <si>
    <t>959950130RA1</t>
  </si>
  <si>
    <t>959950810RT1</t>
  </si>
  <si>
    <t>959950110RT7</t>
  </si>
  <si>
    <t>961044111R00</t>
  </si>
  <si>
    <t>962031116R00</t>
  </si>
  <si>
    <t>962032231R00</t>
  </si>
  <si>
    <t>964073331RT1</t>
  </si>
  <si>
    <t>965042241R00</t>
  </si>
  <si>
    <t>965043421RT1</t>
  </si>
  <si>
    <t>965049112R00</t>
  </si>
  <si>
    <t>966079821RT1</t>
  </si>
  <si>
    <t>967042701R00</t>
  </si>
  <si>
    <t>968096001R00</t>
  </si>
  <si>
    <t>968061112R00</t>
  </si>
  <si>
    <t>968061125R00</t>
  </si>
  <si>
    <t>968062354R00</t>
  </si>
  <si>
    <t>968062355R00</t>
  </si>
  <si>
    <t>968062356R00</t>
  </si>
  <si>
    <t>968062456R00</t>
  </si>
  <si>
    <t>968062995RT1</t>
  </si>
  <si>
    <t>968072895RT1</t>
  </si>
  <si>
    <t>968072876RT1</t>
  </si>
  <si>
    <t>968087111RT1</t>
  </si>
  <si>
    <t>978015251R00</t>
  </si>
  <si>
    <t>978015251RT1</t>
  </si>
  <si>
    <t>978023231RT2</t>
  </si>
  <si>
    <t>978059611R00</t>
  </si>
  <si>
    <t>978059631R00</t>
  </si>
  <si>
    <t>S</t>
  </si>
  <si>
    <t>979011211R00</t>
  </si>
  <si>
    <t>979011219R00</t>
  </si>
  <si>
    <t>979081111R00</t>
  </si>
  <si>
    <t>979081121R00</t>
  </si>
  <si>
    <t>979082111R00</t>
  </si>
  <si>
    <t>979082121R00</t>
  </si>
  <si>
    <t>979086112R00</t>
  </si>
  <si>
    <t>979093111R00</t>
  </si>
  <si>
    <t>979990101R00</t>
  </si>
  <si>
    <t>979990103R00</t>
  </si>
  <si>
    <t>979990105R00</t>
  </si>
  <si>
    <t>979990111R00</t>
  </si>
  <si>
    <t>979990121R00</t>
  </si>
  <si>
    <t>979990144R00</t>
  </si>
  <si>
    <t>979990161R00</t>
  </si>
  <si>
    <t>979990162R00</t>
  </si>
  <si>
    <t>979990191R00</t>
  </si>
  <si>
    <t>H99</t>
  </si>
  <si>
    <t>999281108R00</t>
  </si>
  <si>
    <t>712</t>
  </si>
  <si>
    <t>712300831R00</t>
  </si>
  <si>
    <t>712373111RS3</t>
  </si>
  <si>
    <t>712373111RT3</t>
  </si>
  <si>
    <t>712373119RT3</t>
  </si>
  <si>
    <t>712378101RT4</t>
  </si>
  <si>
    <t>712391171RZ5</t>
  </si>
  <si>
    <t>998712102R00</t>
  </si>
  <si>
    <t>713</t>
  </si>
  <si>
    <t>713104122R00</t>
  </si>
  <si>
    <t>713131153R00</t>
  </si>
  <si>
    <t>28376504</t>
  </si>
  <si>
    <t>713141221RK4</t>
  </si>
  <si>
    <t>713141313R00</t>
  </si>
  <si>
    <t>998713102R00</t>
  </si>
  <si>
    <t>730</t>
  </si>
  <si>
    <t>721010501</t>
  </si>
  <si>
    <t>721010502</t>
  </si>
  <si>
    <t>721010503</t>
  </si>
  <si>
    <t>721010504</t>
  </si>
  <si>
    <t>721010505</t>
  </si>
  <si>
    <t>762</t>
  </si>
  <si>
    <t>762088113R00</t>
  </si>
  <si>
    <t>762088116R00</t>
  </si>
  <si>
    <t>762100020RA0</t>
  </si>
  <si>
    <t>762231841R00</t>
  </si>
  <si>
    <t>762341220R00</t>
  </si>
  <si>
    <t>60726123</t>
  </si>
  <si>
    <t>762341811R00</t>
  </si>
  <si>
    <t>998762102R00</t>
  </si>
  <si>
    <t>764</t>
  </si>
  <si>
    <t>764311821RT1</t>
  </si>
  <si>
    <t>764311822RT1</t>
  </si>
  <si>
    <t>764352810RT1</t>
  </si>
  <si>
    <t>764394281RT1</t>
  </si>
  <si>
    <t>764410564RT2</t>
  </si>
  <si>
    <t>764410565RT2</t>
  </si>
  <si>
    <t>764410566RT2</t>
  </si>
  <si>
    <t>764410567RT2</t>
  </si>
  <si>
    <t>764410568RT2</t>
  </si>
  <si>
    <t>764410569RT2</t>
  </si>
  <si>
    <t>764410570RT2</t>
  </si>
  <si>
    <t>764410571RT2</t>
  </si>
  <si>
    <t>764410850R00</t>
  </si>
  <si>
    <t>764453872RT1</t>
  </si>
  <si>
    <t>764454801RT1</t>
  </si>
  <si>
    <t>764813154RT1</t>
  </si>
  <si>
    <t>764813332RT1</t>
  </si>
  <si>
    <t>764813442RT1</t>
  </si>
  <si>
    <t>764814770RT1</t>
  </si>
  <si>
    <t>764815212R00</t>
  </si>
  <si>
    <t>764819213R00</t>
  </si>
  <si>
    <t>998764102R00</t>
  </si>
  <si>
    <t>766</t>
  </si>
  <si>
    <t>766211810RT1</t>
  </si>
  <si>
    <t>766421213RT1</t>
  </si>
  <si>
    <t>766421821R00</t>
  </si>
  <si>
    <t>766441110RT1</t>
  </si>
  <si>
    <t>766601216RT1</t>
  </si>
  <si>
    <t>766601229RT3</t>
  </si>
  <si>
    <t>766623010RT1</t>
  </si>
  <si>
    <t>766623011RT1</t>
  </si>
  <si>
    <t>766623012RT1</t>
  </si>
  <si>
    <t>766623013RT1</t>
  </si>
  <si>
    <t>766623014RT1</t>
  </si>
  <si>
    <t>766623015RT1</t>
  </si>
  <si>
    <t>766623016RT1</t>
  </si>
  <si>
    <t>766623017RT1</t>
  </si>
  <si>
    <t>766623018RT1</t>
  </si>
  <si>
    <t>766623019RT1</t>
  </si>
  <si>
    <t>766623020RT1</t>
  </si>
  <si>
    <t>766623021RT1</t>
  </si>
  <si>
    <t>766624050RT1</t>
  </si>
  <si>
    <t>998766102R00</t>
  </si>
  <si>
    <t>767</t>
  </si>
  <si>
    <t>767311810R00</t>
  </si>
  <si>
    <t>767392101RA1</t>
  </si>
  <si>
    <t>767646510RT1</t>
  </si>
  <si>
    <t>767646520RT1</t>
  </si>
  <si>
    <t>767662130RT1</t>
  </si>
  <si>
    <t>767662130RT2</t>
  </si>
  <si>
    <t>767662130RT3</t>
  </si>
  <si>
    <t>767662130RT4</t>
  </si>
  <si>
    <t>767662130RT5</t>
  </si>
  <si>
    <t>767662130RT6</t>
  </si>
  <si>
    <t>767662130RT7</t>
  </si>
  <si>
    <t>767662130RT8</t>
  </si>
  <si>
    <t>767662130RZ1</t>
  </si>
  <si>
    <t>767669221RT1</t>
  </si>
  <si>
    <t>767811110RT1</t>
  </si>
  <si>
    <t>767811110RT2</t>
  </si>
  <si>
    <t>767995105RT1</t>
  </si>
  <si>
    <t>767995108RT1</t>
  </si>
  <si>
    <t>998767102R00</t>
  </si>
  <si>
    <t>781</t>
  </si>
  <si>
    <t>781101210R00</t>
  </si>
  <si>
    <t>781320121R00</t>
  </si>
  <si>
    <t>597813706</t>
  </si>
  <si>
    <t>781491001RT1</t>
  </si>
  <si>
    <t>5537065.A</t>
  </si>
  <si>
    <t>781419706R00</t>
  </si>
  <si>
    <t>998781102R00</t>
  </si>
  <si>
    <t>786</t>
  </si>
  <si>
    <t>786612200R00</t>
  </si>
  <si>
    <t>998786102R00</t>
  </si>
  <si>
    <t>M21</t>
  </si>
  <si>
    <t>210010101RT1</t>
  </si>
  <si>
    <t>210010102RT1</t>
  </si>
  <si>
    <t>210010103RT1</t>
  </si>
  <si>
    <t>210100010</t>
  </si>
  <si>
    <t>210100011</t>
  </si>
  <si>
    <t>210100012</t>
  </si>
  <si>
    <t>210100013</t>
  </si>
  <si>
    <t>210100014</t>
  </si>
  <si>
    <t>210100015</t>
  </si>
  <si>
    <t>210100016</t>
  </si>
  <si>
    <t>210100017</t>
  </si>
  <si>
    <t>210100018</t>
  </si>
  <si>
    <t>210100019</t>
  </si>
  <si>
    <t>210100020</t>
  </si>
  <si>
    <t>210100021</t>
  </si>
  <si>
    <t>210100022</t>
  </si>
  <si>
    <t>210100023</t>
  </si>
  <si>
    <t>210100024</t>
  </si>
  <si>
    <t>210100025</t>
  </si>
  <si>
    <t>210100026</t>
  </si>
  <si>
    <t>210100027</t>
  </si>
  <si>
    <t>210100110</t>
  </si>
  <si>
    <t>210100111</t>
  </si>
  <si>
    <t>210100112</t>
  </si>
  <si>
    <t>210100113</t>
  </si>
  <si>
    <t>210100114</t>
  </si>
  <si>
    <t>0</t>
  </si>
  <si>
    <t>005 12-1020.R</t>
  </si>
  <si>
    <t>005 12-2010.R</t>
  </si>
  <si>
    <t>005 12-4010.R</t>
  </si>
  <si>
    <t>005-24-1010.R</t>
  </si>
  <si>
    <t>005 24-1020.R</t>
  </si>
  <si>
    <t>005-24-1030.R</t>
  </si>
  <si>
    <t>132201401R00</t>
  </si>
  <si>
    <t>161101602R00</t>
  </si>
  <si>
    <t>212850002RAA</t>
  </si>
  <si>
    <t>212850122RAA</t>
  </si>
  <si>
    <t>279232511R00</t>
  </si>
  <si>
    <t>262303580RT1</t>
  </si>
  <si>
    <t>262303582R00</t>
  </si>
  <si>
    <t>282612111R00</t>
  </si>
  <si>
    <t>632478127RT3</t>
  </si>
  <si>
    <t>953953670RT1</t>
  </si>
  <si>
    <t>964073335RT1</t>
  </si>
  <si>
    <t>721</t>
  </si>
  <si>
    <t>82711</t>
  </si>
  <si>
    <t>82712</t>
  </si>
  <si>
    <t>82713</t>
  </si>
  <si>
    <t>82714</t>
  </si>
  <si>
    <t>82715</t>
  </si>
  <si>
    <t>82716</t>
  </si>
  <si>
    <t>82717</t>
  </si>
  <si>
    <t>82718</t>
  </si>
  <si>
    <t>82719</t>
  </si>
  <si>
    <t>827110</t>
  </si>
  <si>
    <t>82721</t>
  </si>
  <si>
    <t>82722</t>
  </si>
  <si>
    <t>82723</t>
  </si>
  <si>
    <t>82731</t>
  </si>
  <si>
    <t>82732</t>
  </si>
  <si>
    <t>82733</t>
  </si>
  <si>
    <t>82734</t>
  </si>
  <si>
    <t>82735</t>
  </si>
  <si>
    <t>82736</t>
  </si>
  <si>
    <t>82737</t>
  </si>
  <si>
    <t>82741</t>
  </si>
  <si>
    <t>82742</t>
  </si>
  <si>
    <t>82744</t>
  </si>
  <si>
    <t>82747</t>
  </si>
  <si>
    <t>82748</t>
  </si>
  <si>
    <t>82749</t>
  </si>
  <si>
    <t>827410</t>
  </si>
  <si>
    <t>82751</t>
  </si>
  <si>
    <t>82761</t>
  </si>
  <si>
    <t>82762</t>
  </si>
  <si>
    <t>82763</t>
  </si>
  <si>
    <t>82764</t>
  </si>
  <si>
    <t>82765</t>
  </si>
  <si>
    <t>82766</t>
  </si>
  <si>
    <t>82767</t>
  </si>
  <si>
    <t>82768</t>
  </si>
  <si>
    <t>767995201RT1</t>
  </si>
  <si>
    <t>SEN budovy Sládečkova vlastivědného muzea v Kladně, příspěvková organizace</t>
  </si>
  <si>
    <t>Huťská 1375, parc.č.1679, k. ú. Kladno</t>
  </si>
  <si>
    <t>Zkrácený popis / Varianta</t>
  </si>
  <si>
    <t>Rozměry</t>
  </si>
  <si>
    <t>ZPŮSOBILÉ NÁKLADY</t>
  </si>
  <si>
    <t>Odkopávky a prokopávky</t>
  </si>
  <si>
    <t>Pokácení keře, odstranění pařezu a odvoz na skládku</t>
  </si>
  <si>
    <t>Sejmutí ornice a drnu s přemístěním do 50 m</t>
  </si>
  <si>
    <t>Hloubené vykopávky</t>
  </si>
  <si>
    <t>Příplatek za ztížené hloubení -pod rampou -dle pozn.15</t>
  </si>
  <si>
    <t>Hloubení rýh š.do 60 cm v hor.3 -dle pozn.15</t>
  </si>
  <si>
    <t>Přípl.za lepivost,hloubení rýh 60 cm,hor.3</t>
  </si>
  <si>
    <t>Roubení</t>
  </si>
  <si>
    <t>Pažení a rozepření stěn rýh - příložné - hl.do 2 m -dle pozn.15</t>
  </si>
  <si>
    <t>Odstranění pažení stěn rýh - příložné - hl. do 2 m -dle pozn.15</t>
  </si>
  <si>
    <t>Přemístění výkopku</t>
  </si>
  <si>
    <t>Svislé přemístění výkopku z hor.1-4 do 2,5 m</t>
  </si>
  <si>
    <t>Vodorovné přemístění výkopku z hor.1-4 do 50 m</t>
  </si>
  <si>
    <t>Vodorovné přemístění výkopku z hor.1-4 do 10000 m</t>
  </si>
  <si>
    <t>Přehození výkopku z hor.1-4</t>
  </si>
  <si>
    <t>Nakládání výkopku z hor.1 ÷ 4 - ručně</t>
  </si>
  <si>
    <t>Konstrukce ze zemin</t>
  </si>
  <si>
    <t>Uložení sypaniny do násypů-vyrovnání terénních nerovností</t>
  </si>
  <si>
    <t>Urovnání a hutnění  pláně</t>
  </si>
  <si>
    <t>Uložení sypaniny na skl.-sypanina na výšku přes 2m</t>
  </si>
  <si>
    <t>Obsyp objektu bez prohození sypaniny s dodáním štěrkodrti hutněný po vrstvách</t>
  </si>
  <si>
    <t>Povrchové úpravy terénu</t>
  </si>
  <si>
    <t>Ohumusování, osetí travním semenem dotčené části po opravách -úplné provedení dle popisu v PD</t>
  </si>
  <si>
    <t>Výsadba keře s balem v rovině vč.dodávky dřeviny</t>
  </si>
  <si>
    <t>Poplatek za skládku výkopku 1- 4</t>
  </si>
  <si>
    <t>Základy</t>
  </si>
  <si>
    <t>Beton základových desek prostý C 16/20 -podkladní beton ozn.OS 29</t>
  </si>
  <si>
    <t>Beton základových patek prostý C 20/25</t>
  </si>
  <si>
    <t>Sloupy a pilíře, stožáry a rámové stojky</t>
  </si>
  <si>
    <t>Nadezdívka sloupků zábradlí z CP -úplné provedení dle popisu v PD ozn. OS 08</t>
  </si>
  <si>
    <t>Stropy a stropní konstrukce (pro pozemní stavby)</t>
  </si>
  <si>
    <t>Ztužující pásy a věnce z betonu železového C 20/25 -dle detailu Det.3</t>
  </si>
  <si>
    <t>Bednění ztužujících věnců, obě strany - zřízení</t>
  </si>
  <si>
    <t>Bednění ztužujících věnců, obě strany - odstranění</t>
  </si>
  <si>
    <t>Výztuž ztužujících pásů a věnců z oceli 10505(R)</t>
  </si>
  <si>
    <t>Podkladní vrstvy komunikací, letišť a ploch</t>
  </si>
  <si>
    <t>Podklad z prostého betonu C 16/20 tloušťky 5 cm -skl.ZP01, bod 2</t>
  </si>
  <si>
    <t>Podklad ze štěrkodrti po zhutnění tloušťky 10 cm  -skl.ZP01, bod 4</t>
  </si>
  <si>
    <t>Zřízení vrstvy z geotextilie skl.do 1:5, š.do 3 m vč.textilie -skl.ZP01, bod 3</t>
  </si>
  <si>
    <t>Kryty pozemních komunikací, letišť a ploch z kameniva nebo živičné</t>
  </si>
  <si>
    <t>Obnova komunikace s asfaltobetonem -skladba ZP02, body 1-6</t>
  </si>
  <si>
    <t>Kryty pozemních komunikací, letišť a ploch dlážděných (předlažby)</t>
  </si>
  <si>
    <t>Přeskládání betonové dlažby</t>
  </si>
  <si>
    <t>Kladení dlažby z dlaždic kom.pro pěší do bet.tl.50mm vč.dlaždic beton.HBB 50/50/5 cm -skl.ZP01, bod 1</t>
  </si>
  <si>
    <t>Úprava povrchů vnitřní</t>
  </si>
  <si>
    <t>Začišťovací okenní lišta pro omítku vč.zatmelení, zaomítnutí, přeštukování a výmalby ostění a nadpraží</t>
  </si>
  <si>
    <t>Zednické zapravení ostění a nadpraží po demontáži špaletových oken -provedení dle popisu v PD</t>
  </si>
  <si>
    <t>Zakrývání výplní vnitřních otvorů</t>
  </si>
  <si>
    <t>Proškrábání trhlin,vyspravení a vyrovnání povrchu cement.tmelem, přebroušení, výmalba -provedení dle detailu Det3</t>
  </si>
  <si>
    <t>vč.plochy nového ŽB věnce</t>
  </si>
  <si>
    <t>Úprava povrchů vnější</t>
  </si>
  <si>
    <t>Zakrývání výplní vnějších otvorů z lešení</t>
  </si>
  <si>
    <t>Sanace nosné kce stříšky nad vstupem ozn.OS 28 -provedení dle popisu v PD a pozn.4</t>
  </si>
  <si>
    <t>Zateplení -střecha nad apsidou -provedení skladby STŘ02, body 5,6,7,8,9,10,11</t>
  </si>
  <si>
    <t>Odmaštění,vyspravení a vyrovnání povrchu jemnou cement.maltou-stěny -skl.SO01B,SO02,SO03,SO04</t>
  </si>
  <si>
    <t>Odmaštění,vyspravení a vyrovnání povrchu sanační omítkou-stěny -skl.SO01A</t>
  </si>
  <si>
    <t>Montáž chráničky kabelu do zateplení z polystyrenu vč. chráničky DN 40 mm</t>
  </si>
  <si>
    <t>Zatepl.systém, fasáda, desky XPS tl.160 mm se zásypem a nopovou folií -skladba SO01A, body 5-10</t>
  </si>
  <si>
    <t>Zatepl.systém, fasáda, desky PUR tl.20 mm se silikon.probarv.omítkou -skladba SO04, body 4-9</t>
  </si>
  <si>
    <t>Zatepl.systém, fasáda, desky PUR tl.120 mm se silikon.probarv.omítkou -skladba SO02, body 5-10</t>
  </si>
  <si>
    <t>Zatepl.systém, fasáda, desky PUR tl.120 mm se silikon.probarv.omítkou -skladba SO03, body 5-10</t>
  </si>
  <si>
    <t>Zatepl.systém, fasáda, desky PUR tl.120 mm s dekor.sokl.omítkou -skladba SO01B, body 6-12</t>
  </si>
  <si>
    <t>Zatepl.syst.-klín 10-30/180 PUR desky pod parapet</t>
  </si>
  <si>
    <t>Příplatek ke KZS a fasádnímu systému za systémové doplňky a příslušenství</t>
  </si>
  <si>
    <t>Doplňky zatepl. systémů, okenní lišta s tkaninou</t>
  </si>
  <si>
    <t>Doplňky zatepl. systémů, podparapetní lišta s tkan</t>
  </si>
  <si>
    <t>Oprava vnějších omítek vápen. hladk. II, do 20 %</t>
  </si>
  <si>
    <t>Sanace trhlin na fasádě ozn.OS 26 - úplné provedení dle popisu v PD</t>
  </si>
  <si>
    <t>Očištění zdí a valů před opravou, ručně -skl.SO01A,SO01B,SO02,SO03, SO04</t>
  </si>
  <si>
    <t>Očištění fasád tlakovou vodou složitost 1 - 2  -skl.SO01A,SO01B,SO02,SO03, SO04</t>
  </si>
  <si>
    <t>Ruční čištění ocelovým kartáčem -30% z plochy -skl.SO01A,SO01B,SO02,SO03,SO04</t>
  </si>
  <si>
    <t>Očištění organických nečistot z fasád slož.1-2 50% z plochy -skl.SO01B,SO02,SO03,SO04</t>
  </si>
  <si>
    <t>Výplně otvorů</t>
  </si>
  <si>
    <t>Osazení parapet.desek plast. a lamin. š. do 20cm vč.dodávky laminát.parap.desky š.150 mm ozn.OS 04</t>
  </si>
  <si>
    <t>Osazení parapet.desek plast. a lamin. š. do 20cm vč.dodávky laminát.parap.desky š. 180 mm ozn.OS 06</t>
  </si>
  <si>
    <t>Osazení parapet.desek plast. a lamin. š.nad 20cm vč.dodávky laminát.parap.desky š. 230 mm ozn.OS 05</t>
  </si>
  <si>
    <t>Osazení parapet.desek plast. a lamin. š.nad 20cm vč.dodávky laminát.parap.desky š. 270 mm ozn.OS 07</t>
  </si>
  <si>
    <t>Osazení parapet.desek plast. a lamin. š.nad 20cm vč.dodávky laminát.parap.desky š. 350 mm ozn.OS 02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</si>
  <si>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</si>
  <si>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</si>
  <si>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</si>
  <si>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</si>
  <si>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</si>
  <si>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Montáž ochranné sítě z umělých vláken</t>
  </si>
  <si>
    <t>Příplatek za každý měsíc použití sítí k pol. 4011</t>
  </si>
  <si>
    <t>Demontáž ochranné sítě z umělých vláken</t>
  </si>
  <si>
    <t>Práce plošiny MP20 vč.přistavení a dopravy</t>
  </si>
  <si>
    <t>Různé dokončovací konstrukce a práce na pozemních stavbách</t>
  </si>
  <si>
    <t>Čištění mytím vnějších ploch oken a dveří</t>
  </si>
  <si>
    <t>M+D Budka pro netopýry ozn.OS 10- provedení dle popisu v PD</t>
  </si>
  <si>
    <t>M+D Nápis  "MUZEUM"  na fasádě ozn.OS 22- provedení dle popisu v PD</t>
  </si>
  <si>
    <t>Ochrana podlah stáv.budovy z fólie -při výměně výplní otvorů</t>
  </si>
  <si>
    <t>Stavební přípomoce pro profese</t>
  </si>
  <si>
    <t>Provedení odtrhových zkoušek pro ověření únosnosti podkladu</t>
  </si>
  <si>
    <t>Zkušební vzorky 500/800 mm dle popisu v PD</t>
  </si>
  <si>
    <t>Podrobný průzkum stavu obvod.pláště,lokalizace a popis míst s výskytem skrytých poruch</t>
  </si>
  <si>
    <t>Geologický průzkum pro upřesnění navržené sanace základ.kcí</t>
  </si>
  <si>
    <t>Oprava stáv.dvířek skříně elektro-provedení dle popisu v PD, ozn.OS 15</t>
  </si>
  <si>
    <t>Přesazení stáv.prvků na fasádě ozn.OS 11 rozsah a provedení dle popisu v PD a pozn.10</t>
  </si>
  <si>
    <t>Bourání konstrukcí</t>
  </si>
  <si>
    <t>Bourání základů z betonu prostého ozn.OS 29</t>
  </si>
  <si>
    <t>Bourání přizdívek z cihel pálených plných tl. 140 mm -dle pozn.8</t>
  </si>
  <si>
    <t>Bourání zdiva z cihel pálených CDM na MVC -nadstř.zdivo -dle pozn.18</t>
  </si>
  <si>
    <t>Vybourání nosníků (U č.25) ze zdi cihelné -dle pozn.18 vč.ekolog.lividace na skládce</t>
  </si>
  <si>
    <t>Bourání mazanin betonových tl. nad 10 cm, nad 4 m2 -dle pozn.8 -beton.obvod.žlab, také skl.ZP01, bod 6</t>
  </si>
  <si>
    <t>Bourání podkladních  beton.desek -skladba ZP01, bod 7</t>
  </si>
  <si>
    <t>Příplatek, bourání mazanin se svař.síťí nad 10 cm skl.ZP01, bod 7</t>
  </si>
  <si>
    <t>Odříznutí kov.zábradlí podél rampy</t>
  </si>
  <si>
    <t>Odsekání zdiva plošné z kamene -odřezání výčnělků kamenného zdiva -dle pozn.8</t>
  </si>
  <si>
    <t>Bourání parapetů vnitřních laminát. š. do 20 cm -dle pozn.5</t>
  </si>
  <si>
    <t>Vyvěšení dřevěných okenních křídel pl. do 1,5 m2 -dle pozn.5</t>
  </si>
  <si>
    <t>Vyvěšení dřevěných dveřních křídel pl. do 2 m2 -dle pozn.5</t>
  </si>
  <si>
    <t>Vybourání dřevěných rámů oken dvojitých pl. 1 m2 -dle pozn.5</t>
  </si>
  <si>
    <t>Vybourání dřevěných rámů oken dvojitých pl. 2 m2 -dle pozn.5</t>
  </si>
  <si>
    <t>Vybourání dřevěných rámů oken dvojitých pl. 4 m2 -dle pozn.5</t>
  </si>
  <si>
    <t>Vybourání dřevěných dveřních zárubní pl. nad 2 m2 -dle pozn.5</t>
  </si>
  <si>
    <t>Ubourání nadezdívky nad okny v suterénu -dle pozn.16</t>
  </si>
  <si>
    <t>Vybourání mříží pl. do 2 m2 -dle pozn.7, vč.ekolog.likvidace na skládce</t>
  </si>
  <si>
    <t>Demontáž výlezu na střechu -dle pozn.12</t>
  </si>
  <si>
    <t>Prorážení otvorů a ostatní bourací práce</t>
  </si>
  <si>
    <t>Otlučení omítek vnějších MVC v složit.1-4 do 40 % dle pozn.1</t>
  </si>
  <si>
    <t>Otlučení omítek vnějších MVC v složit.1-4 do 40 % dle pozn.1 -ostění</t>
  </si>
  <si>
    <t>Oškrábání nesoudržných štuků a maleb 100% -skl.SO02,SO03,SO04</t>
  </si>
  <si>
    <t>Odsekání vnějších obkladů stěn do 1 m2 -dle pozn.2 -ostění</t>
  </si>
  <si>
    <t>Odsekání vnějších obkladů stěn nad 2 m2 -dle pozn.2 -sokl</t>
  </si>
  <si>
    <t>Přesuny sutí</t>
  </si>
  <si>
    <t>Svislá doprava suti a vybour. hmot za 2.NP nošením</t>
  </si>
  <si>
    <t>Přípl.k svislé dopr.suti za každé další NP nošením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</si>
  <si>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</si>
  <si>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</si>
  <si>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</si>
  <si>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</si>
  <si>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</si>
  <si>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Uložení suti na skládku bez zhutnění</t>
  </si>
  <si>
    <t>Poplatek za sklád.suti-směs omítky, kámen a další odpad</t>
  </si>
  <si>
    <t>Poplatek za skládku suti - beton do 30x30 cm</t>
  </si>
  <si>
    <t>Poplatek za skládku suti-cihel.výrobky do 30x30 cm</t>
  </si>
  <si>
    <t>Poplatek za skládku suti - stavební keramika</t>
  </si>
  <si>
    <t>Poplatek za skládku suti - asfaltové pásy</t>
  </si>
  <si>
    <t>Poplatek za skládku suti - minerální vata</t>
  </si>
  <si>
    <t>Poplatek za skládku suti - dřevo</t>
  </si>
  <si>
    <t>Poplatek za skládku suti - dřevo+sklo</t>
  </si>
  <si>
    <t>Poplatek za skládku suti - plastové výrobky, polykarbonát</t>
  </si>
  <si>
    <t>Ostatní přesuny hmot</t>
  </si>
  <si>
    <t>Přesun hmot pro opravy a údržbu do výšky 12 m</t>
  </si>
  <si>
    <t>Izolace střech (živičné krytiny)</t>
  </si>
  <si>
    <t>Odstranění povlakové krytiny střech do 10° 1vrstvé -lepenka A 500 H -skladba STŘ01, bod 7 2x</t>
  </si>
  <si>
    <t>Odstranění povlakové krytiny střech do 10° 1vrstvé -lepenka A 400 H -skladba STŘ01, bod 11</t>
  </si>
  <si>
    <t>Krytina střech do 10° fólie, vč.dodávky mPVC tl. 1,5 mm -střecha nad vstupem</t>
  </si>
  <si>
    <t>Krytina střech do 10° fólie, 6 kotev/m2, tl.izol.do 200 mm, vč.dodávky mPVC tl. 1,5 mm -skladba STŘ01, bod 12</t>
  </si>
  <si>
    <t>provedení vč.detailů a systémových doplňků</t>
  </si>
  <si>
    <t>Krytina střech do 10° fólie, 6 kotev/m2, tl.izol.do 200 mm, vč.dodávky mPVC tl. 1,5 mm -dle detailu Det3</t>
  </si>
  <si>
    <t>Komínek odvětrání kanalizace s manžetou z PVC pro DN 125 mm, ozn. OS 20</t>
  </si>
  <si>
    <t>Povlaková krytina střech do 10°,podklad.textilie 1 vrstva -vč.dodávky separ.textilie 300 g/m2 -střecha nad vstupem</t>
  </si>
  <si>
    <t>Povlaková krytina střech do 10°,podklad.textilie 1 vrstva -vč.dodávky separ.textilie 300 g/m2 -skladba STŘ01, bod 11</t>
  </si>
  <si>
    <t>Přesun hmot pro povlakové krytiny, výšky do 12 m</t>
  </si>
  <si>
    <t>Izolace tepelné</t>
  </si>
  <si>
    <t>Odstr.tep.izol.střech pl,volně,minerál tl.100-200mm -dle pozn.9, také skladba STŘ01, bod 6</t>
  </si>
  <si>
    <t>Montáž izolace stěn na tmel a hmožd.6 ks/m2, beton -provedení dle detailu Det3</t>
  </si>
  <si>
    <t>Deska izolační PIR +ALU folie pro střechy tl. 160mm</t>
  </si>
  <si>
    <t>Montáž parozábrany, ploché střechy, přelep. spojů vč.dodávky folie -skladba STŘ01, bod 7</t>
  </si>
  <si>
    <t>Izolace tepelná střech do tl.200 mm,1vrstva -skladba STŘ01, bod 7</t>
  </si>
  <si>
    <t>Přesun hmot pro izolace tepelné, výšky do 12 m</t>
  </si>
  <si>
    <t>Vytápění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</si>
  <si>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</si>
  <si>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</si>
  <si>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</si>
  <si>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Napuštění otopné soustavy</t>
  </si>
  <si>
    <t>Vypuštění otopné soustavy</t>
  </si>
  <si>
    <t>Konstrukce tesařské</t>
  </si>
  <si>
    <t>Zakrývání provizorní plachtou 12x15m,vč.odstranění</t>
  </si>
  <si>
    <t>Zakrývání provizorní plachtou 15x20m,vč.odstranění</t>
  </si>
  <si>
    <t>Krov dřevěný, krokve 100/120mm -lokální opravy tesařské ( 5 % ), vč.impregnace -skladba STŘ01, bod 9 -také dle detailu Det2</t>
  </si>
  <si>
    <t>cena vztažená na půdorysnou plochu</t>
  </si>
  <si>
    <t>Demontáž dřev.zábradlí na terase a u vstupu -dle pozn.19</t>
  </si>
  <si>
    <t>M. bedn.střech rovn. z aglomer.desek šroubováním  -skladba STŘ01, bod 10</t>
  </si>
  <si>
    <t>Deska dřevoštěpková OSB 3 tl. 25 mm</t>
  </si>
  <si>
    <t>Demontáž bednění střech rovných z prken hrubých -dle pozn.9, také skladba STŘ01, bod 10</t>
  </si>
  <si>
    <t>Přesun hmot pro tesařské konstrukce, výšky do 12 m</t>
  </si>
  <si>
    <t>Konstrukce klempířské</t>
  </si>
  <si>
    <t>Demont. oplech.stříšky nad vstupem -dle pozn.4, vč.ekolog.likvidace na skládce</t>
  </si>
  <si>
    <t>Demont. krytiny,plech., nad 25 m2, vč.nástř.prvků a doplňků -dle pozn.9, vč.ekolog.likvidace na skládce, také skladba  STŘ01, bod 12</t>
  </si>
  <si>
    <t>Demontáž žlabů půlkruh. rovných, rš 330 mm, do 30° -dle pozn.14, vč.ekolog.likvidace na skládce</t>
  </si>
  <si>
    <t>Průběžná větrací mřížka 150mm, vč.montáže -provedení dle detailu Det2</t>
  </si>
  <si>
    <t>Oplech.parapetů z Al extr.plechu tl. 2,6 mm, rš 400mm vč.bočních plast.lišt, ozn.K06 -provedení dle popisu v PD</t>
  </si>
  <si>
    <t>Oplech.parapetů z Al extr.plechu tl. 2,6 mm, rš 410mm vč.bočních plast.lišt, ozn.K07 -provedení dle popisu v PD</t>
  </si>
  <si>
    <t>Oplech.parapetů z Al extr.plechu tl. 2,6 mm, rš 420mm vč.bočních plast.lišt, ozn.K09 -provedení dle popisu v PD</t>
  </si>
  <si>
    <t>Oplech.parapetů z Al extr.plechu tl. 2,6 mm, rš 450mm vč.bočních plast.lišt, ozn.K05 -provedení dle popisu v PD</t>
  </si>
  <si>
    <t>Oplech.parapetů z Al extr.plechu tl. 2,6 mm, rš 510mm vč.bočních plast.lišt, ozn.K02 -provedení dle popisu v PD</t>
  </si>
  <si>
    <t>Oplech.parapetů z Al extr.plechu tl. 2,6 mm, rš 540mm vč.bočních plast.lišt, ozn.K01 -provedení dle popisu v PD</t>
  </si>
  <si>
    <t>Oplech.parapetů z Al extr.plechu tl. 2,6 mm, rš 560mm vč.bočních plast.lišt, ozn.K03 -provedení dle popisu v PD</t>
  </si>
  <si>
    <t>Oplech.parapetů z Al extr.plechu tl. 2,6 mm, rš 640mm vč.bočních plast.lišt, ozn.K04 -provedení dle popisu v PD</t>
  </si>
  <si>
    <t>Demontáž oplechování parapetů, a dalš.oplech -dle pozn.3, vč.ekolog.likvidace na skládce</t>
  </si>
  <si>
    <t>Demontáž odskoků  D 100 mm -dle pozn.14, vč.ekolog.likvidace na skládce</t>
  </si>
  <si>
    <t>Demontáž odpadních trub kruhových D 100 mm -dle pozn.14, vč.ekolog.likvidace na skládce</t>
  </si>
  <si>
    <t>Oplechování sloupků zábradlí z lak.Pz plechu tl.0,6mm ozn.K13 -provedení dle popisu v PD</t>
  </si>
  <si>
    <t>Lemování zdí ploch.střech, ocel.poz.plech tl.0,6mm, poplast., rš 330 mm ozn.K15 -provedení dle popisu v PD</t>
  </si>
  <si>
    <t>Oplech.střechy ocel.pozink.plech poplast.,tl.0,6mm rš 440 mm ozn.K12 -provedení dle popisu v PD</t>
  </si>
  <si>
    <t>Ventilační nástavce,hladká krytina,D 150 mm ozn.K14 -provedení dle popisu v PD</t>
  </si>
  <si>
    <t>Žlab podokapní půlkruh.z lak.Pz plechu tl.0,6mm, rš 330 mm ozn.K10 -provedení dle popisu v PD</t>
  </si>
  <si>
    <t>Odpadní trouby kruhové z lak.Pz plechu tl.0,6mm, D 125 mm ozn.K11 -provedení dle popisu v PD</t>
  </si>
  <si>
    <t>Přesun hmot pro klempířské konstr., výšky do 12 m</t>
  </si>
  <si>
    <t>Konstrukce truhlářské</t>
  </si>
  <si>
    <t>M+D Dřevěné zábradlí dle stávajícího, ozn. OS 18 -úplné provedení dle popisu v PD</t>
  </si>
  <si>
    <t>M+D Podbití střechy ozn.OS 27 -úplné provedení dle popisu v PD, vč.povrch.úpravy a roštu</t>
  </si>
  <si>
    <t>Demontáž dřev.podbití střechy dle pozn.17</t>
  </si>
  <si>
    <t>Položení podlahy teras z prken, na podkladní rošt vč.roštu a podlahy ozn.OS 21 -úplné provedení dle popisu v PD</t>
  </si>
  <si>
    <t>Těsnění oken.spáry, ostění, PT páska + PP páska</t>
  </si>
  <si>
    <t>Těsnění oken.spáry,parapet,PT folie+PP folie+páska</t>
  </si>
  <si>
    <t>M+D Okno dřev.lep.OS 1kř.900/850 mm, ozn.W01 -provedení dle popisu v PD</t>
  </si>
  <si>
    <t>M+D Okno dřev.lep.OS 1kř.550/550 mm, ozn.W02 -provedení dle popisu v PD</t>
  </si>
  <si>
    <t>M+D Okno dřev.lep.OS 3kř.2100/1800 mm, ozn.W03 -provedení dle popisu v PD</t>
  </si>
  <si>
    <t>M+D Okno dřev.lep.OS 2kř.1300/1800 mm, ozn.W04 -provedení dle popisu v PD</t>
  </si>
  <si>
    <t>M+D Okno dřev.lep.OS 1kř.850/950 mm, ozn.W05 -provedení dle popisu v PD</t>
  </si>
  <si>
    <t>M+D Okno dřev.lep.OS 1kř.950/1700 mm, ozn.W06 -provedení dle popisu v PD</t>
  </si>
  <si>
    <t>M+D Okno dřev.lep.OS 3kř.1300/2550 mm, ozn.W07 -provedení dle popisu v PD</t>
  </si>
  <si>
    <t>M+D Okno dřev.lep.OS 2kř.800/2600 mm, ozn.W08 -provedení dle popisu v PD</t>
  </si>
  <si>
    <t>M+D Okno dřev.lep.OS 1kř.900/1500 mm, ozn.W09 -provedení dle popisu v PD</t>
  </si>
  <si>
    <t>M+D Okno dřev.lep.OS 3kř.1550/2100 mm, ozn.W10 -provedení dle popisu v PD</t>
  </si>
  <si>
    <t>M+D Okno dřev.lep.OS 3kř.1550/1800 mm, ozn.W11 -provedení dle popisu v PD</t>
  </si>
  <si>
    <t>M+D Střešní výlez ozn.W12 - provedení dle popisu v PD</t>
  </si>
  <si>
    <t>Přesun hmot pro truhlářské konstr., výšky do 12 m</t>
  </si>
  <si>
    <t>Konstrukce doplňkové stavební (zámečnické)</t>
  </si>
  <si>
    <t>Demontáž světlíků všech typů včetně zasklení -provedení dle pozn.11</t>
  </si>
  <si>
    <t>Ocelové vazníky -kontrola stavu, obroušení, nový nátěr -skladba STŘ01, bod 8 -také dle detailu Det2</t>
  </si>
  <si>
    <t>M+D Dveře vchod.+nadsv. Al 1580/3050mm , ozn.W15 -provedení dle PD</t>
  </si>
  <si>
    <t>M+D Střešní pásový světlík Al 12000/2850mm, ozn.W13 -provedení dle PD</t>
  </si>
  <si>
    <t>M+D Nůžková okenní mříž, vnitřní 1170/1170 mm ozn.Z01 -provedení dle popisu v PD</t>
  </si>
  <si>
    <t>M+D Nůžková okenní mříž, vnitřní 1000/1000 mm ozn.Z02 -provedení dle popisu v PD</t>
  </si>
  <si>
    <t>M+D Nůžková okenní mříž, vnitřní 650/650 mm ozn.Z03 -provedení dle popisu v PD</t>
  </si>
  <si>
    <t>M+D Nůžková okenní mříž, vnitřní  2kř.2200/1900 mm ozn.Z04 -provedení dle popisu v PD</t>
  </si>
  <si>
    <t>M+D Nůžková okenní mříž, vnitřní  2kř.1400/1900 mm ozn.Z05 -provedení dle popisu v PD</t>
  </si>
  <si>
    <t>M+D Nůžková okenní mříž, vnitřní  1050/1000 mm ozn.Z06 -provedení dle popisu v PD</t>
  </si>
  <si>
    <t>M+D Nůžková okenní mříž, vnitřní  680/1280 mm ozn.Z07 -provedení dle popisu v PD</t>
  </si>
  <si>
    <t>M+D Nůžková okenní mříž, vnitřní  1060/1780 mm ozn.Z08 -provedení dle popisu v PD</t>
  </si>
  <si>
    <t>Demontáž a zpětná montáž stávajících vnitřních bezp.mříží vč.úpravy kotvení a seřízení</t>
  </si>
  <si>
    <t>Přípl.-úprava zámků pro generální klíč</t>
  </si>
  <si>
    <t>M+D Kovová větrací mřížka se síťkou proti hmyzu 150x200 mm ozn.OS 16</t>
  </si>
  <si>
    <t>M+D Plastová větrací mřížka se síťkou proti hmyzu 150x150 mm ozn.OS 17</t>
  </si>
  <si>
    <t>Záchytný horizontální systém, 16 kotvících bodů, nerez.lano 6mm vč.přísl.a revize, ozn.OS 09</t>
  </si>
  <si>
    <t>Přeložka a prodloužení vnějš.nerez.komín.systému ozn.OS 23, také pozn.13 -úplné provedení dle popisu v PD</t>
  </si>
  <si>
    <t>Přesun hmot pro zámečnické konstr., výšky do 12 m</t>
  </si>
  <si>
    <t>Obklady (keramické)</t>
  </si>
  <si>
    <t>Penetrace podkladu pod obklady</t>
  </si>
  <si>
    <t>Obkládání parapetů do tmele šířky 300 mm &gt; ozn.OS 01 + OS 03</t>
  </si>
  <si>
    <t>Obkládačka keramická, střední standart, dle výběru investora</t>
  </si>
  <si>
    <t>Montáž lišt k obkladům -nárožních,koutových, horních</t>
  </si>
  <si>
    <t>Profil ukončovací PVC  H = 10 mm</t>
  </si>
  <si>
    <t>Příplatek za spárovací vodotěsnou hmotu - plošně</t>
  </si>
  <si>
    <t>Přesun hmot pro obklady keramické, výšky do 12 m</t>
  </si>
  <si>
    <t>Čalounické úpravy</t>
  </si>
  <si>
    <t>Montáž rolet textilních stínících vč. dodávky ozn.OS 19 -provedení dle popisu v PD</t>
  </si>
  <si>
    <t>Přesun hmot pro zastiň. techniku, výšky do 12 m</t>
  </si>
  <si>
    <t>Elektromontáže</t>
  </si>
  <si>
    <t>Demontáž a opětovná montáž zabezpečovacího zařízení ozn.OS 12 -provedení dle popisu v PD a pozn.10</t>
  </si>
  <si>
    <t>Demontáž a opětovná montáž osvětlení hlavního vstupu ozn.OS 13 -provedení dle popisu v PD a pozn.10</t>
  </si>
  <si>
    <t>Přeložení zvonkového tabla ozn.OS 14 -provedení dle popisu v PD a pozn.10</t>
  </si>
  <si>
    <t>svorka SU</t>
  </si>
  <si>
    <t>svorka SK VČ petrolátové pásky 1m/ks</t>
  </si>
  <si>
    <t>svorka SJ01</t>
  </si>
  <si>
    <t>svorka ST univ vč nerez pásky 1m</t>
  </si>
  <si>
    <t>svorka zkušební ZS</t>
  </si>
  <si>
    <t>DoT-vrut 8/300 vč hmoždinky</t>
  </si>
  <si>
    <t>OT1,7m</t>
  </si>
  <si>
    <t>JT2m AlMgSi vč betonového podstavce</t>
  </si>
  <si>
    <t>tvarování pom.jimače</t>
  </si>
  <si>
    <t>PV17-vrut 8/300 vč.hmoždinky</t>
  </si>
  <si>
    <t>PV21 nalepovací</t>
  </si>
  <si>
    <t>pásek FeZn30x4 (v rámci dodávky spodní stavby)</t>
  </si>
  <si>
    <t>označ. štítek</t>
  </si>
  <si>
    <t>drát FeZn8</t>
  </si>
  <si>
    <t>drát nerez 8mm</t>
  </si>
  <si>
    <t>drát FeZn10</t>
  </si>
  <si>
    <t>Výkop kompl vč.záhozu</t>
  </si>
  <si>
    <t>Přepěťová ochrana do HR typ 1+2</t>
  </si>
  <si>
    <t>Podružný materiál</t>
  </si>
  <si>
    <t>Provoz investora</t>
  </si>
  <si>
    <t>Vedl.náklady</t>
  </si>
  <si>
    <t>Výchozí revize+přihláška</t>
  </si>
  <si>
    <t>Doprava</t>
  </si>
  <si>
    <t>Ostatní náklady</t>
  </si>
  <si>
    <t>Zařízení staveniště</t>
  </si>
  <si>
    <t>Provozní a územní vlivy</t>
  </si>
  <si>
    <t>Koordinační činnost</t>
  </si>
  <si>
    <t>Dokumentace skut.provedení stavby</t>
  </si>
  <si>
    <t>Geodetické práce při a po výstavbě</t>
  </si>
  <si>
    <t>Výrobní dokumentace</t>
  </si>
  <si>
    <t>NEZPŮSOBILÉ NÁKLADY</t>
  </si>
  <si>
    <t>Hloubený výkop pod základy v hor.3</t>
  </si>
  <si>
    <t>Vytažení výkopku z pod základů, hor 1-4, hl.nad 2 m</t>
  </si>
  <si>
    <t>Drenáž podél základu objektu z dren. trub DN 125 -trubky,lože, obsyp, geotext. ozn.OS 30</t>
  </si>
  <si>
    <t>Drenážní šachtice RŠ DN 400 s poklopem ozn.OS 30</t>
  </si>
  <si>
    <t>Postupná podezdívka základového zdiva cihlami betonovými ozn.OS 29</t>
  </si>
  <si>
    <t>Zpevňování hornin a konstrukcí</t>
  </si>
  <si>
    <t>Zkušební vrt - geologický průzkum (pro potřeby výrobní dokumentace)</t>
  </si>
  <si>
    <t>Vrty pro injektáž podzem.do 300 mm,v hor.3 ozn.OS 29</t>
  </si>
  <si>
    <t>Trysková injektáž vzestupná tlakem do 100 MPa vč.náplně ozn.OS 29</t>
  </si>
  <si>
    <t>Podlahy a podlahové konstrukce</t>
  </si>
  <si>
    <t>Oprava betonové kce ve vstupu ozn. OS 25  - úplné provedení dle popisu v PD</t>
  </si>
  <si>
    <t>Dočasné statické zajištění kce rampy</t>
  </si>
  <si>
    <t>Odstranění stávající ocelobetonové rampy včetně zábradlí a základů, vč.ekolog.lividace na skládce</t>
  </si>
  <si>
    <t>Kanalizace dešťová</t>
  </si>
  <si>
    <t>Hloubení rýh šířky do 1000 mm pro nové potrubí, včetně hutněného zasypání výkopu</t>
  </si>
  <si>
    <t xml:space="preserve">Zemní práce zahrnují eventuelní čerpání vody, zřízení a odstranění pažení, přemístění výkopu, uložení na skládku, hloubení zapažených i nezapažených rýh šířky přes 800 do 1 000 mm (hloubka výkopů 1 000-1 500 mm), případné obetonování potrubí a zasypání rýhy potrubí dle skladby uvedené v PD, navrácení stávajícího povrchu do původního stavu, s urovnáním dna do předepsaného profilu a spádu v zemině třídy číslo 2-3.   </t>
  </si>
  <si>
    <t>Zemní výstražná fólie</t>
  </si>
  <si>
    <t>Signalizační (propojovací) vodič CYKY 6x6 mm</t>
  </si>
  <si>
    <t>Stavební drenáž včetně obsypu</t>
  </si>
  <si>
    <t>Montážní jáma pro kanalizační šachty 1500x1500x1700 mm, včetně pažení</t>
  </si>
  <si>
    <t>Montážní jáma pro retenční (akumulační) nádrž 5000x3500x3200 mm, včetně pažení</t>
  </si>
  <si>
    <t>Montážní jáma pro vsakovací systém nádrž 20000x11000x1750 mm, včetně pažení</t>
  </si>
  <si>
    <t>Zhutněný zásyp - kamenivo frakce 8/16 hutněné po vrstvách tl. cca 150 mm</t>
  </si>
  <si>
    <t>Štěrkový podsyp tloušťky 200 mm</t>
  </si>
  <si>
    <t>Zásyp jam, rýh, šachet se zhutněním</t>
  </si>
  <si>
    <t>D+M - Ležaté potrubí PVC-KG DN 125 (127x3,2 mm)</t>
  </si>
  <si>
    <t xml:space="preserve">Dodávka a montáž odpadního potrubí z plastových trub KG systém - materiál PVC-U (neměkčený polyvinylchlorid - PVC) (SN 4) pro gravitační kanalizaci v zemi, vč. tvarovek, pískového podsypu,obsypu, zásypu, zemních prací (hloubka výkopu maximálně 1,5 m, zasypání rýhy potrubí dle skladby uvedené v PD, šířka výkopu 0,8 m, zemina třídy číslo 2-3) a tlakových zkoušek.   </t>
  </si>
  <si>
    <t>D+M - Ležaté potrubí PVC-KG DN 160 (182x4,0 mm)</t>
  </si>
  <si>
    <t>D+M - Ležaté potrubí PVC-KG DN 200 (200x4,9 mm)</t>
  </si>
  <si>
    <t>D+M - RŠ 04 - Plastová revizní šachta O 425 s teleskopickou rourou a s litinovou mříží B125, včetně příslušenství, betonáže, osazení, montáže a zemníc</t>
  </si>
  <si>
    <t xml:space="preserve">Dodávka a montáž prefabrikátů pro gravitační kanalizaci v zemi, včetně příslušného vybavení uvedeného v popisu, obetonování, zemních prací, pískového podsypu a obsypu a zkoušek.   </t>
  </si>
  <si>
    <t>D+M - RŠ 01 - Plastová revizní šachta O 600 s litinovou dešťovou mříží D400 a s teleskopickou rourou, včetně příslušenství, betonáže, osazení, montáže</t>
  </si>
  <si>
    <t>D+M - RŠ 03 - Plastová revizní šachta O 1000 s litinovým poklopem B125 a s betonovým prstencem, včetně příslušenství, betonáže, osazení, montáže a zem</t>
  </si>
  <si>
    <t>D+M - LŽ - Lapač střešních splavenin DN110/125 s pohledovými díly z litiny...</t>
  </si>
  <si>
    <t>D+M - LŽ - Lapač střešních splavenin DN110/125 s pohledovými díly z litiny, s kloubem na odtoku, s košem pro zachytávání nečistot, nezámrzná zápachová uzávěrka  - suchá klapka, s čistícím víkem, včetně příslušenství, betonáže, osazení, montáže a zemních prací</t>
  </si>
  <si>
    <t>D+M - RN - Plastová retenční nádrž o objemu 8 500 l s teleskopickým nástavcem a litinovým poklopem třídy B125, včetně příslušenství, betonáže, osazení</t>
  </si>
  <si>
    <t>D+M - Kalový koš typ B z pozinkované oceli – k litinové mříži</t>
  </si>
  <si>
    <t>D+M - Žebřík včetně příslušenství</t>
  </si>
  <si>
    <t>D+M - Vsakovací blok 600x300x600 mm (ŠxVxD) s kanálkem DN 180</t>
  </si>
  <si>
    <t xml:space="preserve">Dodávka a montáž vsakovacího systému pro gravitační kanalizaci v zemi, včetně příslušného vybavení uvedeného v popisu, obetonování, zemních prací, pískového podsypu a obsypu a zkoušek.   </t>
  </si>
  <si>
    <t>D+M - Vsakovací blok 600x300x600 mm (ŠxVxD)</t>
  </si>
  <si>
    <t>D+M - Box konektor - mašlička</t>
  </si>
  <si>
    <t>D+M - Geotextilie 200 g/m2</t>
  </si>
  <si>
    <t>D+M - Zhutněný zásyp - kamenivo frakce 8/16 hutněné po vrstvách tl. cca 150 mm</t>
  </si>
  <si>
    <t>D+M - Štěrkový podsyp tloušťky 500 mm</t>
  </si>
  <si>
    <t>D+M - Zásyp jam, rýh, šachet se zhutněním</t>
  </si>
  <si>
    <t>Ostatní bourací, přípomocné a zednické práce</t>
  </si>
  <si>
    <t>Tlaková zkouška potrubí do DN 250</t>
  </si>
  <si>
    <t>Pročištění potrubí do DN 250</t>
  </si>
  <si>
    <t>Zkouška těsnosti kanalizačního potrubí do DN 250</t>
  </si>
  <si>
    <t>Vypracování hydrogeologického posudku, včetně zemních prací</t>
  </si>
  <si>
    <t>Geodetické zaměření skutečného provedení s polohopisem</t>
  </si>
  <si>
    <t>Přesun hmot</t>
  </si>
  <si>
    <t>Dokumentace skutečného provedení (3 paré) - není součástí položky ve VRN</t>
  </si>
  <si>
    <t>Koordinace - není součástí položky ve VRN</t>
  </si>
  <si>
    <t>Kompletní konstrukce bezbariérové ocelové rampy, pozink, reakční nátěr -úplné provedení dle popisu v PD</t>
  </si>
  <si>
    <t>Doba výstavby:</t>
  </si>
  <si>
    <t>Začátek výstavby:</t>
  </si>
  <si>
    <t>Konec výstavby:</t>
  </si>
  <si>
    <t>Zpracováno dne:</t>
  </si>
  <si>
    <t>MJ</t>
  </si>
  <si>
    <t>kus</t>
  </si>
  <si>
    <t>m3</t>
  </si>
  <si>
    <t>m2</t>
  </si>
  <si>
    <t>t</t>
  </si>
  <si>
    <t>m</t>
  </si>
  <si>
    <t>hod</t>
  </si>
  <si>
    <t>kpl</t>
  </si>
  <si>
    <t>kg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</si>
  <si>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</si>
  <si>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</si>
  <si>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</si>
  <si>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</si>
  <si>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</si>
  <si>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</si>
  <si>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</si>
  <si>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</si>
  <si>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</si>
  <si>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</si>
  <si>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</si>
  <si>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</si>
  <si>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</si>
  <si>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</si>
  <si>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</si>
  <si>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</si>
  <si>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</si>
  <si>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</si>
  <si>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</si>
  <si>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</si>
  <si>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</si>
  <si>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</si>
  <si>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</si>
  <si>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</si>
  <si>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</si>
  <si>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1ZN</t>
  </si>
  <si>
    <t>2NN</t>
  </si>
  <si>
    <t>12_</t>
  </si>
  <si>
    <t>13_</t>
  </si>
  <si>
    <t>15_</t>
  </si>
  <si>
    <t>16_</t>
  </si>
  <si>
    <t>17_</t>
  </si>
  <si>
    <t>18_</t>
  </si>
  <si>
    <t>27_</t>
  </si>
  <si>
    <t>33_</t>
  </si>
  <si>
    <t>41_</t>
  </si>
  <si>
    <t>56_</t>
  </si>
  <si>
    <t>57_</t>
  </si>
  <si>
    <t>59_</t>
  </si>
  <si>
    <t>61_</t>
  </si>
  <si>
    <t>62_</t>
  </si>
  <si>
    <t>64_</t>
  </si>
  <si>
    <t>94_</t>
  </si>
  <si>
    <t>95_</t>
  </si>
  <si>
    <t>96_</t>
  </si>
  <si>
    <t>97_</t>
  </si>
  <si>
    <t>S_</t>
  </si>
  <si>
    <t>H99_</t>
  </si>
  <si>
    <t>712_</t>
  </si>
  <si>
    <t>713_</t>
  </si>
  <si>
    <t>730_</t>
  </si>
  <si>
    <t>762_</t>
  </si>
  <si>
    <t>764_</t>
  </si>
  <si>
    <t>766_</t>
  </si>
  <si>
    <t>767_</t>
  </si>
  <si>
    <t>781_</t>
  </si>
  <si>
    <t>786_</t>
  </si>
  <si>
    <t>M21_</t>
  </si>
  <si>
    <t>0_</t>
  </si>
  <si>
    <t>28_</t>
  </si>
  <si>
    <t>63_</t>
  </si>
  <si>
    <t>721_</t>
  </si>
  <si>
    <t>1ZN_1_</t>
  </si>
  <si>
    <t>1ZN_2_</t>
  </si>
  <si>
    <t>1ZN_3_</t>
  </si>
  <si>
    <t>1ZN_4_</t>
  </si>
  <si>
    <t>1ZN_5_</t>
  </si>
  <si>
    <t>1ZN_6_</t>
  </si>
  <si>
    <t>1ZN_9_</t>
  </si>
  <si>
    <t>1ZN_71_</t>
  </si>
  <si>
    <t>1ZN_73_</t>
  </si>
  <si>
    <t>1ZN_76_</t>
  </si>
  <si>
    <t>1ZN_78_</t>
  </si>
  <si>
    <t>1ZN_0_</t>
  </si>
  <si>
    <t>2NN_1_</t>
  </si>
  <si>
    <t>2NN_2_</t>
  </si>
  <si>
    <t>2NN_6_</t>
  </si>
  <si>
    <t>2NN_9_</t>
  </si>
  <si>
    <t>2NN_72_</t>
  </si>
  <si>
    <t>2NN_76_</t>
  </si>
  <si>
    <t>2NN_0_</t>
  </si>
  <si>
    <t>1ZN_</t>
  </si>
  <si>
    <t>2NN_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</si>
  <si>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</si>
  <si>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</si>
  <si>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</si>
  <si>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</si>
  <si>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</si>
  <si>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</si>
  <si>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</si>
  <si>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</si>
  <si>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</si>
  <si>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</si>
  <si>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</si>
  <si>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</si>
  <si>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1   </t>
  </si>
  <si>
    <t>(12,68+3,33)*0,7*0,2   </t>
  </si>
  <si>
    <t>(24,9+9,759+20,13+19,8)*0,7*0,2   </t>
  </si>
  <si>
    <t>11,183*1,3*0,2   </t>
  </si>
  <si>
    <t>(12,68+3,33)*0,79*1,53   </t>
  </si>
  <si>
    <t>(24,9+9,759+20,13+19,8)*0,79*1,63   </t>
  </si>
  <si>
    <t>19,351+90,156   </t>
  </si>
  <si>
    <t>11,183*0,76*1,08*0,2   </t>
  </si>
  <si>
    <t>(12,68+3,33)*1,53*2*0,8   </t>
  </si>
  <si>
    <t>(24,9+9,759+20,13+19,8)*1,53*2*0,8   </t>
  </si>
  <si>
    <t>221,786   </t>
  </si>
  <si>
    <t>(24,9+9,759+20,13+19,8)*0,79*0,13   </t>
  </si>
  <si>
    <t>1,836   </t>
  </si>
  <si>
    <t>10,0+74,708-1,836   </t>
  </si>
  <si>
    <t>26,635   </t>
  </si>
  <si>
    <t>82,872   </t>
  </si>
  <si>
    <t>19,531+1,836   </t>
  </si>
  <si>
    <t>10   </t>
  </si>
  <si>
    <t>48,568+30,0+100   </t>
  </si>
  <si>
    <t>(109,507+1,836)-10,0-74,708   </t>
  </si>
  <si>
    <t>90,599*0,62*1,33-1,836   </t>
  </si>
  <si>
    <t>793,94   </t>
  </si>
  <si>
    <t>26,635*1,85   </t>
  </si>
  <si>
    <t>24,73+11,19+10,86+21,08+15,95+20,41   </t>
  </si>
  <si>
    <t>8   </t>
  </si>
  <si>
    <t>11,183*1,85*0,2   </t>
  </si>
  <si>
    <t>4   </t>
  </si>
  <si>
    <t>11,183*1,07*0,81   </t>
  </si>
  <si>
    <t>76   </t>
  </si>
  <si>
    <t>4*19   </t>
  </si>
  <si>
    <t>0,15   </t>
  </si>
  <si>
    <t>(12,25+2,85)*2*0,25*0,15   </t>
  </si>
  <si>
    <t>(12,25+2,85)*2*0,45*2   </t>
  </si>
  <si>
    <t>1,133*0,15*1,15   </t>
  </si>
  <si>
    <t>(4,62*0,5)+(10,5*0,32)+(9,88+11,19+11,29)*0,5+(16,975+14,96+21,5)*0,5   </t>
  </si>
  <si>
    <t>30   </t>
  </si>
  <si>
    <t>6   </t>
  </si>
  <si>
    <t>380,48   </t>
  </si>
  <si>
    <t>(2,55*2+1,4)*14+(2,9*2+0,95)*4+(2,9*2+1,35)*2+(2,55*2+1,4)*2   </t>
  </si>
  <si>
    <t>208,969   </t>
  </si>
  <si>
    <t>(12,0+2,85)*2*1,8   </t>
  </si>
  <si>
    <t>0,765*13+0,303*9+3,78+1,95+0,723+1,615*2+3,315*18+2,08*4+1,35+3,255*4+2,79+34,2+3,118+4,819   </t>
  </si>
  <si>
    <t>1,25*1,75*8+1,45*2,15+1,25*1,75*9+0,85*1,67*2+1,5*1,75*2+1,45*1,8*2+0,85*1,45+1,28*1,75*2   </t>
  </si>
  <si>
    <t>9,5   </t>
  </si>
  <si>
    <t>197,856+375,008+264,897+129,841   </t>
  </si>
  <si>
    <t>(25,0*2,08)+(10,165*2,16)+(11,29*1,96)+(8,675*1,8)+(3,51*1,39)+(9,71*1,62)+(14,816*0,72)+(19,5*1,24)   </t>
  </si>
  <si>
    <t>60   </t>
  </si>
  <si>
    <t>(0,92+1,04*5)*1,02+(1,53*2+1,01*3)*1,04+(1,2+2,05+1,2)*0,19+(1,2*2,05)   </t>
  </si>
  <si>
    <t>2,6*0,46*4+1,65*0,4+2,6*0,42*3+2,6*0,4+5,52*0,3+2,55*0,3+4,9*0,3+5,7*0,34+2,6*0,34*5   </t>
  </si>
  <si>
    <t>6,4*0,41*4+6,4*0,28*3+6,0*0,28*4+0,31*3+6,4*0,32*4+4,35*0,3*2+7,68*0,25+3,0*0,25+2,95*0,25+5,15*0,3   </t>
  </si>
  <si>
    <t>5,75*0,3*2+5,75*0,3*2+3,9*0,3+6,4*0,3*3   </t>
  </si>
  <si>
    <t>4,75*0,31*8+5,75*0,31+4,75*0,31*3+4,75*0,31*4+4,19*0,31*2+4,75*0,31*2+5,0*0,3*2+5,05*0,3*2+3,75*0,3   </t>
  </si>
  <si>
    <t>4,75*0,3*3   </t>
  </si>
  <si>
    <t>(25,0*4,63)-3,315*8+(10,165*5,05)-2,08*4+(11,29*4,65)-3,315*3+(15,77*4,65)-3,315*4-1,615*2   </t>
  </si>
  <si>
    <t>(6,24*4,65)-3,68*0,2-4,819-1,38+(11,7*4,65)-3,255*2-2,79   </t>
  </si>
  <si>
    <t>(19,5*4,65)-3,255*2-1,35-3,315*2   </t>
  </si>
  <si>
    <t>(24,9*3,5)-1,25*1,75*8+(3,185*3,5)-1,45*2,15+(11,9*3,5)-1,25*1,75*3   </t>
  </si>
  <si>
    <t>(15,38*3,5)-1,25*1,75*4-0,85*1,67*2+(6,24*3,5)-1,25*1,75*2+(11,7*3,5)-1,5*1,75*2   </t>
  </si>
  <si>
    <t>(19,3*3,5)-1,45*1,8*2-0,85*1,45-1,25*1,75*2   </t>
  </si>
  <si>
    <t>(25,0*1,69)-0,765*4-0,303+(10,165*1,67)+(11,29*1,84)-0,765*3+(8,675*1,99)-0,765+(7,065*1,41)   </t>
  </si>
  <si>
    <t>(5,84*1,69)+(6,34*2,32)+(11,7*3,06)-0,723-1,95-2,772+(19,5*2,55)-3,78-0,765*5   </t>
  </si>
  <si>
    <t>2,1+1,3+1,3*15+1,3+0,8*4+1,3*2+1,55*4+1,55   </t>
  </si>
  <si>
    <t>1134,758   </t>
  </si>
  <si>
    <t>2,6*13+1,65*9+5,7+4,9+2,55+4,35*2+6,4*18+6,0*4+3,9+5,75*4+5,15+5,75   </t>
  </si>
  <si>
    <t>4,75*8+5,75+4,75*3+4,75*4+4,19*2+4,75*2+5,0*2+5,05*2+3,75+4,75*3   </t>
  </si>
  <si>
    <t>0,9*13+0,55*9+2,1+1,3+0,85+0,95*2+1,3*18+0,8*4+0,9+1,55*4+1,55+1,45   </t>
  </si>
  <si>
    <t>1,25*8+1,45+1,25*3+1,25*4+0,85*2+1,25*2+1,5*2+1,45*2+0,85+1,25*2   </t>
  </si>
  <si>
    <t>618,757+75,066   </t>
  </si>
  <si>
    <t>145   </t>
  </si>
  <si>
    <t>167,156+197,856+375,008+264,897+129,841   </t>
  </si>
  <si>
    <t>(167,156+197,856+375,008+264,897+129,841)*0,3   </t>
  </si>
  <si>
    <t>(167,156+197,856+375,008+264,897+129,841)*0,5   </t>
  </si>
  <si>
    <t>75,5   </t>
  </si>
  <si>
    <t>1,3*15   </t>
  </si>
  <si>
    <t>1,3*2   </t>
  </si>
  <si>
    <t>1,3+0,8*4   </t>
  </si>
  <si>
    <t>1,55*4+1,55   </t>
  </si>
  <si>
    <t>2,1+1,3   </t>
  </si>
  <si>
    <t>(28,0+19,5)*2*11,05   </t>
  </si>
  <si>
    <t>1049,75*3   </t>
  </si>
  <si>
    <t>1049,75   </t>
  </si>
  <si>
    <t>150   </t>
  </si>
  <si>
    <t>5   </t>
  </si>
  <si>
    <t>2   </t>
  </si>
  <si>
    <t>260   </t>
  </si>
  <si>
    <t>250   </t>
  </si>
  <si>
    <t>11,183*0,76*0,8   </t>
  </si>
  <si>
    <t>(24,9+9,579+11,183+12,68+3,33+20,13+19,8)*1,3   </t>
  </si>
  <si>
    <t>(12,255+3,1)*2*0,15*0,34   </t>
  </si>
  <si>
    <t>(12,255+3,1)*2*0,0367   </t>
  </si>
  <si>
    <t>(24,9+9,579+11,183+12,68+3,33+20,13+19,8)*0,5*0,10   </t>
  </si>
  <si>
    <t>(24,9+9,579+11,183+12,68+3,33+20,13+19,8)*0,5*0,2   </t>
  </si>
  <si>
    <t>10,16   </t>
  </si>
  <si>
    <t>8,8+3,5+6,8+12,2+14,1   </t>
  </si>
  <si>
    <t>0,88*3+0,55+0,9+0,9*2+0,87+0,82+1,01+1,97+0,88*5+1,2*8+0,8*4+1,2*3+1,2*4+0,95*2+1,55*5+0,9+1,2*3   </t>
  </si>
  <si>
    <t>1,2*8+0,8*4+1,2+1,4*2+1,2*4+0,95*2+1,55*5+0,9+1,2*3   </t>
  </si>
  <si>
    <t>1*3+3+1*5+1*2+1*5+4*3*2+1*2+11*3*2+2*4*2+3*8*2+1   </t>
  </si>
  <si>
    <t>2*2   </t>
  </si>
  <si>
    <t>0,88*0,9*3+0,55*0,55+0,9*0,85+0,9*0,8*2+0,87*0,9+0,82*0,86+0,88*0,9*5   </t>
  </si>
  <si>
    <t>1,01*1,8+0,95*1,7*2+0,9*1,5   </t>
  </si>
  <si>
    <t>1,97*1,8+1,2*2,55*8*2+0,8*2,9*4*2+1,2*2,55*3*2+1,2*2,9*4*2+1,55*1,8   </t>
  </si>
  <si>
    <t>1,55*2,1*4+1,2*2,55*3*2   </t>
  </si>
  <si>
    <t>1,58*3,05+1,45*2,15   </t>
  </si>
  <si>
    <t>0,88*0,15*3+0,9*0,15*2+0,87*0,15+0,9*0,15+0,88*0,15*5   </t>
  </si>
  <si>
    <t>0,88*0,9*3+0,55*0,55+0,9*0,85+0,9*0,85*2+0,87*1,1+0,9*0,85+0,8*1,4+0,75*1,4+1,02*1,06+0,88*0,9*5   </t>
  </si>
  <si>
    <t>1,21*2,0+2,17*2,0   </t>
  </si>
  <si>
    <t>(24,9*8,15)-1,4*2,55*8-1,25*1,75*8+(9,599*4,87)-0,8*2,9*4   </t>
  </si>
  <si>
    <t>(11,183*8,16)-1,4*2,55*3-1,25*1,75*3+(26,86*8,15)-1,2*2,9*2-1,2*2,55-1,3*2,55-0,95*1,7*2-1,55*1,8   </t>
  </si>
  <si>
    <t>-1,55*2,1*2-1,25*1,75*4-0,85*1,67*2-1,5*1,75*2   </t>
  </si>
  <si>
    <t>(6,26*8,15)-0,55*1,2-0,6*1,2-1,58*3,05-2,05*0,15-1,25*1,75*2   </t>
  </si>
  <si>
    <t>(19,3*8,15)-1,55*2,1*2-0,9*1,5-1,2*2,55*3-1,45*1,8*2-0,85*1,45-1,25*1,75*3   </t>
  </si>
  <si>
    <t>(3,03*3,29)-1,45*2,15   </t>
  </si>
  <si>
    <t>6,5*0,22*3+6,5*0,33*5+6,6*0,17*4+6,5*0,22*3+7,0*0,22*3+6,3*0,2+6,4*0,2+4,35*0,22*2+3,0*0,22   </t>
  </si>
  <si>
    <t>2,95*0,22+7,68*0,22+5,15*0,22+5,75*0,22*3+3,9*0,22+6,3*0,22*3+4,75*0,22*8+5,75*0,22   </t>
  </si>
  <si>
    <t>4,75*0,22*7+4,19*0,22*2+4,75*0,22*2+5,0*0,22*2+5,05*0,22*2+3,75*0,22+4,75*0,22*3   </t>
  </si>
  <si>
    <t>375,008+264,897+129,841   </t>
  </si>
  <si>
    <t>2,68*0,4*3+0,55*3*0,4+2,65*0,4+2,6*0,4*2+3,07*0,4+2,6*0,4+2,68*0,4*5+2,58*0,4+3,61*0,4   </t>
  </si>
  <si>
    <t>(24,9+0,65+2,05+2,12+2,12)*1,67+(2,039+0,65+11,183)*1,85   </t>
  </si>
  <si>
    <t>(9,32*1,93)+(6,04*2,25)+(5,34*2,25)+(4,67*0,5)+(11,5*3,2)   </t>
  </si>
  <si>
    <t>(19,3*2,47)-0,88*0,9*3-0,55*0,55-0,9*0,85*3-0,9*1,1-0,9*0,85-1,3*2,1-0,82*0,86-1,01*1,8-1,97*1,8   </t>
  </si>
  <si>
    <t>-0,88*0,9*5   </t>
  </si>
  <si>
    <t>54,945   </t>
  </si>
  <si>
    <t>42,455   </t>
  </si>
  <si>
    <t>26,744+47,126+45,068+18,411+8,5123+11,35+9,018+10,058+0,798   </t>
  </si>
  <si>
    <t>177,085*14   </t>
  </si>
  <si>
    <t>177,085   </t>
  </si>
  <si>
    <t>177,085*6   </t>
  </si>
  <si>
    <t>14,231+1,727+10,776   </t>
  </si>
  <si>
    <t>47,126   </t>
  </si>
  <si>
    <t>2,821+42,223+0,024   </t>
  </si>
  <si>
    <t>18,411   </t>
  </si>
  <si>
    <t>8,512   </t>
  </si>
  <si>
    <t>11,35   </t>
  </si>
  <si>
    <t>1,022+7,093+0,326+0,577   </t>
  </si>
  <si>
    <t>10,058   </t>
  </si>
  <si>
    <t>0,798   </t>
  </si>
  <si>
    <t>0,003+0,229+0,131+20,548+0,367+4,484+23,857+24,45+15,146+5,437+46,199+0,19+22,376+0,869   </t>
  </si>
  <si>
    <t>68,443+13,337+3,597+0,002   </t>
  </si>
  <si>
    <t>472,899*2   </t>
  </si>
  <si>
    <t>472,899   </t>
  </si>
  <si>
    <t>2,05*1,2   </t>
  </si>
  <si>
    <t>(12,0+2,85)*2*0,56   </t>
  </si>
  <si>
    <t>9,752   </t>
  </si>
  <si>
    <t>(12,0+2,85)*2*1,55   </t>
  </si>
  <si>
    <t>46,035   </t>
  </si>
  <si>
    <t>;ztratné 5%; 2,30175   </t>
  </si>
  <si>
    <t>;ztratné 5%; 23,64495   </t>
  </si>
  <si>
    <t>14,05   </t>
  </si>
  <si>
    <t>1,7*4+2,47*2+2,8+1,75   </t>
  </si>
  <si>
    <t>(25,82+15,04)*7,25/2+(2,8*7,34)/2+(12,68*6,71)/2+(20,4+7,52)*7,16/2   </t>
  </si>
  <si>
    <t>(12,4*6,84)/2+(15,32*8,49)+(6,0*6,38)-12,3*3,15   </t>
  </si>
  <si>
    <t>19,685   </t>
  </si>
  <si>
    <t>25,82+12,76+2,88+15,32+6,0+12,4+20,4   </t>
  </si>
  <si>
    <t>96   </t>
  </si>
  <si>
    <t>0,7*4+0,55+0,6   </t>
  </si>
  <si>
    <t>1,5*9+0,8+1,2*6+0,9*4+1,55*2+1,0*2+1,25*15   </t>
  </si>
  <si>
    <t>1,2*4+1,4*2+1,25*16   </t>
  </si>
  <si>
    <t>1,2*3+1,4   </t>
  </si>
  <si>
    <t>1,95+1,2+0,9   </t>
  </si>
  <si>
    <t>0,84+0,54   </t>
  </si>
  <si>
    <t>0,84*3+1,2*4   </t>
  </si>
  <si>
    <t>0,86*3   </t>
  </si>
  <si>
    <t>0,86*5   </t>
  </si>
  <si>
    <t>1,2*8+0,8*4+1,2+1,4*2+1,2*4+0,95*2+1,55*5+0,9+1,2*3+1,25*17+0,85*2+1,5*2+1,45*2+0,85+1,25*3   </t>
  </si>
  <si>
    <t>15,355*2   </t>
  </si>
  <si>
    <t>2*10,13+1*9,58+1*9,85+1,965   </t>
  </si>
  <si>
    <t>0,15*2+0,06*8+0,05   </t>
  </si>
  <si>
    <t>42   </t>
  </si>
  <si>
    <t>106   </t>
  </si>
  <si>
    <t>24   </t>
  </si>
  <si>
    <t>50   </t>
  </si>
  <si>
    <t>5,917   </t>
  </si>
  <si>
    <t>17,5   </t>
  </si>
  <si>
    <t>52,5   </t>
  </si>
  <si>
    <t>(25,82+2,88+12,76+15,32+6,0+12,4+20,4)*0,55   </t>
  </si>
  <si>
    <t>13   </t>
  </si>
  <si>
    <t>9   </t>
  </si>
  <si>
    <t>18   </t>
  </si>
  <si>
    <t>7,123   </t>
  </si>
  <si>
    <t>12,255*3,1   </t>
  </si>
  <si>
    <t>9+4+1+1+1+1+2+2   </t>
  </si>
  <si>
    <t>86   </t>
  </si>
  <si>
    <t>4800   </t>
  </si>
  <si>
    <t>4,589   </t>
  </si>
  <si>
    <t>0,31*1,07*4+0,31*0,95*2+0,2*1,07+0,2*0,9*3+0,15*1,07*3*0,5*1,06   </t>
  </si>
  <si>
    <t>0,27*0,95+0,15*0,95+0,29*0,9   </t>
  </si>
  <si>
    <t>1,07*4+0,95*2+1,07+0,9*3+0,6+1,07*3+1,06   </t>
  </si>
  <si>
    <t>0,95+0,95+0,9   </t>
  </si>
  <si>
    <t>3,585   </t>
  </si>
  <si>
    <t>;ztratné 35%; 1,25475   </t>
  </si>
  <si>
    <t>1,07*4+0,95*2+1,07+0,9*3+0,6+1,07*3+1,06   koutová lišta</t>
  </si>
  <si>
    <t>0,95+0,95+0,9   horní lišta</t>
  </si>
  <si>
    <t>17,62   </t>
  </si>
  <si>
    <t>;ztratné 10%; 1,762   </t>
  </si>
  <si>
    <t>0,074   </t>
  </si>
  <si>
    <t>1,3*2,55*18+0,8*2,6*4+1,55*2,1*4   </t>
  </si>
  <si>
    <t>0,085   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</si>
  <si>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</si>
  <si>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</si>
  <si>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</si>
  <si>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</si>
  <si>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</si>
  <si>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</si>
  <si>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</si>
  <si>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</si>
  <si>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</si>
  <si>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</si>
  <si>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</si>
  <si>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</si>
  <si>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</si>
  <si>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</si>
  <si>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</si>
  <si>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</si>
  <si>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</si>
  <si>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</si>
  <si>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</si>
  <si>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</si>
  <si>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</si>
  <si>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</si>
  <si>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</si>
  <si>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</si>
  <si>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</si>
  <si>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</si>
  <si>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</si>
  <si>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</si>
  <si>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</si>
  <si>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</si>
  <si>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</si>
  <si>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</si>
  <si>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</si>
  <si>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</si>
  <si>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</si>
  <si>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</si>
  <si>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</si>
  <si>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</si>
  <si>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</si>
  <si>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</si>
  <si>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</si>
  <si>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</si>
  <si>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</si>
  <si>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</si>
  <si>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Krytina střech do 10° fólie, 6 kotev/m2, tl.izol.do 200 mm, vč.dodávky mPVC tl. 1,5 mm -skladba STŘ01, bod 12 - skladba STŘ02, bod 10</t>
  </si>
  <si>
    <t xml:space="preserve">Povlaková krytina střech do 10°,podklad.textilie 1 vrstva -vč.dodávky separ.textilie 300 g/m2 -skladba STŘ01, bod 11 - skladba STŘ02, bod 7, 9 a 11 </t>
  </si>
  <si>
    <t>Izolace tepelná střech do tl.200 mm,1vrstva -skladba STŘ01, bod 7 - skladba STŘ02, bod 8</t>
  </si>
  <si>
    <t>Montáž izolace stěn na tmel a hmožd.6 ks/m2, beton, stěrková hmota a uzavírací nátěr -provedení dle skladby SO01p a dle detailu Det3</t>
  </si>
  <si>
    <t>Deska izolační PIR +ALU folie pro střechy tl. 160mm (25% nadstřešní část), Desky fasádní PUR tl.120 mm (75% stěna půda)</t>
  </si>
  <si>
    <t>M+D Okno dřev.lep.OS 2kř.balk.1450/2150 mm, ozn.W14 -provedení dle popisu v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</si>
</sst>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19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9" fillId="2" borderId="19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4" fillId="3" borderId="20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5" fillId="3" borderId="29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164" fontId="9" fillId="2" borderId="19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11" fillId="0" borderId="0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3" xfId="0" applyNumberFormat="1" applyFont="1" applyFill="1" applyBorder="1" applyAlignment="1" applyProtection="1">
      <alignment horizontal="right" vertical="center"/>
      <protection/>
    </xf>
    <xf numFmtId="49" fontId="18" fillId="4" borderId="19" xfId="0" applyNumberFormat="1" applyFont="1" applyFill="1" applyBorder="1" applyAlignment="1" applyProtection="1">
      <alignment horizontal="left" vertical="center"/>
      <protection/>
    </xf>
    <xf numFmtId="49" fontId="19" fillId="4" borderId="19" xfId="0" applyNumberFormat="1" applyFont="1" applyFill="1" applyBorder="1" applyAlignment="1" applyProtection="1">
      <alignment horizontal="left" vertical="center"/>
      <protection/>
    </xf>
    <xf numFmtId="4" fontId="19" fillId="4" borderId="19" xfId="0" applyNumberFormat="1" applyFont="1" applyFill="1" applyBorder="1" applyAlignment="1" applyProtection="1">
      <alignment horizontal="right" vertical="center"/>
      <protection/>
    </xf>
    <xf numFmtId="49" fontId="19" fillId="4" borderId="19" xfId="0" applyNumberFormat="1" applyFont="1" applyFill="1" applyBorder="1" applyAlignment="1" applyProtection="1">
      <alignment horizontal="right" vertical="center"/>
      <protection/>
    </xf>
    <xf numFmtId="49" fontId="18" fillId="4" borderId="0" xfId="0" applyNumberFormat="1" applyFont="1" applyFill="1" applyBorder="1" applyAlignment="1" applyProtection="1">
      <alignment horizontal="left" vertical="center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4" fontId="19" fillId="4" borderId="0" xfId="0" applyNumberFormat="1" applyFont="1" applyFill="1" applyBorder="1" applyAlignment="1" applyProtection="1">
      <alignment horizontal="right" vertical="center"/>
      <protection/>
    </xf>
    <xf numFmtId="49" fontId="19" fillId="4" borderId="0" xfId="0" applyNumberFormat="1" applyFont="1" applyFill="1" applyBorder="1" applyAlignment="1" applyProtection="1">
      <alignment horizontal="right" vertical="center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4" fontId="20" fillId="0" borderId="19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" fontId="5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0" fontId="13" fillId="0" borderId="32" xfId="0" applyNumberFormat="1" applyFont="1" applyFill="1" applyBorder="1" applyAlignment="1" applyProtection="1">
      <alignment horizontal="center" vertical="center"/>
      <protection/>
    </xf>
    <xf numFmtId="49" fontId="17" fillId="0" borderId="28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3" borderId="28" xfId="0" applyNumberFormat="1" applyFont="1" applyFill="1" applyBorder="1" applyAlignment="1" applyProtection="1">
      <alignment horizontal="left" vertical="center"/>
      <protection/>
    </xf>
    <xf numFmtId="0" fontId="15" fillId="3" borderId="32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9" xfId="0" applyNumberFormat="1" applyFont="1" applyFill="1" applyBorder="1" applyAlignment="1" applyProtection="1">
      <alignment horizontal="left" vertical="center"/>
      <protection/>
    </xf>
    <xf numFmtId="0" fontId="16" fillId="0" borderId="34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horizontal="left" vertical="center"/>
      <protection/>
    </xf>
    <xf numFmtId="49" fontId="16" fillId="0" borderId="36" xfId="0" applyNumberFormat="1" applyFont="1" applyFill="1" applyBorder="1" applyAlignment="1" applyProtection="1">
      <alignment horizontal="left" vertical="center"/>
      <protection/>
    </xf>
    <xf numFmtId="0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49" fontId="19" fillId="4" borderId="19" xfId="0" applyNumberFormat="1" applyFont="1" applyFill="1" applyBorder="1" applyAlignment="1" applyProtection="1">
      <alignment horizontal="left" vertical="center"/>
      <protection/>
    </xf>
    <xf numFmtId="0" fontId="8" fillId="4" borderId="19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9" fillId="4" borderId="0" xfId="0" applyNumberFormat="1" applyFont="1" applyFill="1" applyBorder="1" applyAlignment="1" applyProtection="1">
      <alignment horizontal="left" vertical="center"/>
      <protection/>
    </xf>
    <xf numFmtId="0" fontId="8" fillId="4" borderId="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9" fillId="2" borderId="19" xfId="0" applyNumberFormat="1" applyFont="1" applyFill="1" applyBorder="1" applyAlignment="1" applyProtection="1">
      <alignment horizontal="left" vertical="center"/>
      <protection/>
    </xf>
    <xf numFmtId="0" fontId="9" fillId="2" borderId="19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2"/>
      <c r="B1" s="45"/>
      <c r="C1" s="87" t="s">
        <v>1307</v>
      </c>
      <c r="D1" s="88"/>
      <c r="E1" s="88"/>
      <c r="F1" s="88"/>
      <c r="G1" s="88"/>
      <c r="H1" s="88"/>
      <c r="I1" s="88"/>
    </row>
    <row r="2" spans="1:10" ht="12.75">
      <c r="A2" s="89" t="s">
        <v>1</v>
      </c>
      <c r="B2" s="90"/>
      <c r="C2" s="93" t="str">
        <f>'Stavební rozpočet'!C2</f>
        <v>SEN budovy Sládečkova vlastivědného muzea v Kladně, příspěvková organizace</v>
      </c>
      <c r="D2" s="94"/>
      <c r="E2" s="96" t="s">
        <v>1000</v>
      </c>
      <c r="F2" s="96" t="str">
        <f>'Stavební rozpočet'!I2</f>
        <v> </v>
      </c>
      <c r="G2" s="90"/>
      <c r="H2" s="96" t="s">
        <v>1331</v>
      </c>
      <c r="I2" s="97"/>
      <c r="J2" s="28"/>
    </row>
    <row r="3" spans="1:10" ht="25.7" customHeight="1">
      <c r="A3" s="91"/>
      <c r="B3" s="92"/>
      <c r="C3" s="95"/>
      <c r="D3" s="95"/>
      <c r="E3" s="92"/>
      <c r="F3" s="92"/>
      <c r="G3" s="92"/>
      <c r="H3" s="92"/>
      <c r="I3" s="98"/>
      <c r="J3" s="28"/>
    </row>
    <row r="4" spans="1:10" ht="12.75">
      <c r="A4" s="100" t="s">
        <v>2</v>
      </c>
      <c r="B4" s="92"/>
      <c r="C4" s="101" t="str">
        <f>'Stavební rozpočet'!C4</f>
        <v xml:space="preserve"> </v>
      </c>
      <c r="D4" s="92"/>
      <c r="E4" s="101" t="s">
        <v>1001</v>
      </c>
      <c r="F4" s="101" t="str">
        <f>'Stavební rozpočet'!I4</f>
        <v> </v>
      </c>
      <c r="G4" s="92"/>
      <c r="H4" s="101" t="s">
        <v>1331</v>
      </c>
      <c r="I4" s="99"/>
      <c r="J4" s="28"/>
    </row>
    <row r="5" spans="1:10" ht="12.75">
      <c r="A5" s="91"/>
      <c r="B5" s="92"/>
      <c r="C5" s="92"/>
      <c r="D5" s="92"/>
      <c r="E5" s="92"/>
      <c r="F5" s="92"/>
      <c r="G5" s="92"/>
      <c r="H5" s="92"/>
      <c r="I5" s="98"/>
      <c r="J5" s="28"/>
    </row>
    <row r="6" spans="1:10" ht="12.75">
      <c r="A6" s="100" t="s">
        <v>3</v>
      </c>
      <c r="B6" s="92"/>
      <c r="C6" s="101" t="str">
        <f>'Stavební rozpočet'!C6</f>
        <v>Huťská 1375, parc.č.1679, k. ú. Kladno</v>
      </c>
      <c r="D6" s="92"/>
      <c r="E6" s="101" t="s">
        <v>1002</v>
      </c>
      <c r="F6" s="102"/>
      <c r="G6" s="103"/>
      <c r="H6" s="101" t="s">
        <v>1331</v>
      </c>
      <c r="I6" s="99"/>
      <c r="J6" s="28"/>
    </row>
    <row r="7" spans="1:10" ht="12.75">
      <c r="A7" s="91"/>
      <c r="B7" s="92"/>
      <c r="C7" s="92"/>
      <c r="D7" s="92"/>
      <c r="E7" s="92"/>
      <c r="F7" s="103"/>
      <c r="G7" s="103"/>
      <c r="H7" s="92"/>
      <c r="I7" s="98"/>
      <c r="J7" s="28"/>
    </row>
    <row r="8" spans="1:10" ht="12.75">
      <c r="A8" s="100" t="s">
        <v>987</v>
      </c>
      <c r="B8" s="92"/>
      <c r="C8" s="101"/>
      <c r="D8" s="92"/>
      <c r="E8" s="101" t="s">
        <v>988</v>
      </c>
      <c r="F8" s="101"/>
      <c r="G8" s="92"/>
      <c r="H8" s="106" t="s">
        <v>1332</v>
      </c>
      <c r="I8" s="99" t="s">
        <v>321</v>
      </c>
      <c r="J8" s="28"/>
    </row>
    <row r="9" spans="1:10" ht="12.75">
      <c r="A9" s="91"/>
      <c r="B9" s="92"/>
      <c r="C9" s="92"/>
      <c r="D9" s="92"/>
      <c r="E9" s="92"/>
      <c r="F9" s="92"/>
      <c r="G9" s="92"/>
      <c r="H9" s="92"/>
      <c r="I9" s="98"/>
      <c r="J9" s="28"/>
    </row>
    <row r="10" spans="1:10" ht="12.75">
      <c r="A10" s="100" t="s">
        <v>4</v>
      </c>
      <c r="B10" s="92"/>
      <c r="C10" s="101" t="str">
        <f>'Stavební rozpočet'!C8</f>
        <v xml:space="preserve"> </v>
      </c>
      <c r="D10" s="92"/>
      <c r="E10" s="101" t="s">
        <v>1003</v>
      </c>
      <c r="F10" s="101" t="str">
        <f>'Stavební rozpočet'!I8</f>
        <v> </v>
      </c>
      <c r="G10" s="92"/>
      <c r="H10" s="106" t="s">
        <v>1333</v>
      </c>
      <c r="I10" s="104"/>
      <c r="J10" s="28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05"/>
      <c r="J11" s="28"/>
    </row>
    <row r="12" spans="1:9" ht="23.45" customHeight="1">
      <c r="A12" s="109" t="s">
        <v>1292</v>
      </c>
      <c r="B12" s="110"/>
      <c r="C12" s="110"/>
      <c r="D12" s="110"/>
      <c r="E12" s="110"/>
      <c r="F12" s="110"/>
      <c r="G12" s="110"/>
      <c r="H12" s="110"/>
      <c r="I12" s="110"/>
    </row>
    <row r="13" spans="1:10" ht="26.45" customHeight="1">
      <c r="A13" s="46" t="s">
        <v>1293</v>
      </c>
      <c r="B13" s="111" t="s">
        <v>1305</v>
      </c>
      <c r="C13" s="112"/>
      <c r="D13" s="46" t="s">
        <v>1308</v>
      </c>
      <c r="E13" s="111" t="s">
        <v>1317</v>
      </c>
      <c r="F13" s="112"/>
      <c r="G13" s="46" t="s">
        <v>1318</v>
      </c>
      <c r="H13" s="111" t="s">
        <v>1334</v>
      </c>
      <c r="I13" s="112"/>
      <c r="J13" s="28"/>
    </row>
    <row r="14" spans="1:10" ht="15.2" customHeight="1">
      <c r="A14" s="47" t="s">
        <v>1294</v>
      </c>
      <c r="B14" s="51" t="s">
        <v>1306</v>
      </c>
      <c r="C14" s="55">
        <f>SUM('Stavební rozpočet'!AB12:AB382)</f>
        <v>0</v>
      </c>
      <c r="D14" s="113" t="s">
        <v>1309</v>
      </c>
      <c r="E14" s="114"/>
      <c r="F14" s="55">
        <v>0</v>
      </c>
      <c r="G14" s="113" t="s">
        <v>923</v>
      </c>
      <c r="H14" s="114"/>
      <c r="I14" s="55">
        <v>0</v>
      </c>
      <c r="J14" s="28"/>
    </row>
    <row r="15" spans="1:10" ht="15.2" customHeight="1">
      <c r="A15" s="48"/>
      <c r="B15" s="51" t="s">
        <v>1010</v>
      </c>
      <c r="C15" s="55">
        <f>SUM('Stavební rozpočet'!AC12:AC382)</f>
        <v>0</v>
      </c>
      <c r="D15" s="113" t="s">
        <v>1310</v>
      </c>
      <c r="E15" s="114"/>
      <c r="F15" s="55">
        <v>0</v>
      </c>
      <c r="G15" s="113" t="s">
        <v>1319</v>
      </c>
      <c r="H15" s="114"/>
      <c r="I15" s="55">
        <v>0</v>
      </c>
      <c r="J15" s="28"/>
    </row>
    <row r="16" spans="1:10" ht="15.2" customHeight="1">
      <c r="A16" s="47" t="s">
        <v>1295</v>
      </c>
      <c r="B16" s="51" t="s">
        <v>1306</v>
      </c>
      <c r="C16" s="55">
        <f>SUM('Stavební rozpočet'!AD12:AD382)</f>
        <v>0</v>
      </c>
      <c r="D16" s="113" t="s">
        <v>1311</v>
      </c>
      <c r="E16" s="114"/>
      <c r="F16" s="55">
        <v>0</v>
      </c>
      <c r="G16" s="113" t="s">
        <v>1320</v>
      </c>
      <c r="H16" s="114"/>
      <c r="I16" s="55">
        <v>0</v>
      </c>
      <c r="J16" s="28"/>
    </row>
    <row r="17" spans="1:10" ht="15.2" customHeight="1">
      <c r="A17" s="48"/>
      <c r="B17" s="51" t="s">
        <v>1010</v>
      </c>
      <c r="C17" s="55">
        <f>SUM('Stavební rozpočet'!AE12:AE382)</f>
        <v>0</v>
      </c>
      <c r="D17" s="113"/>
      <c r="E17" s="114"/>
      <c r="F17" s="56"/>
      <c r="G17" s="113" t="s">
        <v>1321</v>
      </c>
      <c r="H17" s="114"/>
      <c r="I17" s="55">
        <v>0</v>
      </c>
      <c r="J17" s="28"/>
    </row>
    <row r="18" spans="1:10" ht="15.2" customHeight="1">
      <c r="A18" s="47" t="s">
        <v>1296</v>
      </c>
      <c r="B18" s="51" t="s">
        <v>1306</v>
      </c>
      <c r="C18" s="55">
        <f>SUM('Stavební rozpočet'!AF12:AF382)</f>
        <v>0</v>
      </c>
      <c r="D18" s="113"/>
      <c r="E18" s="114"/>
      <c r="F18" s="56"/>
      <c r="G18" s="113" t="s">
        <v>1322</v>
      </c>
      <c r="H18" s="114"/>
      <c r="I18" s="55">
        <v>0</v>
      </c>
      <c r="J18" s="28"/>
    </row>
    <row r="19" spans="1:10" ht="15.2" customHeight="1">
      <c r="A19" s="48"/>
      <c r="B19" s="51" t="s">
        <v>1010</v>
      </c>
      <c r="C19" s="55">
        <f>SUM('Stavební rozpočet'!AG12:AG382)</f>
        <v>0</v>
      </c>
      <c r="D19" s="113"/>
      <c r="E19" s="114"/>
      <c r="F19" s="56"/>
      <c r="G19" s="113" t="s">
        <v>1323</v>
      </c>
      <c r="H19" s="114"/>
      <c r="I19" s="55">
        <v>0</v>
      </c>
      <c r="J19" s="28"/>
    </row>
    <row r="20" spans="1:10" ht="15.2" customHeight="1">
      <c r="A20" s="115" t="s">
        <v>1297</v>
      </c>
      <c r="B20" s="116"/>
      <c r="C20" s="55">
        <f>SUM('Stavební rozpočet'!AH12:AH382)</f>
        <v>0</v>
      </c>
      <c r="D20" s="113"/>
      <c r="E20" s="114"/>
      <c r="F20" s="56"/>
      <c r="G20" s="113"/>
      <c r="H20" s="114"/>
      <c r="I20" s="56"/>
      <c r="J20" s="28"/>
    </row>
    <row r="21" spans="1:10" ht="15.2" customHeight="1">
      <c r="A21" s="115" t="s">
        <v>1298</v>
      </c>
      <c r="B21" s="116"/>
      <c r="C21" s="55">
        <f>SUM('Stavební rozpočet'!Z12:Z382)</f>
        <v>0</v>
      </c>
      <c r="D21" s="113"/>
      <c r="E21" s="114"/>
      <c r="F21" s="56"/>
      <c r="G21" s="113"/>
      <c r="H21" s="114"/>
      <c r="I21" s="56"/>
      <c r="J21" s="28"/>
    </row>
    <row r="22" spans="1:10" ht="16.7" customHeight="1">
      <c r="A22" s="115" t="s">
        <v>1299</v>
      </c>
      <c r="B22" s="116"/>
      <c r="C22" s="55">
        <f>SUM(C14:C21)</f>
        <v>0</v>
      </c>
      <c r="D22" s="115" t="s">
        <v>1312</v>
      </c>
      <c r="E22" s="116"/>
      <c r="F22" s="55">
        <f>SUM(F14:F21)</f>
        <v>0</v>
      </c>
      <c r="G22" s="115" t="s">
        <v>1324</v>
      </c>
      <c r="H22" s="116"/>
      <c r="I22" s="55">
        <f>SUM(I14:I21)</f>
        <v>0</v>
      </c>
      <c r="J22" s="28"/>
    </row>
    <row r="23" spans="1:10" ht="15.2" customHeight="1">
      <c r="A23" s="7"/>
      <c r="B23" s="7"/>
      <c r="C23" s="53"/>
      <c r="D23" s="115" t="s">
        <v>1313</v>
      </c>
      <c r="E23" s="116"/>
      <c r="F23" s="57">
        <v>0</v>
      </c>
      <c r="G23" s="115" t="s">
        <v>1325</v>
      </c>
      <c r="H23" s="116"/>
      <c r="I23" s="55">
        <v>0</v>
      </c>
      <c r="J23" s="28"/>
    </row>
    <row r="24" spans="4:9" ht="15.2" customHeight="1">
      <c r="D24" s="7"/>
      <c r="E24" s="7"/>
      <c r="F24" s="58"/>
      <c r="G24" s="115" t="s">
        <v>1326</v>
      </c>
      <c r="H24" s="116"/>
      <c r="I24" s="60"/>
    </row>
    <row r="25" spans="6:10" ht="15.2" customHeight="1">
      <c r="F25" s="59"/>
      <c r="G25" s="115" t="s">
        <v>1327</v>
      </c>
      <c r="H25" s="116"/>
      <c r="I25" s="55">
        <v>0</v>
      </c>
      <c r="J25" s="28"/>
    </row>
    <row r="26" spans="1:9" ht="12.75">
      <c r="A26" s="45"/>
      <c r="B26" s="45"/>
      <c r="C26" s="45"/>
      <c r="G26" s="7"/>
      <c r="H26" s="7"/>
      <c r="I26" s="7"/>
    </row>
    <row r="27" spans="1:9" ht="15.2" customHeight="1">
      <c r="A27" s="117" t="s">
        <v>1300</v>
      </c>
      <c r="B27" s="118"/>
      <c r="C27" s="61">
        <f>SUM('Stavební rozpočet'!AJ12:AJ382)</f>
        <v>0</v>
      </c>
      <c r="D27" s="54"/>
      <c r="E27" s="45"/>
      <c r="F27" s="45"/>
      <c r="G27" s="45"/>
      <c r="H27" s="45"/>
      <c r="I27" s="45"/>
    </row>
    <row r="28" spans="1:10" ht="15.2" customHeight="1">
      <c r="A28" s="117" t="s">
        <v>1301</v>
      </c>
      <c r="B28" s="118"/>
      <c r="C28" s="61">
        <f>SUM('Stavební rozpočet'!AK12:AK382)</f>
        <v>0</v>
      </c>
      <c r="D28" s="117" t="s">
        <v>1314</v>
      </c>
      <c r="E28" s="118"/>
      <c r="F28" s="61">
        <f>ROUND(C28*(15/100),2)</f>
        <v>0</v>
      </c>
      <c r="G28" s="117" t="s">
        <v>1328</v>
      </c>
      <c r="H28" s="118"/>
      <c r="I28" s="61">
        <f>SUM(C27:C29)</f>
        <v>0</v>
      </c>
      <c r="J28" s="28"/>
    </row>
    <row r="29" spans="1:10" ht="15.2" customHeight="1">
      <c r="A29" s="117" t="s">
        <v>1302</v>
      </c>
      <c r="B29" s="118"/>
      <c r="C29" s="61">
        <f>SUM('Stavební rozpočet'!AL12:AL382)+(F22+I22+F23+I23+I24+I25)</f>
        <v>0</v>
      </c>
      <c r="D29" s="117" t="s">
        <v>1315</v>
      </c>
      <c r="E29" s="118"/>
      <c r="F29" s="61">
        <f>ROUND(C29*(21/100),2)</f>
        <v>0</v>
      </c>
      <c r="G29" s="117" t="s">
        <v>1329</v>
      </c>
      <c r="H29" s="118"/>
      <c r="I29" s="61">
        <f>SUM(F28:F29)+I28</f>
        <v>0</v>
      </c>
      <c r="J29" s="28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45" customHeight="1">
      <c r="A31" s="119" t="s">
        <v>1303</v>
      </c>
      <c r="B31" s="120"/>
      <c r="C31" s="121"/>
      <c r="D31" s="119" t="s">
        <v>1316</v>
      </c>
      <c r="E31" s="120"/>
      <c r="F31" s="121"/>
      <c r="G31" s="119" t="s">
        <v>1330</v>
      </c>
      <c r="H31" s="120"/>
      <c r="I31" s="121"/>
      <c r="J31" s="29"/>
    </row>
    <row r="32" spans="1:10" ht="14.45" customHeight="1">
      <c r="A32" s="122"/>
      <c r="B32" s="123"/>
      <c r="C32" s="124"/>
      <c r="D32" s="122"/>
      <c r="E32" s="123"/>
      <c r="F32" s="124"/>
      <c r="G32" s="122"/>
      <c r="H32" s="123"/>
      <c r="I32" s="124"/>
      <c r="J32" s="29"/>
    </row>
    <row r="33" spans="1:10" ht="14.45" customHeight="1">
      <c r="A33" s="122"/>
      <c r="B33" s="123"/>
      <c r="C33" s="124"/>
      <c r="D33" s="122"/>
      <c r="E33" s="123"/>
      <c r="F33" s="124"/>
      <c r="G33" s="122"/>
      <c r="H33" s="123"/>
      <c r="I33" s="124"/>
      <c r="J33" s="29"/>
    </row>
    <row r="34" spans="1:10" ht="14.45" customHeight="1">
      <c r="A34" s="122"/>
      <c r="B34" s="123"/>
      <c r="C34" s="124"/>
      <c r="D34" s="122"/>
      <c r="E34" s="123"/>
      <c r="F34" s="124"/>
      <c r="G34" s="122"/>
      <c r="H34" s="123"/>
      <c r="I34" s="124"/>
      <c r="J34" s="29"/>
    </row>
    <row r="35" spans="1:10" ht="14.45" customHeight="1">
      <c r="A35" s="125" t="s">
        <v>1304</v>
      </c>
      <c r="B35" s="126"/>
      <c r="C35" s="127"/>
      <c r="D35" s="125" t="s">
        <v>1304</v>
      </c>
      <c r="E35" s="126"/>
      <c r="F35" s="127"/>
      <c r="G35" s="125" t="s">
        <v>1304</v>
      </c>
      <c r="H35" s="126"/>
      <c r="I35" s="127"/>
      <c r="J35" s="29"/>
    </row>
    <row r="36" spans="1:9" ht="11.25" customHeight="1">
      <c r="A36" s="50" t="s">
        <v>322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101"/>
      <c r="B37" s="92"/>
      <c r="C37" s="92"/>
      <c r="D37" s="92"/>
      <c r="E37" s="92"/>
      <c r="F37" s="92"/>
      <c r="G37" s="92"/>
      <c r="H37" s="92"/>
      <c r="I37" s="92"/>
    </row>
  </sheetData>
  <sheetProtection password="DBEE"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 topLeftCell="A1">
      <pane ySplit="10" topLeftCell="A11" activePane="bottomLeft" state="frozen"/>
      <selection pane="bottomLeft" activeCell="A2" sqref="A2:A3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hidden="1" customWidth="1"/>
    <col min="6" max="6" width="21.00390625" style="0" hidden="1" customWidth="1"/>
    <col min="7" max="7" width="20.8515625" style="0" customWidth="1"/>
    <col min="8" max="9" width="11.57421875" style="0" hidden="1" customWidth="1"/>
  </cols>
  <sheetData>
    <row r="1" spans="1:7" ht="72.95" customHeight="1">
      <c r="A1" s="128" t="s">
        <v>1085</v>
      </c>
      <c r="B1" s="88"/>
      <c r="C1" s="88"/>
      <c r="D1" s="88"/>
      <c r="E1" s="88"/>
      <c r="F1" s="88"/>
      <c r="G1" s="88"/>
    </row>
    <row r="2" spans="1:8" ht="12.75">
      <c r="A2" s="89" t="s">
        <v>1</v>
      </c>
      <c r="B2" s="93" t="str">
        <f>'Stavební rozpočet'!C2</f>
        <v>SEN budovy Sládečkova vlastivědného muzea v Kladně, příspěvková organizace</v>
      </c>
      <c r="C2" s="94"/>
      <c r="D2" s="96" t="s">
        <v>1000</v>
      </c>
      <c r="E2" s="96" t="str">
        <f>'Stavební rozpočet'!I2</f>
        <v> </v>
      </c>
      <c r="F2" s="90"/>
      <c r="G2" s="129"/>
      <c r="H2" s="28"/>
    </row>
    <row r="3" spans="1:8" ht="12.75">
      <c r="A3" s="91"/>
      <c r="B3" s="95"/>
      <c r="C3" s="95"/>
      <c r="D3" s="92"/>
      <c r="E3" s="92"/>
      <c r="F3" s="92"/>
      <c r="G3" s="98"/>
      <c r="H3" s="28"/>
    </row>
    <row r="4" spans="1:8" ht="12.75">
      <c r="A4" s="100" t="s">
        <v>2</v>
      </c>
      <c r="B4" s="101" t="str">
        <f>'Stavební rozpočet'!C4</f>
        <v xml:space="preserve"> </v>
      </c>
      <c r="C4" s="92"/>
      <c r="D4" s="101" t="s">
        <v>1001</v>
      </c>
      <c r="E4" s="101" t="str">
        <f>'Stavební rozpočet'!I4</f>
        <v> </v>
      </c>
      <c r="F4" s="92"/>
      <c r="G4" s="98"/>
      <c r="H4" s="28"/>
    </row>
    <row r="5" spans="1:8" ht="12.75">
      <c r="A5" s="91"/>
      <c r="B5" s="92"/>
      <c r="C5" s="92"/>
      <c r="D5" s="92"/>
      <c r="E5" s="92"/>
      <c r="F5" s="92"/>
      <c r="G5" s="98"/>
      <c r="H5" s="28"/>
    </row>
    <row r="6" spans="1:8" ht="12.75">
      <c r="A6" s="100" t="s">
        <v>3</v>
      </c>
      <c r="B6" s="101" t="str">
        <f>'Stavební rozpočet'!C6</f>
        <v>Huťská 1375, parc.č.1679, k. ú. Kladno</v>
      </c>
      <c r="C6" s="92"/>
      <c r="D6" s="101" t="s">
        <v>1002</v>
      </c>
      <c r="E6" s="101" t="str">
        <f>'Stavební rozpočet'!I6</f>
        <v> </v>
      </c>
      <c r="F6" s="92"/>
      <c r="G6" s="98"/>
      <c r="H6" s="28"/>
    </row>
    <row r="7" spans="1:8" ht="12.75">
      <c r="A7" s="91"/>
      <c r="B7" s="92"/>
      <c r="C7" s="92"/>
      <c r="D7" s="92"/>
      <c r="E7" s="92"/>
      <c r="F7" s="92"/>
      <c r="G7" s="98"/>
      <c r="H7" s="28"/>
    </row>
    <row r="8" spans="1:8" ht="12.75">
      <c r="A8" s="100" t="s">
        <v>1003</v>
      </c>
      <c r="B8" s="101" t="str">
        <f>'Stavební rozpočet'!I8</f>
        <v> </v>
      </c>
      <c r="C8" s="92"/>
      <c r="D8" s="106" t="s">
        <v>989</v>
      </c>
      <c r="E8" s="101"/>
      <c r="F8" s="92"/>
      <c r="G8" s="98"/>
      <c r="H8" s="28"/>
    </row>
    <row r="9" spans="1:8" ht="12.75">
      <c r="A9" s="130"/>
      <c r="B9" s="131"/>
      <c r="C9" s="131"/>
      <c r="D9" s="131"/>
      <c r="E9" s="131"/>
      <c r="F9" s="131"/>
      <c r="G9" s="132"/>
      <c r="H9" s="28"/>
    </row>
    <row r="10" spans="1:8" ht="12.75">
      <c r="A10" s="34" t="s">
        <v>1086</v>
      </c>
      <c r="B10" s="35" t="s">
        <v>323</v>
      </c>
      <c r="C10" s="133" t="s">
        <v>1087</v>
      </c>
      <c r="D10" s="134"/>
      <c r="E10" s="36" t="s">
        <v>1088</v>
      </c>
      <c r="F10" s="36" t="s">
        <v>1089</v>
      </c>
      <c r="G10" s="36" t="s">
        <v>1090</v>
      </c>
      <c r="H10" s="28"/>
    </row>
    <row r="11" spans="1:9" ht="12.75">
      <c r="A11" s="78" t="s">
        <v>1024</v>
      </c>
      <c r="B11" s="78"/>
      <c r="C11" s="135" t="s">
        <v>641</v>
      </c>
      <c r="D11" s="136"/>
      <c r="E11" s="79">
        <f>'Stavební rozpočet'!I12</f>
        <v>0</v>
      </c>
      <c r="F11" s="79">
        <f>'Stavební rozpočet'!J12</f>
        <v>0</v>
      </c>
      <c r="G11" s="79">
        <f>'Stavební rozpočet'!K12</f>
        <v>0</v>
      </c>
      <c r="H11" s="30" t="s">
        <v>1091</v>
      </c>
      <c r="I11" s="30">
        <f aca="true" t="shared" si="0" ref="I11:I56">IF(H11="F",0,G11)</f>
        <v>0</v>
      </c>
    </row>
    <row r="12" spans="1:9" ht="12.75">
      <c r="A12" s="12" t="s">
        <v>1024</v>
      </c>
      <c r="B12" s="12" t="s">
        <v>18</v>
      </c>
      <c r="C12" s="106" t="s">
        <v>642</v>
      </c>
      <c r="D12" s="92"/>
      <c r="E12" s="30">
        <f>'Stavební rozpočet'!I13</f>
        <v>0</v>
      </c>
      <c r="F12" s="30">
        <f>'Stavební rozpočet'!J13</f>
        <v>0</v>
      </c>
      <c r="G12" s="30">
        <f>'Stavební rozpočet'!K13</f>
        <v>0</v>
      </c>
      <c r="H12" s="30" t="s">
        <v>1092</v>
      </c>
      <c r="I12" s="30">
        <f t="shared" si="0"/>
        <v>0</v>
      </c>
    </row>
    <row r="13" spans="1:9" ht="12.75">
      <c r="A13" s="12" t="s">
        <v>1024</v>
      </c>
      <c r="B13" s="12" t="s">
        <v>19</v>
      </c>
      <c r="C13" s="106" t="s">
        <v>645</v>
      </c>
      <c r="D13" s="92"/>
      <c r="E13" s="30">
        <f>'Stavební rozpočet'!I16</f>
        <v>0</v>
      </c>
      <c r="F13" s="30">
        <f>'Stavební rozpočet'!J16</f>
        <v>0</v>
      </c>
      <c r="G13" s="30">
        <f>'Stavební rozpočet'!K16</f>
        <v>0</v>
      </c>
      <c r="H13" s="30" t="s">
        <v>1092</v>
      </c>
      <c r="I13" s="30">
        <f t="shared" si="0"/>
        <v>0</v>
      </c>
    </row>
    <row r="14" spans="1:9" ht="12.75">
      <c r="A14" s="12" t="s">
        <v>1024</v>
      </c>
      <c r="B14" s="12" t="s">
        <v>21</v>
      </c>
      <c r="C14" s="106" t="s">
        <v>649</v>
      </c>
      <c r="D14" s="92"/>
      <c r="E14" s="30">
        <f>'Stavební rozpočet'!I20</f>
        <v>0</v>
      </c>
      <c r="F14" s="30">
        <f>'Stavební rozpočet'!J20</f>
        <v>0</v>
      </c>
      <c r="G14" s="30">
        <f>'Stavební rozpočet'!K20</f>
        <v>0</v>
      </c>
      <c r="H14" s="30" t="s">
        <v>1092</v>
      </c>
      <c r="I14" s="30">
        <f t="shared" si="0"/>
        <v>0</v>
      </c>
    </row>
    <row r="15" spans="1:9" ht="12.75">
      <c r="A15" s="12" t="s">
        <v>1024</v>
      </c>
      <c r="B15" s="12" t="s">
        <v>22</v>
      </c>
      <c r="C15" s="106" t="s">
        <v>652</v>
      </c>
      <c r="D15" s="92"/>
      <c r="E15" s="30">
        <f>'Stavební rozpočet'!I23</f>
        <v>0</v>
      </c>
      <c r="F15" s="30">
        <f>'Stavební rozpočet'!J23</f>
        <v>0</v>
      </c>
      <c r="G15" s="30">
        <f>'Stavební rozpočet'!K23</f>
        <v>0</v>
      </c>
      <c r="H15" s="30" t="s">
        <v>1092</v>
      </c>
      <c r="I15" s="30">
        <f t="shared" si="0"/>
        <v>0</v>
      </c>
    </row>
    <row r="16" spans="1:9" ht="12.75">
      <c r="A16" s="12" t="s">
        <v>1024</v>
      </c>
      <c r="B16" s="12" t="s">
        <v>23</v>
      </c>
      <c r="C16" s="106" t="s">
        <v>658</v>
      </c>
      <c r="D16" s="92"/>
      <c r="E16" s="30">
        <f>'Stavební rozpočet'!I29</f>
        <v>0</v>
      </c>
      <c r="F16" s="30">
        <f>'Stavební rozpočet'!J29</f>
        <v>0</v>
      </c>
      <c r="G16" s="30">
        <f>'Stavební rozpočet'!K29</f>
        <v>0</v>
      </c>
      <c r="H16" s="30" t="s">
        <v>1092</v>
      </c>
      <c r="I16" s="30">
        <f t="shared" si="0"/>
        <v>0</v>
      </c>
    </row>
    <row r="17" spans="1:9" ht="12.75">
      <c r="A17" s="12" t="s">
        <v>1024</v>
      </c>
      <c r="B17" s="12" t="s">
        <v>24</v>
      </c>
      <c r="C17" s="106" t="s">
        <v>663</v>
      </c>
      <c r="D17" s="92"/>
      <c r="E17" s="30">
        <f>'Stavební rozpočet'!I34</f>
        <v>0</v>
      </c>
      <c r="F17" s="30">
        <f>'Stavební rozpočet'!J34</f>
        <v>0</v>
      </c>
      <c r="G17" s="30">
        <f>'Stavební rozpočet'!K34</f>
        <v>0</v>
      </c>
      <c r="H17" s="30" t="s">
        <v>1092</v>
      </c>
      <c r="I17" s="30">
        <f t="shared" si="0"/>
        <v>0</v>
      </c>
    </row>
    <row r="18" spans="1:9" ht="12.75">
      <c r="A18" s="12" t="s">
        <v>1024</v>
      </c>
      <c r="B18" s="12" t="s">
        <v>33</v>
      </c>
      <c r="C18" s="106" t="s">
        <v>667</v>
      </c>
      <c r="D18" s="92"/>
      <c r="E18" s="30">
        <f>'Stavební rozpočet'!I38</f>
        <v>0</v>
      </c>
      <c r="F18" s="30">
        <f>'Stavební rozpočet'!J38</f>
        <v>0</v>
      </c>
      <c r="G18" s="30">
        <f>'Stavební rozpočet'!K38</f>
        <v>0</v>
      </c>
      <c r="H18" s="30" t="s">
        <v>1092</v>
      </c>
      <c r="I18" s="30">
        <f t="shared" si="0"/>
        <v>0</v>
      </c>
    </row>
    <row r="19" spans="1:9" ht="12.75">
      <c r="A19" s="12" t="s">
        <v>1024</v>
      </c>
      <c r="B19" s="12" t="s">
        <v>39</v>
      </c>
      <c r="C19" s="106" t="s">
        <v>670</v>
      </c>
      <c r="D19" s="92"/>
      <c r="E19" s="30">
        <f>'Stavební rozpočet'!I41</f>
        <v>0</v>
      </c>
      <c r="F19" s="30">
        <f>'Stavební rozpočet'!J41</f>
        <v>0</v>
      </c>
      <c r="G19" s="30">
        <f>'Stavební rozpočet'!K41</f>
        <v>0</v>
      </c>
      <c r="H19" s="30" t="s">
        <v>1092</v>
      </c>
      <c r="I19" s="30">
        <f t="shared" si="0"/>
        <v>0</v>
      </c>
    </row>
    <row r="20" spans="1:9" ht="12.75">
      <c r="A20" s="12" t="s">
        <v>1024</v>
      </c>
      <c r="B20" s="12" t="s">
        <v>47</v>
      </c>
      <c r="C20" s="106" t="s">
        <v>672</v>
      </c>
      <c r="D20" s="92"/>
      <c r="E20" s="30">
        <f>'Stavební rozpočet'!I43</f>
        <v>0</v>
      </c>
      <c r="F20" s="30">
        <f>'Stavební rozpočet'!J43</f>
        <v>0</v>
      </c>
      <c r="G20" s="30">
        <f>'Stavební rozpočet'!K43</f>
        <v>0</v>
      </c>
      <c r="H20" s="30" t="s">
        <v>1092</v>
      </c>
      <c r="I20" s="30">
        <f t="shared" si="0"/>
        <v>0</v>
      </c>
    </row>
    <row r="21" spans="1:9" ht="12.75">
      <c r="A21" s="12" t="s">
        <v>1024</v>
      </c>
      <c r="B21" s="12" t="s">
        <v>62</v>
      </c>
      <c r="C21" s="106" t="s">
        <v>677</v>
      </c>
      <c r="D21" s="92"/>
      <c r="E21" s="30">
        <f>'Stavební rozpočet'!I48</f>
        <v>0</v>
      </c>
      <c r="F21" s="30">
        <f>'Stavební rozpočet'!J48</f>
        <v>0</v>
      </c>
      <c r="G21" s="30">
        <f>'Stavební rozpočet'!K48</f>
        <v>0</v>
      </c>
      <c r="H21" s="30" t="s">
        <v>1092</v>
      </c>
      <c r="I21" s="30">
        <f t="shared" si="0"/>
        <v>0</v>
      </c>
    </row>
    <row r="22" spans="1:9" ht="12.75">
      <c r="A22" s="12" t="s">
        <v>1024</v>
      </c>
      <c r="B22" s="12" t="s">
        <v>63</v>
      </c>
      <c r="C22" s="106" t="s">
        <v>681</v>
      </c>
      <c r="D22" s="92"/>
      <c r="E22" s="30">
        <f>'Stavební rozpočet'!I52</f>
        <v>0</v>
      </c>
      <c r="F22" s="30">
        <f>'Stavební rozpočet'!J52</f>
        <v>0</v>
      </c>
      <c r="G22" s="30">
        <f>'Stavební rozpočet'!K52</f>
        <v>0</v>
      </c>
      <c r="H22" s="30" t="s">
        <v>1092</v>
      </c>
      <c r="I22" s="30">
        <f t="shared" si="0"/>
        <v>0</v>
      </c>
    </row>
    <row r="23" spans="1:9" ht="12.75">
      <c r="A23" s="12" t="s">
        <v>1024</v>
      </c>
      <c r="B23" s="12" t="s">
        <v>65</v>
      </c>
      <c r="C23" s="106" t="s">
        <v>683</v>
      </c>
      <c r="D23" s="92"/>
      <c r="E23" s="30">
        <f>'Stavební rozpočet'!I54</f>
        <v>0</v>
      </c>
      <c r="F23" s="30">
        <f>'Stavební rozpočet'!J54</f>
        <v>0</v>
      </c>
      <c r="G23" s="30">
        <f>'Stavební rozpočet'!K54</f>
        <v>0</v>
      </c>
      <c r="H23" s="30" t="s">
        <v>1092</v>
      </c>
      <c r="I23" s="30">
        <f t="shared" si="0"/>
        <v>0</v>
      </c>
    </row>
    <row r="24" spans="1:9" ht="12.75">
      <c r="A24" s="12" t="s">
        <v>1024</v>
      </c>
      <c r="B24" s="12" t="s">
        <v>67</v>
      </c>
      <c r="C24" s="106" t="s">
        <v>686</v>
      </c>
      <c r="D24" s="92"/>
      <c r="E24" s="30">
        <f>'Stavební rozpočet'!I57</f>
        <v>0</v>
      </c>
      <c r="F24" s="30">
        <f>'Stavební rozpočet'!J57</f>
        <v>0</v>
      </c>
      <c r="G24" s="30">
        <f>'Stavební rozpočet'!K57</f>
        <v>0</v>
      </c>
      <c r="H24" s="30" t="s">
        <v>1092</v>
      </c>
      <c r="I24" s="30">
        <f t="shared" si="0"/>
        <v>0</v>
      </c>
    </row>
    <row r="25" spans="1:9" ht="12.75">
      <c r="A25" s="12" t="s">
        <v>1024</v>
      </c>
      <c r="B25" s="12" t="s">
        <v>68</v>
      </c>
      <c r="C25" s="106" t="s">
        <v>692</v>
      </c>
      <c r="D25" s="92"/>
      <c r="E25" s="30">
        <f>'Stavební rozpočet'!I63</f>
        <v>0</v>
      </c>
      <c r="F25" s="30">
        <f>'Stavební rozpočet'!J63</f>
        <v>0</v>
      </c>
      <c r="G25" s="30">
        <f>'Stavební rozpočet'!K63</f>
        <v>0</v>
      </c>
      <c r="H25" s="30" t="s">
        <v>1092</v>
      </c>
      <c r="I25" s="30">
        <f t="shared" si="0"/>
        <v>0</v>
      </c>
    </row>
    <row r="26" spans="1:9" ht="12.75">
      <c r="A26" s="12" t="s">
        <v>1024</v>
      </c>
      <c r="B26" s="12" t="s">
        <v>70</v>
      </c>
      <c r="C26" s="106" t="s">
        <v>714</v>
      </c>
      <c r="D26" s="92"/>
      <c r="E26" s="30">
        <f>'Stavební rozpočet'!I85</f>
        <v>0</v>
      </c>
      <c r="F26" s="30">
        <f>'Stavební rozpočet'!J85</f>
        <v>0</v>
      </c>
      <c r="G26" s="30">
        <f>'Stavební rozpočet'!K85</f>
        <v>0</v>
      </c>
      <c r="H26" s="30" t="s">
        <v>1092</v>
      </c>
      <c r="I26" s="30">
        <f t="shared" si="0"/>
        <v>0</v>
      </c>
    </row>
    <row r="27" spans="1:9" ht="12.75">
      <c r="A27" s="12" t="s">
        <v>1024</v>
      </c>
      <c r="B27" s="12" t="s">
        <v>100</v>
      </c>
      <c r="C27" s="106" t="s">
        <v>720</v>
      </c>
      <c r="D27" s="92"/>
      <c r="E27" s="30">
        <f>'Stavební rozpočet'!I91</f>
        <v>0</v>
      </c>
      <c r="F27" s="30">
        <f>'Stavební rozpočet'!J91</f>
        <v>0</v>
      </c>
      <c r="G27" s="30">
        <f>'Stavební rozpočet'!K91</f>
        <v>0</v>
      </c>
      <c r="H27" s="30" t="s">
        <v>1092</v>
      </c>
      <c r="I27" s="30">
        <f t="shared" si="0"/>
        <v>0</v>
      </c>
    </row>
    <row r="28" spans="1:9" ht="12.75">
      <c r="A28" s="12" t="s">
        <v>1024</v>
      </c>
      <c r="B28" s="12" t="s">
        <v>101</v>
      </c>
      <c r="C28" s="106" t="s">
        <v>729</v>
      </c>
      <c r="D28" s="92"/>
      <c r="E28" s="30">
        <f>'Stavební rozpočet'!I100</f>
        <v>0</v>
      </c>
      <c r="F28" s="30">
        <f>'Stavební rozpočet'!J100</f>
        <v>0</v>
      </c>
      <c r="G28" s="30">
        <f>'Stavební rozpočet'!K100</f>
        <v>0</v>
      </c>
      <c r="H28" s="30" t="s">
        <v>1092</v>
      </c>
      <c r="I28" s="30">
        <f t="shared" si="0"/>
        <v>0</v>
      </c>
    </row>
    <row r="29" spans="1:9" ht="12.75">
      <c r="A29" s="12" t="s">
        <v>1024</v>
      </c>
      <c r="B29" s="12" t="s">
        <v>102</v>
      </c>
      <c r="C29" s="106" t="s">
        <v>741</v>
      </c>
      <c r="D29" s="92"/>
      <c r="E29" s="30">
        <f>'Stavební rozpočet'!I112</f>
        <v>0</v>
      </c>
      <c r="F29" s="30">
        <f>'Stavební rozpočet'!J112</f>
        <v>0</v>
      </c>
      <c r="G29" s="30">
        <f>'Stavební rozpočet'!K112</f>
        <v>0</v>
      </c>
      <c r="H29" s="30" t="s">
        <v>1092</v>
      </c>
      <c r="I29" s="30">
        <f t="shared" si="0"/>
        <v>0</v>
      </c>
    </row>
    <row r="30" spans="1:9" ht="12.75">
      <c r="A30" s="12" t="s">
        <v>1024</v>
      </c>
      <c r="B30" s="12" t="s">
        <v>103</v>
      </c>
      <c r="C30" s="106" t="s">
        <v>761</v>
      </c>
      <c r="D30" s="92"/>
      <c r="E30" s="30">
        <f>'Stavební rozpočet'!I133</f>
        <v>0</v>
      </c>
      <c r="F30" s="30">
        <f>'Stavební rozpočet'!J133</f>
        <v>0</v>
      </c>
      <c r="G30" s="30">
        <f>'Stavební rozpočet'!K133</f>
        <v>0</v>
      </c>
      <c r="H30" s="30" t="s">
        <v>1092</v>
      </c>
      <c r="I30" s="30">
        <f t="shared" si="0"/>
        <v>0</v>
      </c>
    </row>
    <row r="31" spans="1:9" ht="12.75">
      <c r="A31" s="12" t="s">
        <v>1024</v>
      </c>
      <c r="B31" s="12" t="s">
        <v>429</v>
      </c>
      <c r="C31" s="106" t="s">
        <v>767</v>
      </c>
      <c r="D31" s="92"/>
      <c r="E31" s="30">
        <f>'Stavební rozpočet'!I139</f>
        <v>0</v>
      </c>
      <c r="F31" s="30">
        <f>'Stavební rozpočet'!J139</f>
        <v>0</v>
      </c>
      <c r="G31" s="30">
        <f>'Stavební rozpočet'!K139</f>
        <v>0</v>
      </c>
      <c r="H31" s="30" t="s">
        <v>1092</v>
      </c>
      <c r="I31" s="30">
        <f t="shared" si="0"/>
        <v>0</v>
      </c>
    </row>
    <row r="32" spans="1:9" ht="12.75">
      <c r="A32" s="12" t="s">
        <v>1024</v>
      </c>
      <c r="B32" s="12" t="s">
        <v>447</v>
      </c>
      <c r="C32" s="106" t="s">
        <v>785</v>
      </c>
      <c r="D32" s="92"/>
      <c r="E32" s="30">
        <f>'Stavební rozpočet'!I157</f>
        <v>0</v>
      </c>
      <c r="F32" s="30">
        <f>'Stavební rozpočet'!J157</f>
        <v>0</v>
      </c>
      <c r="G32" s="30">
        <f>'Stavební rozpočet'!K157</f>
        <v>0</v>
      </c>
      <c r="H32" s="30" t="s">
        <v>1092</v>
      </c>
      <c r="I32" s="30">
        <f t="shared" si="0"/>
        <v>0</v>
      </c>
    </row>
    <row r="33" spans="1:9" ht="12.75">
      <c r="A33" s="12" t="s">
        <v>1024</v>
      </c>
      <c r="B33" s="12" t="s">
        <v>449</v>
      </c>
      <c r="C33" s="106" t="s">
        <v>787</v>
      </c>
      <c r="D33" s="92"/>
      <c r="E33" s="30">
        <f>'Stavební rozpočet'!I159</f>
        <v>0</v>
      </c>
      <c r="F33" s="30">
        <f>'Stavební rozpočet'!J159</f>
        <v>0</v>
      </c>
      <c r="G33" s="30">
        <f>'Stavební rozpočet'!K159</f>
        <v>0</v>
      </c>
      <c r="H33" s="30" t="s">
        <v>1092</v>
      </c>
      <c r="I33" s="30">
        <f t="shared" si="0"/>
        <v>0</v>
      </c>
    </row>
    <row r="34" spans="1:9" ht="12.75">
      <c r="A34" s="12" t="s">
        <v>1024</v>
      </c>
      <c r="B34" s="12" t="s">
        <v>457</v>
      </c>
      <c r="C34" s="106" t="s">
        <v>798</v>
      </c>
      <c r="D34" s="92"/>
      <c r="E34" s="30">
        <f>'Stavební rozpočet'!I171</f>
        <v>0</v>
      </c>
      <c r="F34" s="30">
        <f>'Stavební rozpočet'!J171</f>
        <v>0</v>
      </c>
      <c r="G34" s="30">
        <f>'Stavební rozpočet'!K171</f>
        <v>0</v>
      </c>
      <c r="H34" s="30" t="s">
        <v>1092</v>
      </c>
      <c r="I34" s="30">
        <f t="shared" si="0"/>
        <v>0</v>
      </c>
    </row>
    <row r="35" spans="1:9" ht="12.75">
      <c r="A35" s="12" t="s">
        <v>1024</v>
      </c>
      <c r="B35" s="12" t="s">
        <v>464</v>
      </c>
      <c r="C35" s="106" t="s">
        <v>805</v>
      </c>
      <c r="D35" s="92"/>
      <c r="E35" s="30">
        <f>'Stavební rozpočet'!I179</f>
        <v>0</v>
      </c>
      <c r="F35" s="30">
        <f>'Stavební rozpočet'!J179</f>
        <v>0</v>
      </c>
      <c r="G35" s="30">
        <f>'Stavební rozpočet'!K179</f>
        <v>0</v>
      </c>
      <c r="H35" s="30" t="s">
        <v>1092</v>
      </c>
      <c r="I35" s="30">
        <f t="shared" si="0"/>
        <v>0</v>
      </c>
    </row>
    <row r="36" spans="1:9" ht="12.75">
      <c r="A36" s="12" t="s">
        <v>1024</v>
      </c>
      <c r="B36" s="12" t="s">
        <v>470</v>
      </c>
      <c r="C36" s="106" t="s">
        <v>811</v>
      </c>
      <c r="D36" s="92"/>
      <c r="E36" s="30">
        <f>'Stavební rozpočet'!I185</f>
        <v>0</v>
      </c>
      <c r="F36" s="30">
        <f>'Stavební rozpočet'!J185</f>
        <v>0</v>
      </c>
      <c r="G36" s="30">
        <f>'Stavební rozpočet'!K185</f>
        <v>0</v>
      </c>
      <c r="H36" s="30" t="s">
        <v>1092</v>
      </c>
      <c r="I36" s="30">
        <f t="shared" si="0"/>
        <v>0</v>
      </c>
    </row>
    <row r="37" spans="1:9" ht="12.75">
      <c r="A37" s="12" t="s">
        <v>1024</v>
      </c>
      <c r="B37" s="12" t="s">
        <v>479</v>
      </c>
      <c r="C37" s="106" t="s">
        <v>821</v>
      </c>
      <c r="D37" s="92"/>
      <c r="E37" s="30">
        <f>'Stavební rozpočet'!I195</f>
        <v>0</v>
      </c>
      <c r="F37" s="30">
        <f>'Stavební rozpočet'!J195</f>
        <v>0</v>
      </c>
      <c r="G37" s="30">
        <f>'Stavební rozpočet'!K195</f>
        <v>0</v>
      </c>
      <c r="H37" s="30" t="s">
        <v>1092</v>
      </c>
      <c r="I37" s="30">
        <f t="shared" si="0"/>
        <v>0</v>
      </c>
    </row>
    <row r="38" spans="1:9" ht="12.75">
      <c r="A38" s="12" t="s">
        <v>1024</v>
      </c>
      <c r="B38" s="12" t="s">
        <v>502</v>
      </c>
      <c r="C38" s="106" t="s">
        <v>844</v>
      </c>
      <c r="D38" s="92"/>
      <c r="E38" s="30">
        <f>'Stavební rozpočet'!I219</f>
        <v>0</v>
      </c>
      <c r="F38" s="30">
        <f>'Stavební rozpočet'!J219</f>
        <v>0</v>
      </c>
      <c r="G38" s="30">
        <f>'Stavební rozpočet'!K219</f>
        <v>0</v>
      </c>
      <c r="H38" s="30" t="s">
        <v>1092</v>
      </c>
      <c r="I38" s="30">
        <f t="shared" si="0"/>
        <v>0</v>
      </c>
    </row>
    <row r="39" spans="1:9" ht="12.75">
      <c r="A39" s="12" t="s">
        <v>1024</v>
      </c>
      <c r="B39" s="12" t="s">
        <v>523</v>
      </c>
      <c r="C39" s="106" t="s">
        <v>864</v>
      </c>
      <c r="D39" s="92"/>
      <c r="E39" s="30">
        <f>'Stavební rozpočet'!I240</f>
        <v>0</v>
      </c>
      <c r="F39" s="30">
        <f>'Stavební rozpočet'!J240</f>
        <v>0</v>
      </c>
      <c r="G39" s="30">
        <f>'Stavební rozpočet'!K240</f>
        <v>0</v>
      </c>
      <c r="H39" s="30" t="s">
        <v>1092</v>
      </c>
      <c r="I39" s="30">
        <f t="shared" si="0"/>
        <v>0</v>
      </c>
    </row>
    <row r="40" spans="1:9" ht="12.75">
      <c r="A40" s="12" t="s">
        <v>1024</v>
      </c>
      <c r="B40" s="12" t="s">
        <v>543</v>
      </c>
      <c r="C40" s="106" t="s">
        <v>884</v>
      </c>
      <c r="D40" s="92"/>
      <c r="E40" s="30">
        <f>'Stavební rozpočet'!I261</f>
        <v>0</v>
      </c>
      <c r="F40" s="30">
        <f>'Stavební rozpočet'!J261</f>
        <v>0</v>
      </c>
      <c r="G40" s="30">
        <f>'Stavební rozpočet'!K261</f>
        <v>0</v>
      </c>
      <c r="H40" s="30" t="s">
        <v>1092</v>
      </c>
      <c r="I40" s="30">
        <f t="shared" si="0"/>
        <v>0</v>
      </c>
    </row>
    <row r="41" spans="1:9" ht="12.75">
      <c r="A41" s="12" t="s">
        <v>1024</v>
      </c>
      <c r="B41" s="12" t="s">
        <v>551</v>
      </c>
      <c r="C41" s="106" t="s">
        <v>892</v>
      </c>
      <c r="D41" s="92"/>
      <c r="E41" s="30">
        <f>'Stavební rozpočet'!I269</f>
        <v>0</v>
      </c>
      <c r="F41" s="30">
        <f>'Stavební rozpočet'!J269</f>
        <v>0</v>
      </c>
      <c r="G41" s="30">
        <f>'Stavební rozpočet'!K269</f>
        <v>0</v>
      </c>
      <c r="H41" s="30" t="s">
        <v>1092</v>
      </c>
      <c r="I41" s="30">
        <f t="shared" si="0"/>
        <v>0</v>
      </c>
    </row>
    <row r="42" spans="1:9" ht="12.75">
      <c r="A42" s="12" t="s">
        <v>1024</v>
      </c>
      <c r="B42" s="12" t="s">
        <v>554</v>
      </c>
      <c r="C42" s="106" t="s">
        <v>895</v>
      </c>
      <c r="D42" s="92"/>
      <c r="E42" s="30">
        <f>'Stavební rozpočet'!I272</f>
        <v>0</v>
      </c>
      <c r="F42" s="30">
        <f>'Stavební rozpočet'!J272</f>
        <v>0</v>
      </c>
      <c r="G42" s="30">
        <f>'Stavební rozpočet'!K272</f>
        <v>0</v>
      </c>
      <c r="H42" s="30" t="s">
        <v>1092</v>
      </c>
      <c r="I42" s="30">
        <f t="shared" si="0"/>
        <v>0</v>
      </c>
    </row>
    <row r="43" spans="1:9" ht="12.75">
      <c r="A43" s="12" t="s">
        <v>1024</v>
      </c>
      <c r="B43" s="12" t="s">
        <v>581</v>
      </c>
      <c r="C43" s="106" t="s">
        <v>922</v>
      </c>
      <c r="D43" s="92"/>
      <c r="E43" s="30">
        <f>'Stavební rozpočet'!I299</f>
        <v>0</v>
      </c>
      <c r="F43" s="30">
        <f>'Stavební rozpočet'!J299</f>
        <v>0</v>
      </c>
      <c r="G43" s="30">
        <f>'Stavební rozpočet'!K299</f>
        <v>0</v>
      </c>
      <c r="H43" s="30" t="s">
        <v>1092</v>
      </c>
      <c r="I43" s="30">
        <f t="shared" si="0"/>
        <v>0</v>
      </c>
    </row>
    <row r="44" spans="1:9" ht="12.75">
      <c r="A44" s="80" t="s">
        <v>1025</v>
      </c>
      <c r="B44" s="80"/>
      <c r="C44" s="137" t="s">
        <v>929</v>
      </c>
      <c r="D44" s="138"/>
      <c r="E44" s="81">
        <f>'Stavební rozpočet'!I306</f>
        <v>0</v>
      </c>
      <c r="F44" s="81">
        <f>'Stavební rozpočet'!J306</f>
        <v>0</v>
      </c>
      <c r="G44" s="81">
        <f>'Stavební rozpočet'!K306</f>
        <v>0</v>
      </c>
      <c r="H44" s="30" t="s">
        <v>1091</v>
      </c>
      <c r="I44" s="30">
        <f t="shared" si="0"/>
        <v>0</v>
      </c>
    </row>
    <row r="45" spans="1:9" ht="12.75">
      <c r="A45" s="12" t="s">
        <v>1025</v>
      </c>
      <c r="B45" s="12" t="s">
        <v>19</v>
      </c>
      <c r="C45" s="106" t="s">
        <v>645</v>
      </c>
      <c r="D45" s="92"/>
      <c r="E45" s="30">
        <f>'Stavební rozpočet'!I307</f>
        <v>0</v>
      </c>
      <c r="F45" s="30">
        <f>'Stavební rozpočet'!J307</f>
        <v>0</v>
      </c>
      <c r="G45" s="30">
        <f>'Stavební rozpočet'!K307</f>
        <v>0</v>
      </c>
      <c r="H45" s="30" t="s">
        <v>1092</v>
      </c>
      <c r="I45" s="30">
        <f t="shared" si="0"/>
        <v>0</v>
      </c>
    </row>
    <row r="46" spans="1:9" ht="12.75">
      <c r="A46" s="12" t="s">
        <v>1025</v>
      </c>
      <c r="B46" s="12" t="s">
        <v>22</v>
      </c>
      <c r="C46" s="106" t="s">
        <v>652</v>
      </c>
      <c r="D46" s="92"/>
      <c r="E46" s="30">
        <f>'Stavební rozpočet'!I309</f>
        <v>0</v>
      </c>
      <c r="F46" s="30">
        <f>'Stavební rozpočet'!J309</f>
        <v>0</v>
      </c>
      <c r="G46" s="30">
        <f>'Stavební rozpočet'!K309</f>
        <v>0</v>
      </c>
      <c r="H46" s="30" t="s">
        <v>1092</v>
      </c>
      <c r="I46" s="30">
        <f t="shared" si="0"/>
        <v>0</v>
      </c>
    </row>
    <row r="47" spans="1:9" ht="12.75">
      <c r="A47" s="12" t="s">
        <v>1025</v>
      </c>
      <c r="B47" s="12" t="s">
        <v>23</v>
      </c>
      <c r="C47" s="106" t="s">
        <v>658</v>
      </c>
      <c r="D47" s="92"/>
      <c r="E47" s="30">
        <f>'Stavební rozpočet'!I314</f>
        <v>0</v>
      </c>
      <c r="F47" s="30">
        <f>'Stavební rozpočet'!J314</f>
        <v>0</v>
      </c>
      <c r="G47" s="30">
        <f>'Stavební rozpočet'!K314</f>
        <v>0</v>
      </c>
      <c r="H47" s="30" t="s">
        <v>1092</v>
      </c>
      <c r="I47" s="30">
        <f t="shared" si="0"/>
        <v>0</v>
      </c>
    </row>
    <row r="48" spans="1:9" ht="12.75">
      <c r="A48" s="12" t="s">
        <v>1025</v>
      </c>
      <c r="B48" s="12" t="s">
        <v>33</v>
      </c>
      <c r="C48" s="106" t="s">
        <v>667</v>
      </c>
      <c r="D48" s="92"/>
      <c r="E48" s="30">
        <f>'Stavební rozpočet'!I316</f>
        <v>0</v>
      </c>
      <c r="F48" s="30">
        <f>'Stavební rozpočet'!J316</f>
        <v>0</v>
      </c>
      <c r="G48" s="30">
        <f>'Stavební rozpočet'!K316</f>
        <v>0</v>
      </c>
      <c r="H48" s="30" t="s">
        <v>1092</v>
      </c>
      <c r="I48" s="30">
        <f t="shared" si="0"/>
        <v>0</v>
      </c>
    </row>
    <row r="49" spans="1:9" ht="12.75">
      <c r="A49" s="12" t="s">
        <v>1025</v>
      </c>
      <c r="B49" s="12" t="s">
        <v>34</v>
      </c>
      <c r="C49" s="106" t="s">
        <v>935</v>
      </c>
      <c r="D49" s="92"/>
      <c r="E49" s="30">
        <f>'Stavební rozpočet'!I320</f>
        <v>0</v>
      </c>
      <c r="F49" s="30">
        <f>'Stavební rozpočet'!J320</f>
        <v>0</v>
      </c>
      <c r="G49" s="30">
        <f>'Stavební rozpočet'!K320</f>
        <v>0</v>
      </c>
      <c r="H49" s="30" t="s">
        <v>1092</v>
      </c>
      <c r="I49" s="30">
        <f t="shared" si="0"/>
        <v>0</v>
      </c>
    </row>
    <row r="50" spans="1:9" ht="12.75">
      <c r="A50" s="12" t="s">
        <v>1025</v>
      </c>
      <c r="B50" s="12" t="s">
        <v>69</v>
      </c>
      <c r="C50" s="106" t="s">
        <v>939</v>
      </c>
      <c r="D50" s="92"/>
      <c r="E50" s="30">
        <f>'Stavební rozpočet'!I324</f>
        <v>0</v>
      </c>
      <c r="F50" s="30">
        <f>'Stavební rozpočet'!J324</f>
        <v>0</v>
      </c>
      <c r="G50" s="30">
        <f>'Stavební rozpočet'!K324</f>
        <v>0</v>
      </c>
      <c r="H50" s="30" t="s">
        <v>1092</v>
      </c>
      <c r="I50" s="30">
        <f t="shared" si="0"/>
        <v>0</v>
      </c>
    </row>
    <row r="51" spans="1:9" ht="12.75">
      <c r="A51" s="12" t="s">
        <v>1025</v>
      </c>
      <c r="B51" s="12" t="s">
        <v>101</v>
      </c>
      <c r="C51" s="106" t="s">
        <v>729</v>
      </c>
      <c r="D51" s="92"/>
      <c r="E51" s="30">
        <f>'Stavební rozpočet'!I326</f>
        <v>0</v>
      </c>
      <c r="F51" s="30">
        <f>'Stavební rozpočet'!J326</f>
        <v>0</v>
      </c>
      <c r="G51" s="30">
        <f>'Stavební rozpočet'!K326</f>
        <v>0</v>
      </c>
      <c r="H51" s="30" t="s">
        <v>1092</v>
      </c>
      <c r="I51" s="30">
        <f t="shared" si="0"/>
        <v>0</v>
      </c>
    </row>
    <row r="52" spans="1:9" ht="12.75">
      <c r="A52" s="12" t="s">
        <v>1025</v>
      </c>
      <c r="B52" s="12" t="s">
        <v>102</v>
      </c>
      <c r="C52" s="106" t="s">
        <v>741</v>
      </c>
      <c r="D52" s="92"/>
      <c r="E52" s="30">
        <f>'Stavební rozpočet'!I328</f>
        <v>0</v>
      </c>
      <c r="F52" s="30">
        <f>'Stavební rozpočet'!J328</f>
        <v>0</v>
      </c>
      <c r="G52" s="30">
        <f>'Stavební rozpočet'!K328</f>
        <v>0</v>
      </c>
      <c r="H52" s="30" t="s">
        <v>1092</v>
      </c>
      <c r="I52" s="30">
        <f t="shared" si="0"/>
        <v>0</v>
      </c>
    </row>
    <row r="53" spans="1:9" ht="12.75">
      <c r="A53" s="12" t="s">
        <v>1025</v>
      </c>
      <c r="B53" s="12" t="s">
        <v>447</v>
      </c>
      <c r="C53" s="106" t="s">
        <v>785</v>
      </c>
      <c r="D53" s="92"/>
      <c r="E53" s="30">
        <f>'Stavební rozpočet'!I330</f>
        <v>0</v>
      </c>
      <c r="F53" s="30">
        <f>'Stavební rozpočet'!J330</f>
        <v>0</v>
      </c>
      <c r="G53" s="30">
        <f>'Stavební rozpočet'!K330</f>
        <v>0</v>
      </c>
      <c r="H53" s="30" t="s">
        <v>1092</v>
      </c>
      <c r="I53" s="30">
        <f t="shared" si="0"/>
        <v>0</v>
      </c>
    </row>
    <row r="54" spans="1:9" ht="12.75">
      <c r="A54" s="12" t="s">
        <v>1025</v>
      </c>
      <c r="B54" s="12" t="s">
        <v>599</v>
      </c>
      <c r="C54" s="106" t="s">
        <v>943</v>
      </c>
      <c r="D54" s="92"/>
      <c r="E54" s="30">
        <f>'Stavební rozpočet'!I332</f>
        <v>0</v>
      </c>
      <c r="F54" s="30">
        <f>'Stavební rozpočet'!J332</f>
        <v>0</v>
      </c>
      <c r="G54" s="30">
        <f>'Stavební rozpočet'!K332</f>
        <v>0</v>
      </c>
      <c r="H54" s="30" t="s">
        <v>1092</v>
      </c>
      <c r="I54" s="30">
        <f t="shared" si="0"/>
        <v>0</v>
      </c>
    </row>
    <row r="55" spans="1:9" ht="12.75">
      <c r="A55" s="12" t="s">
        <v>1025</v>
      </c>
      <c r="B55" s="12" t="s">
        <v>523</v>
      </c>
      <c r="C55" s="106" t="s">
        <v>864</v>
      </c>
      <c r="D55" s="92"/>
      <c r="E55" s="30">
        <f>'Stavební rozpočet'!I374</f>
        <v>0</v>
      </c>
      <c r="F55" s="30">
        <f>'Stavební rozpočet'!J374</f>
        <v>0</v>
      </c>
      <c r="G55" s="30">
        <f>'Stavební rozpočet'!K374</f>
        <v>0</v>
      </c>
      <c r="H55" s="30" t="s">
        <v>1092</v>
      </c>
      <c r="I55" s="30">
        <f t="shared" si="0"/>
        <v>0</v>
      </c>
    </row>
    <row r="56" spans="1:9" ht="12.75">
      <c r="A56" s="12" t="s">
        <v>1025</v>
      </c>
      <c r="B56" s="12" t="s">
        <v>581</v>
      </c>
      <c r="C56" s="106" t="s">
        <v>922</v>
      </c>
      <c r="D56" s="92"/>
      <c r="E56" s="30">
        <f>'Stavební rozpočet'!I376</f>
        <v>0</v>
      </c>
      <c r="F56" s="30">
        <f>'Stavební rozpočet'!J376</f>
        <v>0</v>
      </c>
      <c r="G56" s="30">
        <f>'Stavební rozpočet'!K376</f>
        <v>0</v>
      </c>
      <c r="H56" s="30" t="s">
        <v>1092</v>
      </c>
      <c r="I56" s="30">
        <f t="shared" si="0"/>
        <v>0</v>
      </c>
    </row>
    <row r="58" spans="6:7" ht="12.75">
      <c r="F58" s="37" t="s">
        <v>1009</v>
      </c>
      <c r="G58" s="38">
        <f>SUM(I11:I56)</f>
        <v>0</v>
      </c>
    </row>
  </sheetData>
  <sheetProtection password="DBEE" sheet="1" objects="1" scenarios="1"/>
  <mergeCells count="64">
    <mergeCell ref="C52:D52"/>
    <mergeCell ref="C53:D53"/>
    <mergeCell ref="C54:D54"/>
    <mergeCell ref="C55:D55"/>
    <mergeCell ref="C56:D56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85"/>
  <sheetViews>
    <sheetView workbookViewId="0" topLeftCell="A1">
      <pane ySplit="11" topLeftCell="A228" activePane="bottomLeft" state="frozen"/>
      <selection pane="bottomLeft" activeCell="C237" sqref="C237:E23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31.00390625" style="0" customWidth="1"/>
    <col min="6" max="6" width="4.28125" style="0" customWidth="1"/>
    <col min="7" max="7" width="12.8515625" style="0" customWidth="1"/>
    <col min="8" max="8" width="12.00390625" style="0" customWidth="1"/>
    <col min="9" max="10" width="14.28125" style="0" hidden="1" customWidth="1"/>
    <col min="11" max="11" width="14.28125" style="0" customWidth="1"/>
    <col min="12" max="12" width="11.7109375" style="0" customWidth="1"/>
    <col min="25" max="62" width="12.140625" style="0" hidden="1" customWidth="1"/>
  </cols>
  <sheetData>
    <row r="1" spans="1:12" ht="72.95" customHeight="1">
      <c r="A1" s="12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2.75">
      <c r="A2" s="89" t="s">
        <v>1</v>
      </c>
      <c r="B2" s="90"/>
      <c r="C2" s="93" t="s">
        <v>637</v>
      </c>
      <c r="D2" s="139" t="s">
        <v>986</v>
      </c>
      <c r="E2" s="90"/>
      <c r="F2" s="139" t="s">
        <v>6</v>
      </c>
      <c r="G2" s="90"/>
      <c r="H2" s="96" t="s">
        <v>1000</v>
      </c>
      <c r="I2" s="139" t="s">
        <v>1006</v>
      </c>
      <c r="J2" s="90"/>
      <c r="K2" s="90"/>
      <c r="L2" s="129"/>
      <c r="M2" s="28"/>
    </row>
    <row r="3" spans="1:13" ht="12.75">
      <c r="A3" s="91"/>
      <c r="B3" s="92"/>
      <c r="C3" s="95"/>
      <c r="D3" s="92"/>
      <c r="E3" s="92"/>
      <c r="F3" s="92"/>
      <c r="G3" s="92"/>
      <c r="H3" s="92"/>
      <c r="I3" s="92"/>
      <c r="J3" s="92"/>
      <c r="K3" s="92"/>
      <c r="L3" s="98"/>
      <c r="M3" s="28"/>
    </row>
    <row r="4" spans="1:13" ht="12.75">
      <c r="A4" s="100" t="s">
        <v>2</v>
      </c>
      <c r="B4" s="92"/>
      <c r="C4" s="101" t="s">
        <v>6</v>
      </c>
      <c r="D4" s="106" t="s">
        <v>987</v>
      </c>
      <c r="E4" s="92"/>
      <c r="F4" s="106"/>
      <c r="G4" s="92"/>
      <c r="H4" s="101" t="s">
        <v>1001</v>
      </c>
      <c r="I4" s="106" t="s">
        <v>1006</v>
      </c>
      <c r="J4" s="92"/>
      <c r="K4" s="92"/>
      <c r="L4" s="98"/>
      <c r="M4" s="28"/>
    </row>
    <row r="5" spans="1:13" ht="12.7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8"/>
      <c r="M5" s="28"/>
    </row>
    <row r="6" spans="1:13" ht="12.75">
      <c r="A6" s="100" t="s">
        <v>3</v>
      </c>
      <c r="B6" s="92"/>
      <c r="C6" s="101" t="s">
        <v>638</v>
      </c>
      <c r="D6" s="106" t="s">
        <v>988</v>
      </c>
      <c r="E6" s="92"/>
      <c r="F6" s="106"/>
      <c r="G6" s="92"/>
      <c r="H6" s="101" t="s">
        <v>1002</v>
      </c>
      <c r="I6" s="106" t="s">
        <v>1006</v>
      </c>
      <c r="J6" s="92"/>
      <c r="K6" s="92"/>
      <c r="L6" s="98"/>
      <c r="M6" s="28"/>
    </row>
    <row r="7" spans="1:13" ht="12.75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8"/>
      <c r="M7" s="28"/>
    </row>
    <row r="8" spans="1:13" ht="12.75">
      <c r="A8" s="100" t="s">
        <v>4</v>
      </c>
      <c r="B8" s="92"/>
      <c r="C8" s="101" t="s">
        <v>6</v>
      </c>
      <c r="D8" s="106" t="s">
        <v>989</v>
      </c>
      <c r="E8" s="92"/>
      <c r="F8" s="106"/>
      <c r="G8" s="92"/>
      <c r="H8" s="101" t="s">
        <v>1003</v>
      </c>
      <c r="I8" s="106" t="s">
        <v>1006</v>
      </c>
      <c r="J8" s="92"/>
      <c r="K8" s="92"/>
      <c r="L8" s="98"/>
      <c r="M8" s="28"/>
    </row>
    <row r="9" spans="1:13" ht="12.75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28"/>
    </row>
    <row r="10" spans="1:13" ht="12.75">
      <c r="A10" s="1" t="s">
        <v>5</v>
      </c>
      <c r="B10" s="9" t="s">
        <v>323</v>
      </c>
      <c r="C10" s="140" t="s">
        <v>639</v>
      </c>
      <c r="D10" s="141"/>
      <c r="E10" s="142"/>
      <c r="F10" s="9" t="s">
        <v>990</v>
      </c>
      <c r="G10" s="13" t="s">
        <v>999</v>
      </c>
      <c r="H10" s="17" t="s">
        <v>1004</v>
      </c>
      <c r="I10" s="143" t="s">
        <v>1007</v>
      </c>
      <c r="J10" s="144"/>
      <c r="K10" s="145"/>
      <c r="L10" s="22" t="s">
        <v>1012</v>
      </c>
      <c r="M10" s="29"/>
    </row>
    <row r="11" spans="1:62" ht="12.75">
      <c r="A11" s="2" t="s">
        <v>6</v>
      </c>
      <c r="B11" s="10" t="s">
        <v>6</v>
      </c>
      <c r="C11" s="146" t="s">
        <v>640</v>
      </c>
      <c r="D11" s="147"/>
      <c r="E11" s="148"/>
      <c r="F11" s="10" t="s">
        <v>6</v>
      </c>
      <c r="G11" s="10" t="s">
        <v>6</v>
      </c>
      <c r="H11" s="18" t="s">
        <v>1005</v>
      </c>
      <c r="I11" s="19" t="s">
        <v>1008</v>
      </c>
      <c r="J11" s="20" t="s">
        <v>1010</v>
      </c>
      <c r="K11" s="21" t="s">
        <v>1011</v>
      </c>
      <c r="L11" s="23" t="s">
        <v>1013</v>
      </c>
      <c r="M11" s="29"/>
      <c r="Z11" s="24" t="s">
        <v>1015</v>
      </c>
      <c r="AA11" s="24" t="s">
        <v>1016</v>
      </c>
      <c r="AB11" s="24" t="s">
        <v>1017</v>
      </c>
      <c r="AC11" s="24" t="s">
        <v>1018</v>
      </c>
      <c r="AD11" s="24" t="s">
        <v>1019</v>
      </c>
      <c r="AE11" s="24" t="s">
        <v>1020</v>
      </c>
      <c r="AF11" s="24" t="s">
        <v>1021</v>
      </c>
      <c r="AG11" s="24" t="s">
        <v>1022</v>
      </c>
      <c r="AH11" s="24" t="s">
        <v>1023</v>
      </c>
      <c r="BH11" s="24" t="s">
        <v>1082</v>
      </c>
      <c r="BI11" s="24" t="s">
        <v>1083</v>
      </c>
      <c r="BJ11" s="24" t="s">
        <v>1084</v>
      </c>
    </row>
    <row r="12" spans="1:12" ht="12.75">
      <c r="A12" s="70"/>
      <c r="B12" s="71"/>
      <c r="C12" s="149" t="s">
        <v>641</v>
      </c>
      <c r="D12" s="150"/>
      <c r="E12" s="150"/>
      <c r="F12" s="70" t="s">
        <v>6</v>
      </c>
      <c r="G12" s="70" t="s">
        <v>6</v>
      </c>
      <c r="H12" s="70" t="s">
        <v>6</v>
      </c>
      <c r="I12" s="72">
        <f>I13+I16+I20+I23+I29+I34+I38+I41+I43+I48+I52+I54+I57+I63+I85+I91+I100+I112+I133+I139+I157+I159+I171+I179+I185+I195+I219+I240+I261+I269+I272+I299</f>
        <v>0</v>
      </c>
      <c r="J12" s="72">
        <f>J13+J16+J20+J23+J29+J34+J38+J41+J43+J48+J52+J54+J57+J63+J85+J91+J100+J112+J133+J139+J157+J159+J171+J179+J185+J195+J219+J240+J261+J269+J272+J299</f>
        <v>0</v>
      </c>
      <c r="K12" s="72">
        <f>K13+K16+K20+K23+K29+K34+K38+K41+K43+K48+K52+K54+K57+K63+K85+K91+K100+K112+K133+K139+K157+K159+K171+K179+K185+K195+K219+K240+K261+K269+K272+K299</f>
        <v>0</v>
      </c>
      <c r="L12" s="73"/>
    </row>
    <row r="13" spans="1:47" ht="12.75">
      <c r="A13" s="3"/>
      <c r="B13" s="11" t="s">
        <v>18</v>
      </c>
      <c r="C13" s="151" t="s">
        <v>642</v>
      </c>
      <c r="D13" s="152"/>
      <c r="E13" s="152"/>
      <c r="F13" s="3" t="s">
        <v>6</v>
      </c>
      <c r="G13" s="3" t="s">
        <v>6</v>
      </c>
      <c r="H13" s="3" t="s">
        <v>6</v>
      </c>
      <c r="I13" s="32">
        <f>SUM(I14:I15)</f>
        <v>0</v>
      </c>
      <c r="J13" s="32">
        <f>SUM(J14:J15)</f>
        <v>0</v>
      </c>
      <c r="K13" s="32">
        <f>SUM(K14:K15)</f>
        <v>0</v>
      </c>
      <c r="L13" s="24"/>
      <c r="AI13" s="24" t="s">
        <v>1024</v>
      </c>
      <c r="AS13" s="32">
        <f>SUM(AJ14:AJ15)</f>
        <v>0</v>
      </c>
      <c r="AT13" s="32">
        <f>SUM(AK14:AK15)</f>
        <v>0</v>
      </c>
      <c r="AU13" s="32">
        <f>SUM(AL14:AL15)</f>
        <v>0</v>
      </c>
    </row>
    <row r="14" spans="1:62" ht="12.75">
      <c r="A14" s="4" t="s">
        <v>7</v>
      </c>
      <c r="B14" s="4" t="s">
        <v>324</v>
      </c>
      <c r="C14" s="153" t="s">
        <v>643</v>
      </c>
      <c r="D14" s="154"/>
      <c r="E14" s="154"/>
      <c r="F14" s="4" t="s">
        <v>991</v>
      </c>
      <c r="G14" s="64">
        <v>1</v>
      </c>
      <c r="H14" s="82">
        <v>0</v>
      </c>
      <c r="I14" s="14">
        <f>G14*AO14</f>
        <v>0</v>
      </c>
      <c r="J14" s="14">
        <f>G14*AP14</f>
        <v>0</v>
      </c>
      <c r="K14" s="14">
        <f>G14*H14</f>
        <v>0</v>
      </c>
      <c r="L14" s="25" t="s">
        <v>1014</v>
      </c>
      <c r="Z14" s="30">
        <f>IF(AQ14="5",BJ14,0)</f>
        <v>0</v>
      </c>
      <c r="AB14" s="30">
        <f>IF(AQ14="1",BH14,0)</f>
        <v>0</v>
      </c>
      <c r="AC14" s="30">
        <f>IF(AQ14="1",BI14,0)</f>
        <v>0</v>
      </c>
      <c r="AD14" s="30">
        <f>IF(AQ14="7",BH14,0)</f>
        <v>0</v>
      </c>
      <c r="AE14" s="30">
        <f>IF(AQ14="7",BI14,0)</f>
        <v>0</v>
      </c>
      <c r="AF14" s="30">
        <f>IF(AQ14="2",BH14,0)</f>
        <v>0</v>
      </c>
      <c r="AG14" s="30">
        <f>IF(AQ14="2",BI14,0)</f>
        <v>0</v>
      </c>
      <c r="AH14" s="30">
        <f>IF(AQ14="0",BJ14,0)</f>
        <v>0</v>
      </c>
      <c r="AI14" s="24" t="s">
        <v>1024</v>
      </c>
      <c r="AJ14" s="14">
        <f>IF(AN14=0,K14,0)</f>
        <v>0</v>
      </c>
      <c r="AK14" s="14">
        <f>IF(AN14=15,K14,0)</f>
        <v>0</v>
      </c>
      <c r="AL14" s="14">
        <f>IF(AN14=21,K14,0)</f>
        <v>0</v>
      </c>
      <c r="AN14" s="30">
        <v>21</v>
      </c>
      <c r="AO14" s="30">
        <f>H14*0.0363406940063091</f>
        <v>0</v>
      </c>
      <c r="AP14" s="30">
        <f>H14*(1-0.0363406940063091)</f>
        <v>0</v>
      </c>
      <c r="AQ14" s="25" t="s">
        <v>7</v>
      </c>
      <c r="AV14" s="30">
        <f>AW14+AX14</f>
        <v>0</v>
      </c>
      <c r="AW14" s="30">
        <f>G14*AO14</f>
        <v>0</v>
      </c>
      <c r="AX14" s="30">
        <f>G14*AP14</f>
        <v>0</v>
      </c>
      <c r="AY14" s="31" t="s">
        <v>1026</v>
      </c>
      <c r="AZ14" s="31" t="s">
        <v>1061</v>
      </c>
      <c r="BA14" s="24" t="s">
        <v>1080</v>
      </c>
      <c r="BC14" s="30">
        <f>AW14+AX14</f>
        <v>0</v>
      </c>
      <c r="BD14" s="30">
        <f>H14/(100-BE14)*100</f>
        <v>0</v>
      </c>
      <c r="BE14" s="30">
        <v>0</v>
      </c>
      <c r="BF14" s="30">
        <f>14</f>
        <v>14</v>
      </c>
      <c r="BH14" s="14">
        <f>G14*AO14</f>
        <v>0</v>
      </c>
      <c r="BI14" s="14">
        <f>G14*AP14</f>
        <v>0</v>
      </c>
      <c r="BJ14" s="14">
        <f>G14*H14</f>
        <v>0</v>
      </c>
    </row>
    <row r="15" spans="1:62" ht="12.75">
      <c r="A15" s="4" t="s">
        <v>8</v>
      </c>
      <c r="B15" s="4" t="s">
        <v>325</v>
      </c>
      <c r="C15" s="153" t="s">
        <v>644</v>
      </c>
      <c r="D15" s="154"/>
      <c r="E15" s="154"/>
      <c r="F15" s="4" t="s">
        <v>992</v>
      </c>
      <c r="G15" s="64">
        <v>15.591</v>
      </c>
      <c r="H15" s="82">
        <v>0</v>
      </c>
      <c r="I15" s="14">
        <f>G15*AO15</f>
        <v>0</v>
      </c>
      <c r="J15" s="14">
        <f>G15*AP15</f>
        <v>0</v>
      </c>
      <c r="K15" s="14">
        <f>G15*H15</f>
        <v>0</v>
      </c>
      <c r="L15" s="25" t="s">
        <v>1014</v>
      </c>
      <c r="Z15" s="30">
        <f>IF(AQ15="5",BJ15,0)</f>
        <v>0</v>
      </c>
      <c r="AB15" s="30">
        <f>IF(AQ15="1",BH15,0)</f>
        <v>0</v>
      </c>
      <c r="AC15" s="30">
        <f>IF(AQ15="1",BI15,0)</f>
        <v>0</v>
      </c>
      <c r="AD15" s="30">
        <f>IF(AQ15="7",BH15,0)</f>
        <v>0</v>
      </c>
      <c r="AE15" s="30">
        <f>IF(AQ15="7",BI15,0)</f>
        <v>0</v>
      </c>
      <c r="AF15" s="30">
        <f>IF(AQ15="2",BH15,0)</f>
        <v>0</v>
      </c>
      <c r="AG15" s="30">
        <f>IF(AQ15="2",BI15,0)</f>
        <v>0</v>
      </c>
      <c r="AH15" s="30">
        <f>IF(AQ15="0",BJ15,0)</f>
        <v>0</v>
      </c>
      <c r="AI15" s="24" t="s">
        <v>1024</v>
      </c>
      <c r="AJ15" s="14">
        <f>IF(AN15=0,K15,0)</f>
        <v>0</v>
      </c>
      <c r="AK15" s="14">
        <f>IF(AN15=15,K15,0)</f>
        <v>0</v>
      </c>
      <c r="AL15" s="14">
        <f>IF(AN15=21,K15,0)</f>
        <v>0</v>
      </c>
      <c r="AN15" s="30">
        <v>21</v>
      </c>
      <c r="AO15" s="30">
        <f>H15*0</f>
        <v>0</v>
      </c>
      <c r="AP15" s="30">
        <f>H15*(1-0)</f>
        <v>0</v>
      </c>
      <c r="AQ15" s="25" t="s">
        <v>7</v>
      </c>
      <c r="AV15" s="30">
        <f>AW15+AX15</f>
        <v>0</v>
      </c>
      <c r="AW15" s="30">
        <f>G15*AO15</f>
        <v>0</v>
      </c>
      <c r="AX15" s="30">
        <f>G15*AP15</f>
        <v>0</v>
      </c>
      <c r="AY15" s="31" t="s">
        <v>1026</v>
      </c>
      <c r="AZ15" s="31" t="s">
        <v>1061</v>
      </c>
      <c r="BA15" s="24" t="s">
        <v>1080</v>
      </c>
      <c r="BC15" s="30">
        <f>AW15+AX15</f>
        <v>0</v>
      </c>
      <c r="BD15" s="30">
        <f>H15/(100-BE15)*100</f>
        <v>0</v>
      </c>
      <c r="BE15" s="30">
        <v>0</v>
      </c>
      <c r="BF15" s="30">
        <f>15</f>
        <v>15</v>
      </c>
      <c r="BH15" s="14">
        <f>G15*AO15</f>
        <v>0</v>
      </c>
      <c r="BI15" s="14">
        <f>G15*AP15</f>
        <v>0</v>
      </c>
      <c r="BJ15" s="14">
        <f>G15*H15</f>
        <v>0</v>
      </c>
    </row>
    <row r="16" spans="1:47" ht="12.75">
      <c r="A16" s="3"/>
      <c r="B16" s="11" t="s">
        <v>19</v>
      </c>
      <c r="C16" s="151" t="s">
        <v>645</v>
      </c>
      <c r="D16" s="152"/>
      <c r="E16" s="152"/>
      <c r="F16" s="3" t="s">
        <v>6</v>
      </c>
      <c r="G16" s="3" t="s">
        <v>6</v>
      </c>
      <c r="H16" s="3" t="s">
        <v>6</v>
      </c>
      <c r="I16" s="32">
        <f>SUM(I17:I19)</f>
        <v>0</v>
      </c>
      <c r="J16" s="32">
        <f>SUM(J17:J19)</f>
        <v>0</v>
      </c>
      <c r="K16" s="32">
        <f>SUM(K17:K19)</f>
        <v>0</v>
      </c>
      <c r="L16" s="24"/>
      <c r="AI16" s="24" t="s">
        <v>1024</v>
      </c>
      <c r="AS16" s="32">
        <f>SUM(AJ17:AJ19)</f>
        <v>0</v>
      </c>
      <c r="AT16" s="32">
        <f>SUM(AK17:AK19)</f>
        <v>0</v>
      </c>
      <c r="AU16" s="32">
        <f>SUM(AL17:AL19)</f>
        <v>0</v>
      </c>
    </row>
    <row r="17" spans="1:62" ht="12.75">
      <c r="A17" s="4" t="s">
        <v>9</v>
      </c>
      <c r="B17" s="4" t="s">
        <v>326</v>
      </c>
      <c r="C17" s="153" t="s">
        <v>646</v>
      </c>
      <c r="D17" s="154"/>
      <c r="E17" s="154"/>
      <c r="F17" s="4" t="s">
        <v>992</v>
      </c>
      <c r="G17" s="64">
        <v>19.351</v>
      </c>
      <c r="H17" s="82">
        <v>0</v>
      </c>
      <c r="I17" s="14">
        <f>G17*AO17</f>
        <v>0</v>
      </c>
      <c r="J17" s="14">
        <f>G17*AP17</f>
        <v>0</v>
      </c>
      <c r="K17" s="14">
        <f>G17*H17</f>
        <v>0</v>
      </c>
      <c r="L17" s="25" t="s">
        <v>1014</v>
      </c>
      <c r="Z17" s="30">
        <f>IF(AQ17="5",BJ17,0)</f>
        <v>0</v>
      </c>
      <c r="AB17" s="30">
        <f>IF(AQ17="1",BH17,0)</f>
        <v>0</v>
      </c>
      <c r="AC17" s="30">
        <f>IF(AQ17="1",BI17,0)</f>
        <v>0</v>
      </c>
      <c r="AD17" s="30">
        <f>IF(AQ17="7",BH17,0)</f>
        <v>0</v>
      </c>
      <c r="AE17" s="30">
        <f>IF(AQ17="7",BI17,0)</f>
        <v>0</v>
      </c>
      <c r="AF17" s="30">
        <f>IF(AQ17="2",BH17,0)</f>
        <v>0</v>
      </c>
      <c r="AG17" s="30">
        <f>IF(AQ17="2",BI17,0)</f>
        <v>0</v>
      </c>
      <c r="AH17" s="30">
        <f>IF(AQ17="0",BJ17,0)</f>
        <v>0</v>
      </c>
      <c r="AI17" s="24" t="s">
        <v>1024</v>
      </c>
      <c r="AJ17" s="14">
        <f>IF(AN17=0,K17,0)</f>
        <v>0</v>
      </c>
      <c r="AK17" s="14">
        <f>IF(AN17=15,K17,0)</f>
        <v>0</v>
      </c>
      <c r="AL17" s="14">
        <f>IF(AN17=21,K17,0)</f>
        <v>0</v>
      </c>
      <c r="AN17" s="30">
        <v>21</v>
      </c>
      <c r="AO17" s="30">
        <f>H17*0</f>
        <v>0</v>
      </c>
      <c r="AP17" s="30">
        <f>H17*(1-0)</f>
        <v>0</v>
      </c>
      <c r="AQ17" s="25" t="s">
        <v>7</v>
      </c>
      <c r="AV17" s="30">
        <f>AW17+AX17</f>
        <v>0</v>
      </c>
      <c r="AW17" s="30">
        <f>G17*AO17</f>
        <v>0</v>
      </c>
      <c r="AX17" s="30">
        <f>G17*AP17</f>
        <v>0</v>
      </c>
      <c r="AY17" s="31" t="s">
        <v>1027</v>
      </c>
      <c r="AZ17" s="31" t="s">
        <v>1061</v>
      </c>
      <c r="BA17" s="24" t="s">
        <v>1080</v>
      </c>
      <c r="BC17" s="30">
        <f>AW17+AX17</f>
        <v>0</v>
      </c>
      <c r="BD17" s="30">
        <f>H17/(100-BE17)*100</f>
        <v>0</v>
      </c>
      <c r="BE17" s="30">
        <v>0</v>
      </c>
      <c r="BF17" s="30">
        <f>17</f>
        <v>17</v>
      </c>
      <c r="BH17" s="14">
        <f>G17*AO17</f>
        <v>0</v>
      </c>
      <c r="BI17" s="14">
        <f>G17*AP17</f>
        <v>0</v>
      </c>
      <c r="BJ17" s="14">
        <f>G17*H17</f>
        <v>0</v>
      </c>
    </row>
    <row r="18" spans="1:62" ht="12.75">
      <c r="A18" s="4" t="s">
        <v>10</v>
      </c>
      <c r="B18" s="4" t="s">
        <v>327</v>
      </c>
      <c r="C18" s="153" t="s">
        <v>647</v>
      </c>
      <c r="D18" s="154"/>
      <c r="E18" s="154"/>
      <c r="F18" s="4" t="s">
        <v>992</v>
      </c>
      <c r="G18" s="64">
        <v>96.048</v>
      </c>
      <c r="H18" s="82">
        <v>0</v>
      </c>
      <c r="I18" s="14">
        <f>G18*AO18</f>
        <v>0</v>
      </c>
      <c r="J18" s="14">
        <f>G18*AP18</f>
        <v>0</v>
      </c>
      <c r="K18" s="14">
        <f>G18*H18</f>
        <v>0</v>
      </c>
      <c r="L18" s="25" t="s">
        <v>1014</v>
      </c>
      <c r="Z18" s="30">
        <f>IF(AQ18="5",BJ18,0)</f>
        <v>0</v>
      </c>
      <c r="AB18" s="30">
        <f>IF(AQ18="1",BH18,0)</f>
        <v>0</v>
      </c>
      <c r="AC18" s="30">
        <f>IF(AQ18="1",BI18,0)</f>
        <v>0</v>
      </c>
      <c r="AD18" s="30">
        <f>IF(AQ18="7",BH18,0)</f>
        <v>0</v>
      </c>
      <c r="AE18" s="30">
        <f>IF(AQ18="7",BI18,0)</f>
        <v>0</v>
      </c>
      <c r="AF18" s="30">
        <f>IF(AQ18="2",BH18,0)</f>
        <v>0</v>
      </c>
      <c r="AG18" s="30">
        <f>IF(AQ18="2",BI18,0)</f>
        <v>0</v>
      </c>
      <c r="AH18" s="30">
        <f>IF(AQ18="0",BJ18,0)</f>
        <v>0</v>
      </c>
      <c r="AI18" s="24" t="s">
        <v>1024</v>
      </c>
      <c r="AJ18" s="14">
        <f>IF(AN18=0,K18,0)</f>
        <v>0</v>
      </c>
      <c r="AK18" s="14">
        <f>IF(AN18=15,K18,0)</f>
        <v>0</v>
      </c>
      <c r="AL18" s="14">
        <f>IF(AN18=21,K18,0)</f>
        <v>0</v>
      </c>
      <c r="AN18" s="30">
        <v>21</v>
      </c>
      <c r="AO18" s="30">
        <f>H18*0</f>
        <v>0</v>
      </c>
      <c r="AP18" s="30">
        <f>H18*(1-0)</f>
        <v>0</v>
      </c>
      <c r="AQ18" s="25" t="s">
        <v>7</v>
      </c>
      <c r="AV18" s="30">
        <f>AW18+AX18</f>
        <v>0</v>
      </c>
      <c r="AW18" s="30">
        <f>G18*AO18</f>
        <v>0</v>
      </c>
      <c r="AX18" s="30">
        <f>G18*AP18</f>
        <v>0</v>
      </c>
      <c r="AY18" s="31" t="s">
        <v>1027</v>
      </c>
      <c r="AZ18" s="31" t="s">
        <v>1061</v>
      </c>
      <c r="BA18" s="24" t="s">
        <v>1080</v>
      </c>
      <c r="BC18" s="30">
        <f>AW18+AX18</f>
        <v>0</v>
      </c>
      <c r="BD18" s="30">
        <f>H18/(100-BE18)*100</f>
        <v>0</v>
      </c>
      <c r="BE18" s="30">
        <v>0</v>
      </c>
      <c r="BF18" s="30">
        <f>18</f>
        <v>18</v>
      </c>
      <c r="BH18" s="14">
        <f>G18*AO18</f>
        <v>0</v>
      </c>
      <c r="BI18" s="14">
        <f>G18*AP18</f>
        <v>0</v>
      </c>
      <c r="BJ18" s="14">
        <f>G18*H18</f>
        <v>0</v>
      </c>
    </row>
    <row r="19" spans="1:62" ht="12.75">
      <c r="A19" s="4" t="s">
        <v>11</v>
      </c>
      <c r="B19" s="4" t="s">
        <v>328</v>
      </c>
      <c r="C19" s="153" t="s">
        <v>648</v>
      </c>
      <c r="D19" s="154"/>
      <c r="E19" s="154"/>
      <c r="F19" s="4" t="s">
        <v>992</v>
      </c>
      <c r="G19" s="64">
        <v>109.507</v>
      </c>
      <c r="H19" s="82">
        <v>0</v>
      </c>
      <c r="I19" s="14">
        <f>G19*AO19</f>
        <v>0</v>
      </c>
      <c r="J19" s="14">
        <f>G19*AP19</f>
        <v>0</v>
      </c>
      <c r="K19" s="14">
        <f>G19*H19</f>
        <v>0</v>
      </c>
      <c r="L19" s="25" t="s">
        <v>1014</v>
      </c>
      <c r="Z19" s="30">
        <f>IF(AQ19="5",BJ19,0)</f>
        <v>0</v>
      </c>
      <c r="AB19" s="30">
        <f>IF(AQ19="1",BH19,0)</f>
        <v>0</v>
      </c>
      <c r="AC19" s="30">
        <f>IF(AQ19="1",BI19,0)</f>
        <v>0</v>
      </c>
      <c r="AD19" s="30">
        <f>IF(AQ19="7",BH19,0)</f>
        <v>0</v>
      </c>
      <c r="AE19" s="30">
        <f>IF(AQ19="7",BI19,0)</f>
        <v>0</v>
      </c>
      <c r="AF19" s="30">
        <f>IF(AQ19="2",BH19,0)</f>
        <v>0</v>
      </c>
      <c r="AG19" s="30">
        <f>IF(AQ19="2",BI19,0)</f>
        <v>0</v>
      </c>
      <c r="AH19" s="30">
        <f>IF(AQ19="0",BJ19,0)</f>
        <v>0</v>
      </c>
      <c r="AI19" s="24" t="s">
        <v>1024</v>
      </c>
      <c r="AJ19" s="14">
        <f>IF(AN19=0,K19,0)</f>
        <v>0</v>
      </c>
      <c r="AK19" s="14">
        <f>IF(AN19=15,K19,0)</f>
        <v>0</v>
      </c>
      <c r="AL19" s="14">
        <f>IF(AN19=21,K19,0)</f>
        <v>0</v>
      </c>
      <c r="AN19" s="30">
        <v>21</v>
      </c>
      <c r="AO19" s="30">
        <f>H19*0</f>
        <v>0</v>
      </c>
      <c r="AP19" s="30">
        <f>H19*(1-0)</f>
        <v>0</v>
      </c>
      <c r="AQ19" s="25" t="s">
        <v>7</v>
      </c>
      <c r="AV19" s="30">
        <f>AW19+AX19</f>
        <v>0</v>
      </c>
      <c r="AW19" s="30">
        <f>G19*AO19</f>
        <v>0</v>
      </c>
      <c r="AX19" s="30">
        <f>G19*AP19</f>
        <v>0</v>
      </c>
      <c r="AY19" s="31" t="s">
        <v>1027</v>
      </c>
      <c r="AZ19" s="31" t="s">
        <v>1061</v>
      </c>
      <c r="BA19" s="24" t="s">
        <v>1080</v>
      </c>
      <c r="BC19" s="30">
        <f>AW19+AX19</f>
        <v>0</v>
      </c>
      <c r="BD19" s="30">
        <f>H19/(100-BE19)*100</f>
        <v>0</v>
      </c>
      <c r="BE19" s="30">
        <v>0</v>
      </c>
      <c r="BF19" s="30">
        <f>19</f>
        <v>19</v>
      </c>
      <c r="BH19" s="14">
        <f>G19*AO19</f>
        <v>0</v>
      </c>
      <c r="BI19" s="14">
        <f>G19*AP19</f>
        <v>0</v>
      </c>
      <c r="BJ19" s="14">
        <f>G19*H19</f>
        <v>0</v>
      </c>
    </row>
    <row r="20" spans="1:47" ht="12.75">
      <c r="A20" s="3"/>
      <c r="B20" s="11" t="s">
        <v>21</v>
      </c>
      <c r="C20" s="151" t="s">
        <v>649</v>
      </c>
      <c r="D20" s="152"/>
      <c r="E20" s="152"/>
      <c r="F20" s="3" t="s">
        <v>6</v>
      </c>
      <c r="G20" s="3" t="s">
        <v>6</v>
      </c>
      <c r="H20" s="3" t="s">
        <v>6</v>
      </c>
      <c r="I20" s="32">
        <f>SUM(I21:I22)</f>
        <v>0</v>
      </c>
      <c r="J20" s="32">
        <f>SUM(J21:J22)</f>
        <v>0</v>
      </c>
      <c r="K20" s="32">
        <f>SUM(K21:K22)</f>
        <v>0</v>
      </c>
      <c r="L20" s="24"/>
      <c r="AI20" s="24" t="s">
        <v>1024</v>
      </c>
      <c r="AS20" s="32">
        <f>SUM(AJ21:AJ22)</f>
        <v>0</v>
      </c>
      <c r="AT20" s="32">
        <f>SUM(AK21:AK22)</f>
        <v>0</v>
      </c>
      <c r="AU20" s="32">
        <f>SUM(AL21:AL22)</f>
        <v>0</v>
      </c>
    </row>
    <row r="21" spans="1:62" ht="12.75">
      <c r="A21" s="4" t="s">
        <v>12</v>
      </c>
      <c r="B21" s="4" t="s">
        <v>329</v>
      </c>
      <c r="C21" s="153" t="s">
        <v>650</v>
      </c>
      <c r="D21" s="154"/>
      <c r="E21" s="154"/>
      <c r="F21" s="4" t="s">
        <v>993</v>
      </c>
      <c r="G21" s="64">
        <v>221.786</v>
      </c>
      <c r="H21" s="82">
        <v>0</v>
      </c>
      <c r="I21" s="14">
        <f>G21*AO21</f>
        <v>0</v>
      </c>
      <c r="J21" s="14">
        <f>G21*AP21</f>
        <v>0</v>
      </c>
      <c r="K21" s="14">
        <f>G21*H21</f>
        <v>0</v>
      </c>
      <c r="L21" s="25" t="s">
        <v>1014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24" t="s">
        <v>1024</v>
      </c>
      <c r="AJ21" s="14">
        <f>IF(AN21=0,K21,0)</f>
        <v>0</v>
      </c>
      <c r="AK21" s="14">
        <f>IF(AN21=15,K21,0)</f>
        <v>0</v>
      </c>
      <c r="AL21" s="14">
        <f>IF(AN21=21,K21,0)</f>
        <v>0</v>
      </c>
      <c r="AN21" s="30">
        <v>21</v>
      </c>
      <c r="AO21" s="30">
        <f>H21*0.0901266875850866</f>
        <v>0</v>
      </c>
      <c r="AP21" s="30">
        <f>H21*(1-0.0901266875850866)</f>
        <v>0</v>
      </c>
      <c r="AQ21" s="25" t="s">
        <v>7</v>
      </c>
      <c r="AV21" s="30">
        <f>AW21+AX21</f>
        <v>0</v>
      </c>
      <c r="AW21" s="30">
        <f>G21*AO21</f>
        <v>0</v>
      </c>
      <c r="AX21" s="30">
        <f>G21*AP21</f>
        <v>0</v>
      </c>
      <c r="AY21" s="31" t="s">
        <v>1028</v>
      </c>
      <c r="AZ21" s="31" t="s">
        <v>1061</v>
      </c>
      <c r="BA21" s="24" t="s">
        <v>1080</v>
      </c>
      <c r="BC21" s="30">
        <f>AW21+AX21</f>
        <v>0</v>
      </c>
      <c r="BD21" s="30">
        <f>H21/(100-BE21)*100</f>
        <v>0</v>
      </c>
      <c r="BE21" s="30">
        <v>0</v>
      </c>
      <c r="BF21" s="30">
        <f>21</f>
        <v>21</v>
      </c>
      <c r="BH21" s="14">
        <f>G21*AO21</f>
        <v>0</v>
      </c>
      <c r="BI21" s="14">
        <f>G21*AP21</f>
        <v>0</v>
      </c>
      <c r="BJ21" s="14">
        <f>G21*H21</f>
        <v>0</v>
      </c>
    </row>
    <row r="22" spans="1:62" ht="12.75">
      <c r="A22" s="4" t="s">
        <v>13</v>
      </c>
      <c r="B22" s="4" t="s">
        <v>330</v>
      </c>
      <c r="C22" s="153" t="s">
        <v>651</v>
      </c>
      <c r="D22" s="154"/>
      <c r="E22" s="154"/>
      <c r="F22" s="4" t="s">
        <v>993</v>
      </c>
      <c r="G22" s="64">
        <v>221.786</v>
      </c>
      <c r="H22" s="82">
        <v>0</v>
      </c>
      <c r="I22" s="14">
        <f>G22*AO22</f>
        <v>0</v>
      </c>
      <c r="J22" s="14">
        <f>G22*AP22</f>
        <v>0</v>
      </c>
      <c r="K22" s="14">
        <f>G22*H22</f>
        <v>0</v>
      </c>
      <c r="L22" s="25" t="s">
        <v>1014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4" t="s">
        <v>1024</v>
      </c>
      <c r="AJ22" s="14">
        <f>IF(AN22=0,K22,0)</f>
        <v>0</v>
      </c>
      <c r="AK22" s="14">
        <f>IF(AN22=15,K22,0)</f>
        <v>0</v>
      </c>
      <c r="AL22" s="14">
        <f>IF(AN22=21,K22,0)</f>
        <v>0</v>
      </c>
      <c r="AN22" s="30">
        <v>21</v>
      </c>
      <c r="AO22" s="30">
        <f>H22*0</f>
        <v>0</v>
      </c>
      <c r="AP22" s="30">
        <f>H22*(1-0)</f>
        <v>0</v>
      </c>
      <c r="AQ22" s="25" t="s">
        <v>7</v>
      </c>
      <c r="AV22" s="30">
        <f>AW22+AX22</f>
        <v>0</v>
      </c>
      <c r="AW22" s="30">
        <f>G22*AO22</f>
        <v>0</v>
      </c>
      <c r="AX22" s="30">
        <f>G22*AP22</f>
        <v>0</v>
      </c>
      <c r="AY22" s="31" t="s">
        <v>1028</v>
      </c>
      <c r="AZ22" s="31" t="s">
        <v>1061</v>
      </c>
      <c r="BA22" s="24" t="s">
        <v>1080</v>
      </c>
      <c r="BC22" s="30">
        <f>AW22+AX22</f>
        <v>0</v>
      </c>
      <c r="BD22" s="30">
        <f>H22/(100-BE22)*100</f>
        <v>0</v>
      </c>
      <c r="BE22" s="30">
        <v>0</v>
      </c>
      <c r="BF22" s="30">
        <f>22</f>
        <v>22</v>
      </c>
      <c r="BH22" s="14">
        <f>G22*AO22</f>
        <v>0</v>
      </c>
      <c r="BI22" s="14">
        <f>G22*AP22</f>
        <v>0</v>
      </c>
      <c r="BJ22" s="14">
        <f>G22*H22</f>
        <v>0</v>
      </c>
    </row>
    <row r="23" spans="1:47" ht="12.75">
      <c r="A23" s="3"/>
      <c r="B23" s="11" t="s">
        <v>22</v>
      </c>
      <c r="C23" s="151" t="s">
        <v>652</v>
      </c>
      <c r="D23" s="152"/>
      <c r="E23" s="152"/>
      <c r="F23" s="3" t="s">
        <v>6</v>
      </c>
      <c r="G23" s="3" t="s">
        <v>6</v>
      </c>
      <c r="H23" s="3" t="s">
        <v>6</v>
      </c>
      <c r="I23" s="32">
        <f>SUM(I24:I28)</f>
        <v>0</v>
      </c>
      <c r="J23" s="32">
        <f>SUM(J24:J28)</f>
        <v>0</v>
      </c>
      <c r="K23" s="32">
        <f>SUM(K24:K28)</f>
        <v>0</v>
      </c>
      <c r="L23" s="24"/>
      <c r="AI23" s="24" t="s">
        <v>1024</v>
      </c>
      <c r="AS23" s="32">
        <f>SUM(AJ24:AJ28)</f>
        <v>0</v>
      </c>
      <c r="AT23" s="32">
        <f>SUM(AK24:AK28)</f>
        <v>0</v>
      </c>
      <c r="AU23" s="32">
        <f>SUM(AL24:AL28)</f>
        <v>0</v>
      </c>
    </row>
    <row r="24" spans="1:62" ht="12.75">
      <c r="A24" s="4" t="s">
        <v>14</v>
      </c>
      <c r="B24" s="4" t="s">
        <v>331</v>
      </c>
      <c r="C24" s="153" t="s">
        <v>653</v>
      </c>
      <c r="D24" s="154"/>
      <c r="E24" s="154"/>
      <c r="F24" s="4" t="s">
        <v>992</v>
      </c>
      <c r="G24" s="64">
        <v>7.66</v>
      </c>
      <c r="H24" s="82">
        <v>0</v>
      </c>
      <c r="I24" s="14">
        <f>G24*AO24</f>
        <v>0</v>
      </c>
      <c r="J24" s="14">
        <f>G24*AP24</f>
        <v>0</v>
      </c>
      <c r="K24" s="14">
        <f>G24*H24</f>
        <v>0</v>
      </c>
      <c r="L24" s="25" t="s">
        <v>1014</v>
      </c>
      <c r="Z24" s="30">
        <f>IF(AQ24="5",BJ24,0)</f>
        <v>0</v>
      </c>
      <c r="AB24" s="30">
        <f>IF(AQ24="1",BH24,0)</f>
        <v>0</v>
      </c>
      <c r="AC24" s="30">
        <f>IF(AQ24="1",BI24,0)</f>
        <v>0</v>
      </c>
      <c r="AD24" s="30">
        <f>IF(AQ24="7",BH24,0)</f>
        <v>0</v>
      </c>
      <c r="AE24" s="30">
        <f>IF(AQ24="7",BI24,0)</f>
        <v>0</v>
      </c>
      <c r="AF24" s="30">
        <f>IF(AQ24="2",BH24,0)</f>
        <v>0</v>
      </c>
      <c r="AG24" s="30">
        <f>IF(AQ24="2",BI24,0)</f>
        <v>0</v>
      </c>
      <c r="AH24" s="30">
        <f>IF(AQ24="0",BJ24,0)</f>
        <v>0</v>
      </c>
      <c r="AI24" s="24" t="s">
        <v>1024</v>
      </c>
      <c r="AJ24" s="14">
        <f>IF(AN24=0,K24,0)</f>
        <v>0</v>
      </c>
      <c r="AK24" s="14">
        <f>IF(AN24=15,K24,0)</f>
        <v>0</v>
      </c>
      <c r="AL24" s="14">
        <f>IF(AN24=21,K24,0)</f>
        <v>0</v>
      </c>
      <c r="AN24" s="30">
        <v>21</v>
      </c>
      <c r="AO24" s="30">
        <f>H24*0</f>
        <v>0</v>
      </c>
      <c r="AP24" s="30">
        <f>H24*(1-0)</f>
        <v>0</v>
      </c>
      <c r="AQ24" s="25" t="s">
        <v>7</v>
      </c>
      <c r="AV24" s="30">
        <f>AW24+AX24</f>
        <v>0</v>
      </c>
      <c r="AW24" s="30">
        <f>G24*AO24</f>
        <v>0</v>
      </c>
      <c r="AX24" s="30">
        <f>G24*AP24</f>
        <v>0</v>
      </c>
      <c r="AY24" s="31" t="s">
        <v>1029</v>
      </c>
      <c r="AZ24" s="31" t="s">
        <v>1061</v>
      </c>
      <c r="BA24" s="24" t="s">
        <v>1080</v>
      </c>
      <c r="BC24" s="30">
        <f>AW24+AX24</f>
        <v>0</v>
      </c>
      <c r="BD24" s="30">
        <f>H24/(100-BE24)*100</f>
        <v>0</v>
      </c>
      <c r="BE24" s="30">
        <v>0</v>
      </c>
      <c r="BF24" s="30">
        <f>24</f>
        <v>24</v>
      </c>
      <c r="BH24" s="14">
        <f>G24*AO24</f>
        <v>0</v>
      </c>
      <c r="BI24" s="14">
        <f>G24*AP24</f>
        <v>0</v>
      </c>
      <c r="BJ24" s="14">
        <f>G24*H24</f>
        <v>0</v>
      </c>
    </row>
    <row r="25" spans="1:62" ht="12.75">
      <c r="A25" s="4" t="s">
        <v>15</v>
      </c>
      <c r="B25" s="4" t="s">
        <v>332</v>
      </c>
      <c r="C25" s="153" t="s">
        <v>654</v>
      </c>
      <c r="D25" s="154"/>
      <c r="E25" s="154"/>
      <c r="F25" s="4" t="s">
        <v>992</v>
      </c>
      <c r="G25" s="64">
        <v>82.872</v>
      </c>
      <c r="H25" s="82">
        <v>0</v>
      </c>
      <c r="I25" s="14">
        <f>G25*AO25</f>
        <v>0</v>
      </c>
      <c r="J25" s="14">
        <f>G25*AP25</f>
        <v>0</v>
      </c>
      <c r="K25" s="14">
        <f>G25*H25</f>
        <v>0</v>
      </c>
      <c r="L25" s="25" t="s">
        <v>1014</v>
      </c>
      <c r="Z25" s="30">
        <f>IF(AQ25="5",BJ25,0)</f>
        <v>0</v>
      </c>
      <c r="AB25" s="30">
        <f>IF(AQ25="1",BH25,0)</f>
        <v>0</v>
      </c>
      <c r="AC25" s="30">
        <f>IF(AQ25="1",BI25,0)</f>
        <v>0</v>
      </c>
      <c r="AD25" s="30">
        <f>IF(AQ25="7",BH25,0)</f>
        <v>0</v>
      </c>
      <c r="AE25" s="30">
        <f>IF(AQ25="7",BI25,0)</f>
        <v>0</v>
      </c>
      <c r="AF25" s="30">
        <f>IF(AQ25="2",BH25,0)</f>
        <v>0</v>
      </c>
      <c r="AG25" s="30">
        <f>IF(AQ25="2",BI25,0)</f>
        <v>0</v>
      </c>
      <c r="AH25" s="30">
        <f>IF(AQ25="0",BJ25,0)</f>
        <v>0</v>
      </c>
      <c r="AI25" s="24" t="s">
        <v>1024</v>
      </c>
      <c r="AJ25" s="14">
        <f>IF(AN25=0,K25,0)</f>
        <v>0</v>
      </c>
      <c r="AK25" s="14">
        <f>IF(AN25=15,K25,0)</f>
        <v>0</v>
      </c>
      <c r="AL25" s="14">
        <f>IF(AN25=21,K25,0)</f>
        <v>0</v>
      </c>
      <c r="AN25" s="30">
        <v>21</v>
      </c>
      <c r="AO25" s="30">
        <f>H25*0</f>
        <v>0</v>
      </c>
      <c r="AP25" s="30">
        <f>H25*(1-0)</f>
        <v>0</v>
      </c>
      <c r="AQ25" s="25" t="s">
        <v>7</v>
      </c>
      <c r="AV25" s="30">
        <f>AW25+AX25</f>
        <v>0</v>
      </c>
      <c r="AW25" s="30">
        <f>G25*AO25</f>
        <v>0</v>
      </c>
      <c r="AX25" s="30">
        <f>G25*AP25</f>
        <v>0</v>
      </c>
      <c r="AY25" s="31" t="s">
        <v>1029</v>
      </c>
      <c r="AZ25" s="31" t="s">
        <v>1061</v>
      </c>
      <c r="BA25" s="24" t="s">
        <v>1080</v>
      </c>
      <c r="BC25" s="30">
        <f>AW25+AX25</f>
        <v>0</v>
      </c>
      <c r="BD25" s="30">
        <f>H25/(100-BE25)*100</f>
        <v>0</v>
      </c>
      <c r="BE25" s="30">
        <v>0</v>
      </c>
      <c r="BF25" s="30">
        <f>25</f>
        <v>25</v>
      </c>
      <c r="BH25" s="14">
        <f>G25*AO25</f>
        <v>0</v>
      </c>
      <c r="BI25" s="14">
        <f>G25*AP25</f>
        <v>0</v>
      </c>
      <c r="BJ25" s="14">
        <f>G25*H25</f>
        <v>0</v>
      </c>
    </row>
    <row r="26" spans="1:62" ht="12.75">
      <c r="A26" s="4" t="s">
        <v>16</v>
      </c>
      <c r="B26" s="4" t="s">
        <v>333</v>
      </c>
      <c r="C26" s="153" t="s">
        <v>655</v>
      </c>
      <c r="D26" s="154"/>
      <c r="E26" s="154"/>
      <c r="F26" s="4" t="s">
        <v>992</v>
      </c>
      <c r="G26" s="64">
        <v>26.635</v>
      </c>
      <c r="H26" s="82">
        <v>0</v>
      </c>
      <c r="I26" s="14">
        <f>G26*AO26</f>
        <v>0</v>
      </c>
      <c r="J26" s="14">
        <f>G26*AP26</f>
        <v>0</v>
      </c>
      <c r="K26" s="14">
        <f>G26*H26</f>
        <v>0</v>
      </c>
      <c r="L26" s="25" t="s">
        <v>1014</v>
      </c>
      <c r="Z26" s="30">
        <f>IF(AQ26="5",BJ26,0)</f>
        <v>0</v>
      </c>
      <c r="AB26" s="30">
        <f>IF(AQ26="1",BH26,0)</f>
        <v>0</v>
      </c>
      <c r="AC26" s="30">
        <f>IF(AQ26="1",BI26,0)</f>
        <v>0</v>
      </c>
      <c r="AD26" s="30">
        <f>IF(AQ26="7",BH26,0)</f>
        <v>0</v>
      </c>
      <c r="AE26" s="30">
        <f>IF(AQ26="7",BI26,0)</f>
        <v>0</v>
      </c>
      <c r="AF26" s="30">
        <f>IF(AQ26="2",BH26,0)</f>
        <v>0</v>
      </c>
      <c r="AG26" s="30">
        <f>IF(AQ26="2",BI26,0)</f>
        <v>0</v>
      </c>
      <c r="AH26" s="30">
        <f>IF(AQ26="0",BJ26,0)</f>
        <v>0</v>
      </c>
      <c r="AI26" s="24" t="s">
        <v>1024</v>
      </c>
      <c r="AJ26" s="14">
        <f>IF(AN26=0,K26,0)</f>
        <v>0</v>
      </c>
      <c r="AK26" s="14">
        <f>IF(AN26=15,K26,0)</f>
        <v>0</v>
      </c>
      <c r="AL26" s="14">
        <f>IF(AN26=21,K26,0)</f>
        <v>0</v>
      </c>
      <c r="AN26" s="30">
        <v>21</v>
      </c>
      <c r="AO26" s="30">
        <f>H26*0</f>
        <v>0</v>
      </c>
      <c r="AP26" s="30">
        <f>H26*(1-0)</f>
        <v>0</v>
      </c>
      <c r="AQ26" s="25" t="s">
        <v>7</v>
      </c>
      <c r="AV26" s="30">
        <f>AW26+AX26</f>
        <v>0</v>
      </c>
      <c r="AW26" s="30">
        <f>G26*AO26</f>
        <v>0</v>
      </c>
      <c r="AX26" s="30">
        <f>G26*AP26</f>
        <v>0</v>
      </c>
      <c r="AY26" s="31" t="s">
        <v>1029</v>
      </c>
      <c r="AZ26" s="31" t="s">
        <v>1061</v>
      </c>
      <c r="BA26" s="24" t="s">
        <v>1080</v>
      </c>
      <c r="BC26" s="30">
        <f>AW26+AX26</f>
        <v>0</v>
      </c>
      <c r="BD26" s="30">
        <f>H26/(100-BE26)*100</f>
        <v>0</v>
      </c>
      <c r="BE26" s="30">
        <v>0</v>
      </c>
      <c r="BF26" s="30">
        <f>26</f>
        <v>26</v>
      </c>
      <c r="BH26" s="14">
        <f>G26*AO26</f>
        <v>0</v>
      </c>
      <c r="BI26" s="14">
        <f>G26*AP26</f>
        <v>0</v>
      </c>
      <c r="BJ26" s="14">
        <f>G26*H26</f>
        <v>0</v>
      </c>
    </row>
    <row r="27" spans="1:62" ht="12.75">
      <c r="A27" s="4" t="s">
        <v>17</v>
      </c>
      <c r="B27" s="4" t="s">
        <v>334</v>
      </c>
      <c r="C27" s="153" t="s">
        <v>656</v>
      </c>
      <c r="D27" s="154"/>
      <c r="E27" s="154"/>
      <c r="F27" s="4" t="s">
        <v>992</v>
      </c>
      <c r="G27" s="64">
        <v>82.872</v>
      </c>
      <c r="H27" s="82">
        <v>0</v>
      </c>
      <c r="I27" s="14">
        <f>G27*AO27</f>
        <v>0</v>
      </c>
      <c r="J27" s="14">
        <f>G27*AP27</f>
        <v>0</v>
      </c>
      <c r="K27" s="14">
        <f>G27*H27</f>
        <v>0</v>
      </c>
      <c r="L27" s="25" t="s">
        <v>1014</v>
      </c>
      <c r="Z27" s="30">
        <f>IF(AQ27="5",BJ27,0)</f>
        <v>0</v>
      </c>
      <c r="AB27" s="30">
        <f>IF(AQ27="1",BH27,0)</f>
        <v>0</v>
      </c>
      <c r="AC27" s="30">
        <f>IF(AQ27="1",BI27,0)</f>
        <v>0</v>
      </c>
      <c r="AD27" s="30">
        <f>IF(AQ27="7",BH27,0)</f>
        <v>0</v>
      </c>
      <c r="AE27" s="30">
        <f>IF(AQ27="7",BI27,0)</f>
        <v>0</v>
      </c>
      <c r="AF27" s="30">
        <f>IF(AQ27="2",BH27,0)</f>
        <v>0</v>
      </c>
      <c r="AG27" s="30">
        <f>IF(AQ27="2",BI27,0)</f>
        <v>0</v>
      </c>
      <c r="AH27" s="30">
        <f>IF(AQ27="0",BJ27,0)</f>
        <v>0</v>
      </c>
      <c r="AI27" s="24" t="s">
        <v>1024</v>
      </c>
      <c r="AJ27" s="14">
        <f>IF(AN27=0,K27,0)</f>
        <v>0</v>
      </c>
      <c r="AK27" s="14">
        <f>IF(AN27=15,K27,0)</f>
        <v>0</v>
      </c>
      <c r="AL27" s="14">
        <f>IF(AN27=21,K27,0)</f>
        <v>0</v>
      </c>
      <c r="AN27" s="30">
        <v>21</v>
      </c>
      <c r="AO27" s="30">
        <f>H27*0</f>
        <v>0</v>
      </c>
      <c r="AP27" s="30">
        <f>H27*(1-0)</f>
        <v>0</v>
      </c>
      <c r="AQ27" s="25" t="s">
        <v>7</v>
      </c>
      <c r="AV27" s="30">
        <f>AW27+AX27</f>
        <v>0</v>
      </c>
      <c r="AW27" s="30">
        <f>G27*AO27</f>
        <v>0</v>
      </c>
      <c r="AX27" s="30">
        <f>G27*AP27</f>
        <v>0</v>
      </c>
      <c r="AY27" s="31" t="s">
        <v>1029</v>
      </c>
      <c r="AZ27" s="31" t="s">
        <v>1061</v>
      </c>
      <c r="BA27" s="24" t="s">
        <v>1080</v>
      </c>
      <c r="BC27" s="30">
        <f>AW27+AX27</f>
        <v>0</v>
      </c>
      <c r="BD27" s="30">
        <f>H27/(100-BE27)*100</f>
        <v>0</v>
      </c>
      <c r="BE27" s="30">
        <v>0</v>
      </c>
      <c r="BF27" s="30">
        <f>27</f>
        <v>27</v>
      </c>
      <c r="BH27" s="14">
        <f>G27*AO27</f>
        <v>0</v>
      </c>
      <c r="BI27" s="14">
        <f>G27*AP27</f>
        <v>0</v>
      </c>
      <c r="BJ27" s="14">
        <f>G27*H27</f>
        <v>0</v>
      </c>
    </row>
    <row r="28" spans="1:62" ht="12.75">
      <c r="A28" s="4" t="s">
        <v>18</v>
      </c>
      <c r="B28" s="4" t="s">
        <v>335</v>
      </c>
      <c r="C28" s="153" t="s">
        <v>657</v>
      </c>
      <c r="D28" s="154"/>
      <c r="E28" s="154"/>
      <c r="F28" s="4" t="s">
        <v>992</v>
      </c>
      <c r="G28" s="64">
        <v>21.367</v>
      </c>
      <c r="H28" s="82">
        <v>0</v>
      </c>
      <c r="I28" s="14">
        <f>G28*AO28</f>
        <v>0</v>
      </c>
      <c r="J28" s="14">
        <f>G28*AP28</f>
        <v>0</v>
      </c>
      <c r="K28" s="14">
        <f>G28*H28</f>
        <v>0</v>
      </c>
      <c r="L28" s="25" t="s">
        <v>1014</v>
      </c>
      <c r="Z28" s="30">
        <f>IF(AQ28="5",BJ28,0)</f>
        <v>0</v>
      </c>
      <c r="AB28" s="30">
        <f>IF(AQ28="1",BH28,0)</f>
        <v>0</v>
      </c>
      <c r="AC28" s="30">
        <f>IF(AQ28="1",BI28,0)</f>
        <v>0</v>
      </c>
      <c r="AD28" s="30">
        <f>IF(AQ28="7",BH28,0)</f>
        <v>0</v>
      </c>
      <c r="AE28" s="30">
        <f>IF(AQ28="7",BI28,0)</f>
        <v>0</v>
      </c>
      <c r="AF28" s="30">
        <f>IF(AQ28="2",BH28,0)</f>
        <v>0</v>
      </c>
      <c r="AG28" s="30">
        <f>IF(AQ28="2",BI28,0)</f>
        <v>0</v>
      </c>
      <c r="AH28" s="30">
        <f>IF(AQ28="0",BJ28,0)</f>
        <v>0</v>
      </c>
      <c r="AI28" s="24" t="s">
        <v>1024</v>
      </c>
      <c r="AJ28" s="14">
        <f>IF(AN28=0,K28,0)</f>
        <v>0</v>
      </c>
      <c r="AK28" s="14">
        <f>IF(AN28=15,K28,0)</f>
        <v>0</v>
      </c>
      <c r="AL28" s="14">
        <f>IF(AN28=21,K28,0)</f>
        <v>0</v>
      </c>
      <c r="AN28" s="30">
        <v>21</v>
      </c>
      <c r="AO28" s="30">
        <f>H28*0</f>
        <v>0</v>
      </c>
      <c r="AP28" s="30">
        <f>H28*(1-0)</f>
        <v>0</v>
      </c>
      <c r="AQ28" s="25" t="s">
        <v>7</v>
      </c>
      <c r="AV28" s="30">
        <f>AW28+AX28</f>
        <v>0</v>
      </c>
      <c r="AW28" s="30">
        <f>G28*AO28</f>
        <v>0</v>
      </c>
      <c r="AX28" s="30">
        <f>G28*AP28</f>
        <v>0</v>
      </c>
      <c r="AY28" s="31" t="s">
        <v>1029</v>
      </c>
      <c r="AZ28" s="31" t="s">
        <v>1061</v>
      </c>
      <c r="BA28" s="24" t="s">
        <v>1080</v>
      </c>
      <c r="BC28" s="30">
        <f>AW28+AX28</f>
        <v>0</v>
      </c>
      <c r="BD28" s="30">
        <f>H28/(100-BE28)*100</f>
        <v>0</v>
      </c>
      <c r="BE28" s="30">
        <v>0</v>
      </c>
      <c r="BF28" s="30">
        <f>28</f>
        <v>28</v>
      </c>
      <c r="BH28" s="14">
        <f>G28*AO28</f>
        <v>0</v>
      </c>
      <c r="BI28" s="14">
        <f>G28*AP28</f>
        <v>0</v>
      </c>
      <c r="BJ28" s="14">
        <f>G28*H28</f>
        <v>0</v>
      </c>
    </row>
    <row r="29" spans="1:47" ht="12.75">
      <c r="A29" s="3"/>
      <c r="B29" s="11" t="s">
        <v>23</v>
      </c>
      <c r="C29" s="151" t="s">
        <v>658</v>
      </c>
      <c r="D29" s="152"/>
      <c r="E29" s="152"/>
      <c r="F29" s="3" t="s">
        <v>6</v>
      </c>
      <c r="G29" s="3" t="s">
        <v>6</v>
      </c>
      <c r="H29" s="3" t="s">
        <v>6</v>
      </c>
      <c r="I29" s="32">
        <f>SUM(I30:I33)</f>
        <v>0</v>
      </c>
      <c r="J29" s="32">
        <f>SUM(J30:J33)</f>
        <v>0</v>
      </c>
      <c r="K29" s="32">
        <f>SUM(K30:K33)</f>
        <v>0</v>
      </c>
      <c r="L29" s="24"/>
      <c r="AI29" s="24" t="s">
        <v>1024</v>
      </c>
      <c r="AS29" s="32">
        <f>SUM(AJ30:AJ33)</f>
        <v>0</v>
      </c>
      <c r="AT29" s="32">
        <f>SUM(AK30:AK33)</f>
        <v>0</v>
      </c>
      <c r="AU29" s="32">
        <f>SUM(AL30:AL33)</f>
        <v>0</v>
      </c>
    </row>
    <row r="30" spans="1:62" ht="12.75">
      <c r="A30" s="4" t="s">
        <v>19</v>
      </c>
      <c r="B30" s="4" t="s">
        <v>336</v>
      </c>
      <c r="C30" s="153" t="s">
        <v>659</v>
      </c>
      <c r="D30" s="154"/>
      <c r="E30" s="154"/>
      <c r="F30" s="4" t="s">
        <v>992</v>
      </c>
      <c r="G30" s="64">
        <v>10</v>
      </c>
      <c r="H30" s="82">
        <v>0</v>
      </c>
      <c r="I30" s="14">
        <f>G30*AO30</f>
        <v>0</v>
      </c>
      <c r="J30" s="14">
        <f>G30*AP30</f>
        <v>0</v>
      </c>
      <c r="K30" s="14">
        <f>G30*H30</f>
        <v>0</v>
      </c>
      <c r="L30" s="25" t="s">
        <v>1014</v>
      </c>
      <c r="Z30" s="30">
        <f>IF(AQ30="5",BJ30,0)</f>
        <v>0</v>
      </c>
      <c r="AB30" s="30">
        <f>IF(AQ30="1",BH30,0)</f>
        <v>0</v>
      </c>
      <c r="AC30" s="30">
        <f>IF(AQ30="1",BI30,0)</f>
        <v>0</v>
      </c>
      <c r="AD30" s="30">
        <f>IF(AQ30="7",BH30,0)</f>
        <v>0</v>
      </c>
      <c r="AE30" s="30">
        <f>IF(AQ30="7",BI30,0)</f>
        <v>0</v>
      </c>
      <c r="AF30" s="30">
        <f>IF(AQ30="2",BH30,0)</f>
        <v>0</v>
      </c>
      <c r="AG30" s="30">
        <f>IF(AQ30="2",BI30,0)</f>
        <v>0</v>
      </c>
      <c r="AH30" s="30">
        <f>IF(AQ30="0",BJ30,0)</f>
        <v>0</v>
      </c>
      <c r="AI30" s="24" t="s">
        <v>1024</v>
      </c>
      <c r="AJ30" s="14">
        <f>IF(AN30=0,K30,0)</f>
        <v>0</v>
      </c>
      <c r="AK30" s="14">
        <f>IF(AN30=15,K30,0)</f>
        <v>0</v>
      </c>
      <c r="AL30" s="14">
        <f>IF(AN30=21,K30,0)</f>
        <v>0</v>
      </c>
      <c r="AN30" s="30">
        <v>21</v>
      </c>
      <c r="AO30" s="30">
        <f>H30*0</f>
        <v>0</v>
      </c>
      <c r="AP30" s="30">
        <f>H30*(1-0)</f>
        <v>0</v>
      </c>
      <c r="AQ30" s="25" t="s">
        <v>7</v>
      </c>
      <c r="AV30" s="30">
        <f>AW30+AX30</f>
        <v>0</v>
      </c>
      <c r="AW30" s="30">
        <f>G30*AO30</f>
        <v>0</v>
      </c>
      <c r="AX30" s="30">
        <f>G30*AP30</f>
        <v>0</v>
      </c>
      <c r="AY30" s="31" t="s">
        <v>1030</v>
      </c>
      <c r="AZ30" s="31" t="s">
        <v>1061</v>
      </c>
      <c r="BA30" s="24" t="s">
        <v>1080</v>
      </c>
      <c r="BC30" s="30">
        <f>AW30+AX30</f>
        <v>0</v>
      </c>
      <c r="BD30" s="30">
        <f>H30/(100-BE30)*100</f>
        <v>0</v>
      </c>
      <c r="BE30" s="30">
        <v>0</v>
      </c>
      <c r="BF30" s="30">
        <f>30</f>
        <v>30</v>
      </c>
      <c r="BH30" s="14">
        <f>G30*AO30</f>
        <v>0</v>
      </c>
      <c r="BI30" s="14">
        <f>G30*AP30</f>
        <v>0</v>
      </c>
      <c r="BJ30" s="14">
        <f>G30*H30</f>
        <v>0</v>
      </c>
    </row>
    <row r="31" spans="1:62" ht="12.75">
      <c r="A31" s="4" t="s">
        <v>20</v>
      </c>
      <c r="B31" s="4" t="s">
        <v>337</v>
      </c>
      <c r="C31" s="153" t="s">
        <v>660</v>
      </c>
      <c r="D31" s="154"/>
      <c r="E31" s="154"/>
      <c r="F31" s="4" t="s">
        <v>993</v>
      </c>
      <c r="G31" s="64">
        <v>178.568</v>
      </c>
      <c r="H31" s="82">
        <v>0</v>
      </c>
      <c r="I31" s="14">
        <f>G31*AO31</f>
        <v>0</v>
      </c>
      <c r="J31" s="14">
        <f>G31*AP31</f>
        <v>0</v>
      </c>
      <c r="K31" s="14">
        <f>G31*H31</f>
        <v>0</v>
      </c>
      <c r="L31" s="25" t="s">
        <v>1014</v>
      </c>
      <c r="Z31" s="30">
        <f>IF(AQ31="5",BJ31,0)</f>
        <v>0</v>
      </c>
      <c r="AB31" s="30">
        <f>IF(AQ31="1",BH31,0)</f>
        <v>0</v>
      </c>
      <c r="AC31" s="30">
        <f>IF(AQ31="1",BI31,0)</f>
        <v>0</v>
      </c>
      <c r="AD31" s="30">
        <f>IF(AQ31="7",BH31,0)</f>
        <v>0</v>
      </c>
      <c r="AE31" s="30">
        <f>IF(AQ31="7",BI31,0)</f>
        <v>0</v>
      </c>
      <c r="AF31" s="30">
        <f>IF(AQ31="2",BH31,0)</f>
        <v>0</v>
      </c>
      <c r="AG31" s="30">
        <f>IF(AQ31="2",BI31,0)</f>
        <v>0</v>
      </c>
      <c r="AH31" s="30">
        <f>IF(AQ31="0",BJ31,0)</f>
        <v>0</v>
      </c>
      <c r="AI31" s="24" t="s">
        <v>1024</v>
      </c>
      <c r="AJ31" s="14">
        <f>IF(AN31=0,K31,0)</f>
        <v>0</v>
      </c>
      <c r="AK31" s="14">
        <f>IF(AN31=15,K31,0)</f>
        <v>0</v>
      </c>
      <c r="AL31" s="14">
        <f>IF(AN31=21,K31,0)</f>
        <v>0</v>
      </c>
      <c r="AN31" s="30">
        <v>21</v>
      </c>
      <c r="AO31" s="30">
        <f>H31*0</f>
        <v>0</v>
      </c>
      <c r="AP31" s="30">
        <f>H31*(1-0)</f>
        <v>0</v>
      </c>
      <c r="AQ31" s="25" t="s">
        <v>7</v>
      </c>
      <c r="AV31" s="30">
        <f>AW31+AX31</f>
        <v>0</v>
      </c>
      <c r="AW31" s="30">
        <f>G31*AO31</f>
        <v>0</v>
      </c>
      <c r="AX31" s="30">
        <f>G31*AP31</f>
        <v>0</v>
      </c>
      <c r="AY31" s="31" t="s">
        <v>1030</v>
      </c>
      <c r="AZ31" s="31" t="s">
        <v>1061</v>
      </c>
      <c r="BA31" s="24" t="s">
        <v>1080</v>
      </c>
      <c r="BC31" s="30">
        <f>AW31+AX31</f>
        <v>0</v>
      </c>
      <c r="BD31" s="30">
        <f>H31/(100-BE31)*100</f>
        <v>0</v>
      </c>
      <c r="BE31" s="30">
        <v>0</v>
      </c>
      <c r="BF31" s="30">
        <f>31</f>
        <v>31</v>
      </c>
      <c r="BH31" s="14">
        <f>G31*AO31</f>
        <v>0</v>
      </c>
      <c r="BI31" s="14">
        <f>G31*AP31</f>
        <v>0</v>
      </c>
      <c r="BJ31" s="14">
        <f>G31*H31</f>
        <v>0</v>
      </c>
    </row>
    <row r="32" spans="1:62" ht="12.75">
      <c r="A32" s="4" t="s">
        <v>21</v>
      </c>
      <c r="B32" s="4" t="s">
        <v>338</v>
      </c>
      <c r="C32" s="153" t="s">
        <v>661</v>
      </c>
      <c r="D32" s="154"/>
      <c r="E32" s="154"/>
      <c r="F32" s="4" t="s">
        <v>992</v>
      </c>
      <c r="G32" s="64">
        <v>26.635</v>
      </c>
      <c r="H32" s="82">
        <v>0</v>
      </c>
      <c r="I32" s="14">
        <f>G32*AO32</f>
        <v>0</v>
      </c>
      <c r="J32" s="14">
        <f>G32*AP32</f>
        <v>0</v>
      </c>
      <c r="K32" s="14">
        <f>G32*H32</f>
        <v>0</v>
      </c>
      <c r="L32" s="25" t="s">
        <v>1014</v>
      </c>
      <c r="Z32" s="30">
        <f>IF(AQ32="5",BJ32,0)</f>
        <v>0</v>
      </c>
      <c r="AB32" s="30">
        <f>IF(AQ32="1",BH32,0)</f>
        <v>0</v>
      </c>
      <c r="AC32" s="30">
        <f>IF(AQ32="1",BI32,0)</f>
        <v>0</v>
      </c>
      <c r="AD32" s="30">
        <f>IF(AQ32="7",BH32,0)</f>
        <v>0</v>
      </c>
      <c r="AE32" s="30">
        <f>IF(AQ32="7",BI32,0)</f>
        <v>0</v>
      </c>
      <c r="AF32" s="30">
        <f>IF(AQ32="2",BH32,0)</f>
        <v>0</v>
      </c>
      <c r="AG32" s="30">
        <f>IF(AQ32="2",BI32,0)</f>
        <v>0</v>
      </c>
      <c r="AH32" s="30">
        <f>IF(AQ32="0",BJ32,0)</f>
        <v>0</v>
      </c>
      <c r="AI32" s="24" t="s">
        <v>1024</v>
      </c>
      <c r="AJ32" s="14">
        <f>IF(AN32=0,K32,0)</f>
        <v>0</v>
      </c>
      <c r="AK32" s="14">
        <f>IF(AN32=15,K32,0)</f>
        <v>0</v>
      </c>
      <c r="AL32" s="14">
        <f>IF(AN32=21,K32,0)</f>
        <v>0</v>
      </c>
      <c r="AN32" s="30">
        <v>21</v>
      </c>
      <c r="AO32" s="30">
        <f>H32*0</f>
        <v>0</v>
      </c>
      <c r="AP32" s="30">
        <f>H32*(1-0)</f>
        <v>0</v>
      </c>
      <c r="AQ32" s="25" t="s">
        <v>7</v>
      </c>
      <c r="AV32" s="30">
        <f>AW32+AX32</f>
        <v>0</v>
      </c>
      <c r="AW32" s="30">
        <f>G32*AO32</f>
        <v>0</v>
      </c>
      <c r="AX32" s="30">
        <f>G32*AP32</f>
        <v>0</v>
      </c>
      <c r="AY32" s="31" t="s">
        <v>1030</v>
      </c>
      <c r="AZ32" s="31" t="s">
        <v>1061</v>
      </c>
      <c r="BA32" s="24" t="s">
        <v>1080</v>
      </c>
      <c r="BC32" s="30">
        <f>AW32+AX32</f>
        <v>0</v>
      </c>
      <c r="BD32" s="30">
        <f>H32/(100-BE32)*100</f>
        <v>0</v>
      </c>
      <c r="BE32" s="30">
        <v>0</v>
      </c>
      <c r="BF32" s="30">
        <f>32</f>
        <v>32</v>
      </c>
      <c r="BH32" s="14">
        <f>G32*AO32</f>
        <v>0</v>
      </c>
      <c r="BI32" s="14">
        <f>G32*AP32</f>
        <v>0</v>
      </c>
      <c r="BJ32" s="14">
        <f>G32*H32</f>
        <v>0</v>
      </c>
    </row>
    <row r="33" spans="1:62" ht="12.75">
      <c r="A33" s="4" t="s">
        <v>22</v>
      </c>
      <c r="B33" s="4" t="s">
        <v>339</v>
      </c>
      <c r="C33" s="153" t="s">
        <v>662</v>
      </c>
      <c r="D33" s="154"/>
      <c r="E33" s="154"/>
      <c r="F33" s="4" t="s">
        <v>992</v>
      </c>
      <c r="G33" s="64">
        <v>72.872</v>
      </c>
      <c r="H33" s="82">
        <v>0</v>
      </c>
      <c r="I33" s="14">
        <f>G33*AO33</f>
        <v>0</v>
      </c>
      <c r="J33" s="14">
        <f>G33*AP33</f>
        <v>0</v>
      </c>
      <c r="K33" s="14">
        <f>G33*H33</f>
        <v>0</v>
      </c>
      <c r="L33" s="25" t="s">
        <v>1014</v>
      </c>
      <c r="Z33" s="30">
        <f>IF(AQ33="5",BJ33,0)</f>
        <v>0</v>
      </c>
      <c r="AB33" s="30">
        <f>IF(AQ33="1",BH33,0)</f>
        <v>0</v>
      </c>
      <c r="AC33" s="30">
        <f>IF(AQ33="1",BI33,0)</f>
        <v>0</v>
      </c>
      <c r="AD33" s="30">
        <f>IF(AQ33="7",BH33,0)</f>
        <v>0</v>
      </c>
      <c r="AE33" s="30">
        <f>IF(AQ33="7",BI33,0)</f>
        <v>0</v>
      </c>
      <c r="AF33" s="30">
        <f>IF(AQ33="2",BH33,0)</f>
        <v>0</v>
      </c>
      <c r="AG33" s="30">
        <f>IF(AQ33="2",BI33,0)</f>
        <v>0</v>
      </c>
      <c r="AH33" s="30">
        <f>IF(AQ33="0",BJ33,0)</f>
        <v>0</v>
      </c>
      <c r="AI33" s="24" t="s">
        <v>1024</v>
      </c>
      <c r="AJ33" s="14">
        <f>IF(AN33=0,K33,0)</f>
        <v>0</v>
      </c>
      <c r="AK33" s="14">
        <f>IF(AN33=15,K33,0)</f>
        <v>0</v>
      </c>
      <c r="AL33" s="14">
        <f>IF(AN33=21,K33,0)</f>
        <v>0</v>
      </c>
      <c r="AN33" s="30">
        <v>21</v>
      </c>
      <c r="AO33" s="30">
        <f>H33*0</f>
        <v>0</v>
      </c>
      <c r="AP33" s="30">
        <f>H33*(1-0)</f>
        <v>0</v>
      </c>
      <c r="AQ33" s="25" t="s">
        <v>7</v>
      </c>
      <c r="AV33" s="30">
        <f>AW33+AX33</f>
        <v>0</v>
      </c>
      <c r="AW33" s="30">
        <f>G33*AO33</f>
        <v>0</v>
      </c>
      <c r="AX33" s="30">
        <f>G33*AP33</f>
        <v>0</v>
      </c>
      <c r="AY33" s="31" t="s">
        <v>1030</v>
      </c>
      <c r="AZ33" s="31" t="s">
        <v>1061</v>
      </c>
      <c r="BA33" s="24" t="s">
        <v>1080</v>
      </c>
      <c r="BC33" s="30">
        <f>AW33+AX33</f>
        <v>0</v>
      </c>
      <c r="BD33" s="30">
        <f>H33/(100-BE33)*100</f>
        <v>0</v>
      </c>
      <c r="BE33" s="30">
        <v>0</v>
      </c>
      <c r="BF33" s="30">
        <f>33</f>
        <v>33</v>
      </c>
      <c r="BH33" s="14">
        <f>G33*AO33</f>
        <v>0</v>
      </c>
      <c r="BI33" s="14">
        <f>G33*AP33</f>
        <v>0</v>
      </c>
      <c r="BJ33" s="14">
        <f>G33*H33</f>
        <v>0</v>
      </c>
    </row>
    <row r="34" spans="1:47" ht="12.75">
      <c r="A34" s="3"/>
      <c r="B34" s="11" t="s">
        <v>24</v>
      </c>
      <c r="C34" s="151" t="s">
        <v>663</v>
      </c>
      <c r="D34" s="152"/>
      <c r="E34" s="152"/>
      <c r="F34" s="3" t="s">
        <v>6</v>
      </c>
      <c r="G34" s="3" t="s">
        <v>6</v>
      </c>
      <c r="H34" s="3" t="s">
        <v>6</v>
      </c>
      <c r="I34" s="32">
        <f>SUM(I35:I37)</f>
        <v>0</v>
      </c>
      <c r="J34" s="32">
        <f>SUM(J35:J37)</f>
        <v>0</v>
      </c>
      <c r="K34" s="32">
        <f>SUM(K35:K37)</f>
        <v>0</v>
      </c>
      <c r="L34" s="24"/>
      <c r="AI34" s="24" t="s">
        <v>1024</v>
      </c>
      <c r="AS34" s="32">
        <f>SUM(AJ35:AJ37)</f>
        <v>0</v>
      </c>
      <c r="AT34" s="32">
        <f>SUM(AK35:AK37)</f>
        <v>0</v>
      </c>
      <c r="AU34" s="32">
        <f>SUM(AL35:AL37)</f>
        <v>0</v>
      </c>
    </row>
    <row r="35" spans="1:62" ht="12.75">
      <c r="A35" s="4" t="s">
        <v>23</v>
      </c>
      <c r="B35" s="4" t="s">
        <v>340</v>
      </c>
      <c r="C35" s="153" t="s">
        <v>664</v>
      </c>
      <c r="D35" s="154"/>
      <c r="E35" s="154"/>
      <c r="F35" s="4" t="s">
        <v>993</v>
      </c>
      <c r="G35" s="64">
        <v>793.94</v>
      </c>
      <c r="H35" s="82">
        <v>0</v>
      </c>
      <c r="I35" s="14">
        <f>G35*AO35</f>
        <v>0</v>
      </c>
      <c r="J35" s="14">
        <f>G35*AP35</f>
        <v>0</v>
      </c>
      <c r="K35" s="14">
        <f>G35*H35</f>
        <v>0</v>
      </c>
      <c r="L35" s="25" t="s">
        <v>1014</v>
      </c>
      <c r="Z35" s="30">
        <f>IF(AQ35="5",BJ35,0)</f>
        <v>0</v>
      </c>
      <c r="AB35" s="30">
        <f>IF(AQ35="1",BH35,0)</f>
        <v>0</v>
      </c>
      <c r="AC35" s="30">
        <f>IF(AQ35="1",BI35,0)</f>
        <v>0</v>
      </c>
      <c r="AD35" s="30">
        <f>IF(AQ35="7",BH35,0)</f>
        <v>0</v>
      </c>
      <c r="AE35" s="30">
        <f>IF(AQ35="7",BI35,0)</f>
        <v>0</v>
      </c>
      <c r="AF35" s="30">
        <f>IF(AQ35="2",BH35,0)</f>
        <v>0</v>
      </c>
      <c r="AG35" s="30">
        <f>IF(AQ35="2",BI35,0)</f>
        <v>0</v>
      </c>
      <c r="AH35" s="30">
        <f>IF(AQ35="0",BJ35,0)</f>
        <v>0</v>
      </c>
      <c r="AI35" s="24" t="s">
        <v>1024</v>
      </c>
      <c r="AJ35" s="14">
        <f>IF(AN35=0,K35,0)</f>
        <v>0</v>
      </c>
      <c r="AK35" s="14">
        <f>IF(AN35=15,K35,0)</f>
        <v>0</v>
      </c>
      <c r="AL35" s="14">
        <f>IF(AN35=21,K35,0)</f>
        <v>0</v>
      </c>
      <c r="AN35" s="30">
        <v>21</v>
      </c>
      <c r="AO35" s="30">
        <f>H35*0.192193548387097</f>
        <v>0</v>
      </c>
      <c r="AP35" s="30">
        <f>H35*(1-0.192193548387097)</f>
        <v>0</v>
      </c>
      <c r="AQ35" s="25" t="s">
        <v>7</v>
      </c>
      <c r="AV35" s="30">
        <f>AW35+AX35</f>
        <v>0</v>
      </c>
      <c r="AW35" s="30">
        <f>G35*AO35</f>
        <v>0</v>
      </c>
      <c r="AX35" s="30">
        <f>G35*AP35</f>
        <v>0</v>
      </c>
      <c r="AY35" s="31" t="s">
        <v>1031</v>
      </c>
      <c r="AZ35" s="31" t="s">
        <v>1061</v>
      </c>
      <c r="BA35" s="24" t="s">
        <v>1080</v>
      </c>
      <c r="BC35" s="30">
        <f>AW35+AX35</f>
        <v>0</v>
      </c>
      <c r="BD35" s="30">
        <f>H35/(100-BE35)*100</f>
        <v>0</v>
      </c>
      <c r="BE35" s="30">
        <v>0</v>
      </c>
      <c r="BF35" s="30">
        <f>35</f>
        <v>35</v>
      </c>
      <c r="BH35" s="14">
        <f>G35*AO35</f>
        <v>0</v>
      </c>
      <c r="BI35" s="14">
        <f>G35*AP35</f>
        <v>0</v>
      </c>
      <c r="BJ35" s="14">
        <f>G35*H35</f>
        <v>0</v>
      </c>
    </row>
    <row r="36" spans="1:62" ht="12.75">
      <c r="A36" s="4" t="s">
        <v>24</v>
      </c>
      <c r="B36" s="4" t="s">
        <v>341</v>
      </c>
      <c r="C36" s="153" t="s">
        <v>665</v>
      </c>
      <c r="D36" s="154"/>
      <c r="E36" s="154"/>
      <c r="F36" s="4" t="s">
        <v>991</v>
      </c>
      <c r="G36" s="64">
        <v>1</v>
      </c>
      <c r="H36" s="82">
        <v>0</v>
      </c>
      <c r="I36" s="14">
        <f>G36*AO36</f>
        <v>0</v>
      </c>
      <c r="J36" s="14">
        <f>G36*AP36</f>
        <v>0</v>
      </c>
      <c r="K36" s="14">
        <f>G36*H36</f>
        <v>0</v>
      </c>
      <c r="L36" s="25" t="s">
        <v>1014</v>
      </c>
      <c r="Z36" s="30">
        <f>IF(AQ36="5",BJ36,0)</f>
        <v>0</v>
      </c>
      <c r="AB36" s="30">
        <f>IF(AQ36="1",BH36,0)</f>
        <v>0</v>
      </c>
      <c r="AC36" s="30">
        <f>IF(AQ36="1",BI36,0)</f>
        <v>0</v>
      </c>
      <c r="AD36" s="30">
        <f>IF(AQ36="7",BH36,0)</f>
        <v>0</v>
      </c>
      <c r="AE36" s="30">
        <f>IF(AQ36="7",BI36,0)</f>
        <v>0</v>
      </c>
      <c r="AF36" s="30">
        <f>IF(AQ36="2",BH36,0)</f>
        <v>0</v>
      </c>
      <c r="AG36" s="30">
        <f>IF(AQ36="2",BI36,0)</f>
        <v>0</v>
      </c>
      <c r="AH36" s="30">
        <f>IF(AQ36="0",BJ36,0)</f>
        <v>0</v>
      </c>
      <c r="AI36" s="24" t="s">
        <v>1024</v>
      </c>
      <c r="AJ36" s="14">
        <f>IF(AN36=0,K36,0)</f>
        <v>0</v>
      </c>
      <c r="AK36" s="14">
        <f>IF(AN36=15,K36,0)</f>
        <v>0</v>
      </c>
      <c r="AL36" s="14">
        <f>IF(AN36=21,K36,0)</f>
        <v>0</v>
      </c>
      <c r="AN36" s="30">
        <v>21</v>
      </c>
      <c r="AO36" s="30">
        <f>H36*0.0139468402165318</f>
        <v>0</v>
      </c>
      <c r="AP36" s="30">
        <f>H36*(1-0.0139468402165318)</f>
        <v>0</v>
      </c>
      <c r="AQ36" s="25" t="s">
        <v>7</v>
      </c>
      <c r="AV36" s="30">
        <f>AW36+AX36</f>
        <v>0</v>
      </c>
      <c r="AW36" s="30">
        <f>G36*AO36</f>
        <v>0</v>
      </c>
      <c r="AX36" s="30">
        <f>G36*AP36</f>
        <v>0</v>
      </c>
      <c r="AY36" s="31" t="s">
        <v>1031</v>
      </c>
      <c r="AZ36" s="31" t="s">
        <v>1061</v>
      </c>
      <c r="BA36" s="24" t="s">
        <v>1080</v>
      </c>
      <c r="BC36" s="30">
        <f>AW36+AX36</f>
        <v>0</v>
      </c>
      <c r="BD36" s="30">
        <f>H36/(100-BE36)*100</f>
        <v>0</v>
      </c>
      <c r="BE36" s="30">
        <v>0</v>
      </c>
      <c r="BF36" s="30">
        <f>36</f>
        <v>36</v>
      </c>
      <c r="BH36" s="14">
        <f>G36*AO36</f>
        <v>0</v>
      </c>
      <c r="BI36" s="14">
        <f>G36*AP36</f>
        <v>0</v>
      </c>
      <c r="BJ36" s="14">
        <f>G36*H36</f>
        <v>0</v>
      </c>
    </row>
    <row r="37" spans="1:62" ht="12.75">
      <c r="A37" s="4" t="s">
        <v>25</v>
      </c>
      <c r="B37" s="4" t="s">
        <v>342</v>
      </c>
      <c r="C37" s="153" t="s">
        <v>666</v>
      </c>
      <c r="D37" s="154"/>
      <c r="E37" s="154"/>
      <c r="F37" s="4" t="s">
        <v>994</v>
      </c>
      <c r="G37" s="64">
        <v>49.275</v>
      </c>
      <c r="H37" s="82">
        <v>0</v>
      </c>
      <c r="I37" s="14">
        <f>G37*AO37</f>
        <v>0</v>
      </c>
      <c r="J37" s="14">
        <f>G37*AP37</f>
        <v>0</v>
      </c>
      <c r="K37" s="14">
        <f>G37*H37</f>
        <v>0</v>
      </c>
      <c r="L37" s="25" t="s">
        <v>1014</v>
      </c>
      <c r="Z37" s="30">
        <f>IF(AQ37="5",BJ37,0)</f>
        <v>0</v>
      </c>
      <c r="AB37" s="30">
        <f>IF(AQ37="1",BH37,0)</f>
        <v>0</v>
      </c>
      <c r="AC37" s="30">
        <f>IF(AQ37="1",BI37,0)</f>
        <v>0</v>
      </c>
      <c r="AD37" s="30">
        <f>IF(AQ37="7",BH37,0)</f>
        <v>0</v>
      </c>
      <c r="AE37" s="30">
        <f>IF(AQ37="7",BI37,0)</f>
        <v>0</v>
      </c>
      <c r="AF37" s="30">
        <f>IF(AQ37="2",BH37,0)</f>
        <v>0</v>
      </c>
      <c r="AG37" s="30">
        <f>IF(AQ37="2",BI37,0)</f>
        <v>0</v>
      </c>
      <c r="AH37" s="30">
        <f>IF(AQ37="0",BJ37,0)</f>
        <v>0</v>
      </c>
      <c r="AI37" s="24" t="s">
        <v>1024</v>
      </c>
      <c r="AJ37" s="14">
        <f>IF(AN37=0,K37,0)</f>
        <v>0</v>
      </c>
      <c r="AK37" s="14">
        <f>IF(AN37=15,K37,0)</f>
        <v>0</v>
      </c>
      <c r="AL37" s="14">
        <f>IF(AN37=21,K37,0)</f>
        <v>0</v>
      </c>
      <c r="AN37" s="30">
        <v>21</v>
      </c>
      <c r="AO37" s="30">
        <f>H37*0</f>
        <v>0</v>
      </c>
      <c r="AP37" s="30">
        <f>H37*(1-0)</f>
        <v>0</v>
      </c>
      <c r="AQ37" s="25" t="s">
        <v>7</v>
      </c>
      <c r="AV37" s="30">
        <f>AW37+AX37</f>
        <v>0</v>
      </c>
      <c r="AW37" s="30">
        <f>G37*AO37</f>
        <v>0</v>
      </c>
      <c r="AX37" s="30">
        <f>G37*AP37</f>
        <v>0</v>
      </c>
      <c r="AY37" s="31" t="s">
        <v>1031</v>
      </c>
      <c r="AZ37" s="31" t="s">
        <v>1061</v>
      </c>
      <c r="BA37" s="24" t="s">
        <v>1080</v>
      </c>
      <c r="BC37" s="30">
        <f>AW37+AX37</f>
        <v>0</v>
      </c>
      <c r="BD37" s="30">
        <f>H37/(100-BE37)*100</f>
        <v>0</v>
      </c>
      <c r="BE37" s="30">
        <v>0</v>
      </c>
      <c r="BF37" s="30">
        <f>37</f>
        <v>37</v>
      </c>
      <c r="BH37" s="14">
        <f>G37*AO37</f>
        <v>0</v>
      </c>
      <c r="BI37" s="14">
        <f>G37*AP37</f>
        <v>0</v>
      </c>
      <c r="BJ37" s="14">
        <f>G37*H37</f>
        <v>0</v>
      </c>
    </row>
    <row r="38" spans="1:47" ht="12.75">
      <c r="A38" s="3"/>
      <c r="B38" s="11" t="s">
        <v>33</v>
      </c>
      <c r="C38" s="151" t="s">
        <v>667</v>
      </c>
      <c r="D38" s="152"/>
      <c r="E38" s="152"/>
      <c r="F38" s="3" t="s">
        <v>6</v>
      </c>
      <c r="G38" s="3" t="s">
        <v>6</v>
      </c>
      <c r="H38" s="3" t="s">
        <v>6</v>
      </c>
      <c r="I38" s="32">
        <f>SUM(I39:I40)</f>
        <v>0</v>
      </c>
      <c r="J38" s="32">
        <f>SUM(J39:J40)</f>
        <v>0</v>
      </c>
      <c r="K38" s="32">
        <f>SUM(K39:K40)</f>
        <v>0</v>
      </c>
      <c r="L38" s="24"/>
      <c r="AI38" s="24" t="s">
        <v>1024</v>
      </c>
      <c r="AS38" s="32">
        <f>SUM(AJ39:AJ40)</f>
        <v>0</v>
      </c>
      <c r="AT38" s="32">
        <f>SUM(AK39:AK40)</f>
        <v>0</v>
      </c>
      <c r="AU38" s="32">
        <f>SUM(AL39:AL40)</f>
        <v>0</v>
      </c>
    </row>
    <row r="39" spans="1:62" ht="12.75">
      <c r="A39" s="4" t="s">
        <v>26</v>
      </c>
      <c r="B39" s="4" t="s">
        <v>343</v>
      </c>
      <c r="C39" s="153" t="s">
        <v>668</v>
      </c>
      <c r="D39" s="154"/>
      <c r="E39" s="154"/>
      <c r="F39" s="4" t="s">
        <v>992</v>
      </c>
      <c r="G39" s="64">
        <v>4.138</v>
      </c>
      <c r="H39" s="82">
        <v>0</v>
      </c>
      <c r="I39" s="14">
        <f>G39*AO39</f>
        <v>0</v>
      </c>
      <c r="J39" s="14">
        <f>G39*AP39</f>
        <v>0</v>
      </c>
      <c r="K39" s="14">
        <f>G39*H39</f>
        <v>0</v>
      </c>
      <c r="L39" s="25" t="s">
        <v>1014</v>
      </c>
      <c r="Z39" s="30">
        <f>IF(AQ39="5",BJ39,0)</f>
        <v>0</v>
      </c>
      <c r="AB39" s="30">
        <f>IF(AQ39="1",BH39,0)</f>
        <v>0</v>
      </c>
      <c r="AC39" s="30">
        <f>IF(AQ39="1",BI39,0)</f>
        <v>0</v>
      </c>
      <c r="AD39" s="30">
        <f>IF(AQ39="7",BH39,0)</f>
        <v>0</v>
      </c>
      <c r="AE39" s="30">
        <f>IF(AQ39="7",BI39,0)</f>
        <v>0</v>
      </c>
      <c r="AF39" s="30">
        <f>IF(AQ39="2",BH39,0)</f>
        <v>0</v>
      </c>
      <c r="AG39" s="30">
        <f>IF(AQ39="2",BI39,0)</f>
        <v>0</v>
      </c>
      <c r="AH39" s="30">
        <f>IF(AQ39="0",BJ39,0)</f>
        <v>0</v>
      </c>
      <c r="AI39" s="24" t="s">
        <v>1024</v>
      </c>
      <c r="AJ39" s="14">
        <f>IF(AN39=0,K39,0)</f>
        <v>0</v>
      </c>
      <c r="AK39" s="14">
        <f>IF(AN39=15,K39,0)</f>
        <v>0</v>
      </c>
      <c r="AL39" s="14">
        <f>IF(AN39=21,K39,0)</f>
        <v>0</v>
      </c>
      <c r="AN39" s="30">
        <v>21</v>
      </c>
      <c r="AO39" s="30">
        <f>H39*0.89301301056682</f>
        <v>0</v>
      </c>
      <c r="AP39" s="30">
        <f>H39*(1-0.89301301056682)</f>
        <v>0</v>
      </c>
      <c r="AQ39" s="25" t="s">
        <v>7</v>
      </c>
      <c r="AV39" s="30">
        <f>AW39+AX39</f>
        <v>0</v>
      </c>
      <c r="AW39" s="30">
        <f>G39*AO39</f>
        <v>0</v>
      </c>
      <c r="AX39" s="30">
        <f>G39*AP39</f>
        <v>0</v>
      </c>
      <c r="AY39" s="31" t="s">
        <v>1032</v>
      </c>
      <c r="AZ39" s="31" t="s">
        <v>1062</v>
      </c>
      <c r="BA39" s="24" t="s">
        <v>1080</v>
      </c>
      <c r="BC39" s="30">
        <f>AW39+AX39</f>
        <v>0</v>
      </c>
      <c r="BD39" s="30">
        <f>H39/(100-BE39)*100</f>
        <v>0</v>
      </c>
      <c r="BE39" s="30">
        <v>0</v>
      </c>
      <c r="BF39" s="30">
        <f>39</f>
        <v>39</v>
      </c>
      <c r="BH39" s="14">
        <f>G39*AO39</f>
        <v>0</v>
      </c>
      <c r="BI39" s="14">
        <f>G39*AP39</f>
        <v>0</v>
      </c>
      <c r="BJ39" s="14">
        <f>G39*H39</f>
        <v>0</v>
      </c>
    </row>
    <row r="40" spans="1:62" ht="12.75">
      <c r="A40" s="4" t="s">
        <v>27</v>
      </c>
      <c r="B40" s="4" t="s">
        <v>344</v>
      </c>
      <c r="C40" s="153" t="s">
        <v>669</v>
      </c>
      <c r="D40" s="154"/>
      <c r="E40" s="154"/>
      <c r="F40" s="4" t="s">
        <v>992</v>
      </c>
      <c r="G40" s="64">
        <v>4</v>
      </c>
      <c r="H40" s="82">
        <v>0</v>
      </c>
      <c r="I40" s="14">
        <f>G40*AO40</f>
        <v>0</v>
      </c>
      <c r="J40" s="14">
        <f>G40*AP40</f>
        <v>0</v>
      </c>
      <c r="K40" s="14">
        <f>G40*H40</f>
        <v>0</v>
      </c>
      <c r="L40" s="25" t="s">
        <v>1014</v>
      </c>
      <c r="Z40" s="30">
        <f>IF(AQ40="5",BJ40,0)</f>
        <v>0</v>
      </c>
      <c r="AB40" s="30">
        <f>IF(AQ40="1",BH40,0)</f>
        <v>0</v>
      </c>
      <c r="AC40" s="30">
        <f>IF(AQ40="1",BI40,0)</f>
        <v>0</v>
      </c>
      <c r="AD40" s="30">
        <f>IF(AQ40="7",BH40,0)</f>
        <v>0</v>
      </c>
      <c r="AE40" s="30">
        <f>IF(AQ40="7",BI40,0)</f>
        <v>0</v>
      </c>
      <c r="AF40" s="30">
        <f>IF(AQ40="2",BH40,0)</f>
        <v>0</v>
      </c>
      <c r="AG40" s="30">
        <f>IF(AQ40="2",BI40,0)</f>
        <v>0</v>
      </c>
      <c r="AH40" s="30">
        <f>IF(AQ40="0",BJ40,0)</f>
        <v>0</v>
      </c>
      <c r="AI40" s="24" t="s">
        <v>1024</v>
      </c>
      <c r="AJ40" s="14">
        <f>IF(AN40=0,K40,0)</f>
        <v>0</v>
      </c>
      <c r="AK40" s="14">
        <f>IF(AN40=15,K40,0)</f>
        <v>0</v>
      </c>
      <c r="AL40" s="14">
        <f>IF(AN40=21,K40,0)</f>
        <v>0</v>
      </c>
      <c r="AN40" s="30">
        <v>21</v>
      </c>
      <c r="AO40" s="30">
        <f>H40*0.897569990999967</f>
        <v>0</v>
      </c>
      <c r="AP40" s="30">
        <f>H40*(1-0.897569990999967)</f>
        <v>0</v>
      </c>
      <c r="AQ40" s="25" t="s">
        <v>7</v>
      </c>
      <c r="AV40" s="30">
        <f>AW40+AX40</f>
        <v>0</v>
      </c>
      <c r="AW40" s="30">
        <f>G40*AO40</f>
        <v>0</v>
      </c>
      <c r="AX40" s="30">
        <f>G40*AP40</f>
        <v>0</v>
      </c>
      <c r="AY40" s="31" t="s">
        <v>1032</v>
      </c>
      <c r="AZ40" s="31" t="s">
        <v>1062</v>
      </c>
      <c r="BA40" s="24" t="s">
        <v>1080</v>
      </c>
      <c r="BC40" s="30">
        <f>AW40+AX40</f>
        <v>0</v>
      </c>
      <c r="BD40" s="30">
        <f>H40/(100-BE40)*100</f>
        <v>0</v>
      </c>
      <c r="BE40" s="30">
        <v>0</v>
      </c>
      <c r="BF40" s="30">
        <f>40</f>
        <v>40</v>
      </c>
      <c r="BH40" s="14">
        <f>G40*AO40</f>
        <v>0</v>
      </c>
      <c r="BI40" s="14">
        <f>G40*AP40</f>
        <v>0</v>
      </c>
      <c r="BJ40" s="14">
        <f>G40*H40</f>
        <v>0</v>
      </c>
    </row>
    <row r="41" spans="1:47" ht="12.75">
      <c r="A41" s="3"/>
      <c r="B41" s="11" t="s">
        <v>39</v>
      </c>
      <c r="C41" s="151" t="s">
        <v>670</v>
      </c>
      <c r="D41" s="152"/>
      <c r="E41" s="152"/>
      <c r="F41" s="3" t="s">
        <v>6</v>
      </c>
      <c r="G41" s="3" t="s">
        <v>6</v>
      </c>
      <c r="H41" s="3" t="s">
        <v>6</v>
      </c>
      <c r="I41" s="32">
        <f>SUM(I42:I42)</f>
        <v>0</v>
      </c>
      <c r="J41" s="32">
        <f>SUM(J42:J42)</f>
        <v>0</v>
      </c>
      <c r="K41" s="32">
        <f>SUM(K42:K42)</f>
        <v>0</v>
      </c>
      <c r="L41" s="24"/>
      <c r="AI41" s="24" t="s">
        <v>1024</v>
      </c>
      <c r="AS41" s="32">
        <f>SUM(AJ42:AJ42)</f>
        <v>0</v>
      </c>
      <c r="AT41" s="32">
        <f>SUM(AK42:AK42)</f>
        <v>0</v>
      </c>
      <c r="AU41" s="32">
        <f>SUM(AL42:AL42)</f>
        <v>0</v>
      </c>
    </row>
    <row r="42" spans="1:62" ht="12.75">
      <c r="A42" s="4" t="s">
        <v>28</v>
      </c>
      <c r="B42" s="4" t="s">
        <v>345</v>
      </c>
      <c r="C42" s="153" t="s">
        <v>671</v>
      </c>
      <c r="D42" s="154"/>
      <c r="E42" s="154"/>
      <c r="F42" s="4" t="s">
        <v>992</v>
      </c>
      <c r="G42" s="64">
        <v>0.15</v>
      </c>
      <c r="H42" s="82">
        <v>0</v>
      </c>
      <c r="I42" s="14">
        <f>G42*AO42</f>
        <v>0</v>
      </c>
      <c r="J42" s="14">
        <f>G42*AP42</f>
        <v>0</v>
      </c>
      <c r="K42" s="14">
        <f>G42*H42</f>
        <v>0</v>
      </c>
      <c r="L42" s="25" t="s">
        <v>1014</v>
      </c>
      <c r="Z42" s="30">
        <f>IF(AQ42="5",BJ42,0)</f>
        <v>0</v>
      </c>
      <c r="AB42" s="30">
        <f>IF(AQ42="1",BH42,0)</f>
        <v>0</v>
      </c>
      <c r="AC42" s="30">
        <f>IF(AQ42="1",BI42,0)</f>
        <v>0</v>
      </c>
      <c r="AD42" s="30">
        <f>IF(AQ42="7",BH42,0)</f>
        <v>0</v>
      </c>
      <c r="AE42" s="30">
        <f>IF(AQ42="7",BI42,0)</f>
        <v>0</v>
      </c>
      <c r="AF42" s="30">
        <f>IF(AQ42="2",BH42,0)</f>
        <v>0</v>
      </c>
      <c r="AG42" s="30">
        <f>IF(AQ42="2",BI42,0)</f>
        <v>0</v>
      </c>
      <c r="AH42" s="30">
        <f>IF(AQ42="0",BJ42,0)</f>
        <v>0</v>
      </c>
      <c r="AI42" s="24" t="s">
        <v>1024</v>
      </c>
      <c r="AJ42" s="14">
        <f>IF(AN42=0,K42,0)</f>
        <v>0</v>
      </c>
      <c r="AK42" s="14">
        <f>IF(AN42=15,K42,0)</f>
        <v>0</v>
      </c>
      <c r="AL42" s="14">
        <f>IF(AN42=21,K42,0)</f>
        <v>0</v>
      </c>
      <c r="AN42" s="30">
        <v>21</v>
      </c>
      <c r="AO42" s="30">
        <f>H42*0.730561122244489</f>
        <v>0</v>
      </c>
      <c r="AP42" s="30">
        <f>H42*(1-0.730561122244489)</f>
        <v>0</v>
      </c>
      <c r="AQ42" s="25" t="s">
        <v>7</v>
      </c>
      <c r="AV42" s="30">
        <f>AW42+AX42</f>
        <v>0</v>
      </c>
      <c r="AW42" s="30">
        <f>G42*AO42</f>
        <v>0</v>
      </c>
      <c r="AX42" s="30">
        <f>G42*AP42</f>
        <v>0</v>
      </c>
      <c r="AY42" s="31" t="s">
        <v>1033</v>
      </c>
      <c r="AZ42" s="31" t="s">
        <v>1063</v>
      </c>
      <c r="BA42" s="24" t="s">
        <v>1080</v>
      </c>
      <c r="BC42" s="30">
        <f>AW42+AX42</f>
        <v>0</v>
      </c>
      <c r="BD42" s="30">
        <f>H42/(100-BE42)*100</f>
        <v>0</v>
      </c>
      <c r="BE42" s="30">
        <v>0</v>
      </c>
      <c r="BF42" s="30">
        <f>42</f>
        <v>42</v>
      </c>
      <c r="BH42" s="14">
        <f>G42*AO42</f>
        <v>0</v>
      </c>
      <c r="BI42" s="14">
        <f>G42*AP42</f>
        <v>0</v>
      </c>
      <c r="BJ42" s="14">
        <f>G42*H42</f>
        <v>0</v>
      </c>
    </row>
    <row r="43" spans="1:47" ht="12.75">
      <c r="A43" s="3"/>
      <c r="B43" s="11" t="s">
        <v>47</v>
      </c>
      <c r="C43" s="151" t="s">
        <v>672</v>
      </c>
      <c r="D43" s="152"/>
      <c r="E43" s="152"/>
      <c r="F43" s="3" t="s">
        <v>6</v>
      </c>
      <c r="G43" s="3" t="s">
        <v>6</v>
      </c>
      <c r="H43" s="3" t="s">
        <v>6</v>
      </c>
      <c r="I43" s="32">
        <f>SUM(I44:I47)</f>
        <v>0</v>
      </c>
      <c r="J43" s="32">
        <f>SUM(J44:J47)</f>
        <v>0</v>
      </c>
      <c r="K43" s="32">
        <f>SUM(K44:K47)</f>
        <v>0</v>
      </c>
      <c r="L43" s="24"/>
      <c r="AI43" s="24" t="s">
        <v>1024</v>
      </c>
      <c r="AS43" s="32">
        <f>SUM(AJ44:AJ47)</f>
        <v>0</v>
      </c>
      <c r="AT43" s="32">
        <f>SUM(AK44:AK47)</f>
        <v>0</v>
      </c>
      <c r="AU43" s="32">
        <f>SUM(AL44:AL47)</f>
        <v>0</v>
      </c>
    </row>
    <row r="44" spans="1:62" ht="12.75">
      <c r="A44" s="4" t="s">
        <v>29</v>
      </c>
      <c r="B44" s="4" t="s">
        <v>346</v>
      </c>
      <c r="C44" s="153" t="s">
        <v>673</v>
      </c>
      <c r="D44" s="154"/>
      <c r="E44" s="154"/>
      <c r="F44" s="4" t="s">
        <v>992</v>
      </c>
      <c r="G44" s="64">
        <v>1.133</v>
      </c>
      <c r="H44" s="82">
        <v>0</v>
      </c>
      <c r="I44" s="14">
        <f>G44*AO44</f>
        <v>0</v>
      </c>
      <c r="J44" s="14">
        <f>G44*AP44</f>
        <v>0</v>
      </c>
      <c r="K44" s="14">
        <f>G44*H44</f>
        <v>0</v>
      </c>
      <c r="L44" s="25" t="s">
        <v>1014</v>
      </c>
      <c r="Z44" s="30">
        <f>IF(AQ44="5",BJ44,0)</f>
        <v>0</v>
      </c>
      <c r="AB44" s="30">
        <f>IF(AQ44="1",BH44,0)</f>
        <v>0</v>
      </c>
      <c r="AC44" s="30">
        <f>IF(AQ44="1",BI44,0)</f>
        <v>0</v>
      </c>
      <c r="AD44" s="30">
        <f>IF(AQ44="7",BH44,0)</f>
        <v>0</v>
      </c>
      <c r="AE44" s="30">
        <f>IF(AQ44="7",BI44,0)</f>
        <v>0</v>
      </c>
      <c r="AF44" s="30">
        <f>IF(AQ44="2",BH44,0)</f>
        <v>0</v>
      </c>
      <c r="AG44" s="30">
        <f>IF(AQ44="2",BI44,0)</f>
        <v>0</v>
      </c>
      <c r="AH44" s="30">
        <f>IF(AQ44="0",BJ44,0)</f>
        <v>0</v>
      </c>
      <c r="AI44" s="24" t="s">
        <v>1024</v>
      </c>
      <c r="AJ44" s="14">
        <f>IF(AN44=0,K44,0)</f>
        <v>0</v>
      </c>
      <c r="AK44" s="14">
        <f>IF(AN44=15,K44,0)</f>
        <v>0</v>
      </c>
      <c r="AL44" s="14">
        <f>IF(AN44=21,K44,0)</f>
        <v>0</v>
      </c>
      <c r="AN44" s="30">
        <v>21</v>
      </c>
      <c r="AO44" s="30">
        <f>H44*0.79455859036437</f>
        <v>0</v>
      </c>
      <c r="AP44" s="30">
        <f>H44*(1-0.79455859036437)</f>
        <v>0</v>
      </c>
      <c r="AQ44" s="25" t="s">
        <v>7</v>
      </c>
      <c r="AV44" s="30">
        <f>AW44+AX44</f>
        <v>0</v>
      </c>
      <c r="AW44" s="30">
        <f>G44*AO44</f>
        <v>0</v>
      </c>
      <c r="AX44" s="30">
        <f>G44*AP44</f>
        <v>0</v>
      </c>
      <c r="AY44" s="31" t="s">
        <v>1034</v>
      </c>
      <c r="AZ44" s="31" t="s">
        <v>1064</v>
      </c>
      <c r="BA44" s="24" t="s">
        <v>1080</v>
      </c>
      <c r="BC44" s="30">
        <f>AW44+AX44</f>
        <v>0</v>
      </c>
      <c r="BD44" s="30">
        <f>H44/(100-BE44)*100</f>
        <v>0</v>
      </c>
      <c r="BE44" s="30">
        <v>0</v>
      </c>
      <c r="BF44" s="30">
        <f>44</f>
        <v>44</v>
      </c>
      <c r="BH44" s="14">
        <f>G44*AO44</f>
        <v>0</v>
      </c>
      <c r="BI44" s="14">
        <f>G44*AP44</f>
        <v>0</v>
      </c>
      <c r="BJ44" s="14">
        <f>G44*H44</f>
        <v>0</v>
      </c>
    </row>
    <row r="45" spans="1:62" ht="12.75">
      <c r="A45" s="4" t="s">
        <v>30</v>
      </c>
      <c r="B45" s="4" t="s">
        <v>347</v>
      </c>
      <c r="C45" s="153" t="s">
        <v>674</v>
      </c>
      <c r="D45" s="154"/>
      <c r="E45" s="154"/>
      <c r="F45" s="4" t="s">
        <v>995</v>
      </c>
      <c r="G45" s="64">
        <v>27.18</v>
      </c>
      <c r="H45" s="82">
        <v>0</v>
      </c>
      <c r="I45" s="14">
        <f>G45*AO45</f>
        <v>0</v>
      </c>
      <c r="J45" s="14">
        <f>G45*AP45</f>
        <v>0</v>
      </c>
      <c r="K45" s="14">
        <f>G45*H45</f>
        <v>0</v>
      </c>
      <c r="L45" s="25" t="s">
        <v>1014</v>
      </c>
      <c r="Z45" s="30">
        <f>IF(AQ45="5",BJ45,0)</f>
        <v>0</v>
      </c>
      <c r="AB45" s="30">
        <f>IF(AQ45="1",BH45,0)</f>
        <v>0</v>
      </c>
      <c r="AC45" s="30">
        <f>IF(AQ45="1",BI45,0)</f>
        <v>0</v>
      </c>
      <c r="AD45" s="30">
        <f>IF(AQ45="7",BH45,0)</f>
        <v>0</v>
      </c>
      <c r="AE45" s="30">
        <f>IF(AQ45="7",BI45,0)</f>
        <v>0</v>
      </c>
      <c r="AF45" s="30">
        <f>IF(AQ45="2",BH45,0)</f>
        <v>0</v>
      </c>
      <c r="AG45" s="30">
        <f>IF(AQ45="2",BI45,0)</f>
        <v>0</v>
      </c>
      <c r="AH45" s="30">
        <f>IF(AQ45="0",BJ45,0)</f>
        <v>0</v>
      </c>
      <c r="AI45" s="24" t="s">
        <v>1024</v>
      </c>
      <c r="AJ45" s="14">
        <f>IF(AN45=0,K45,0)</f>
        <v>0</v>
      </c>
      <c r="AK45" s="14">
        <f>IF(AN45=15,K45,0)</f>
        <v>0</v>
      </c>
      <c r="AL45" s="14">
        <f>IF(AN45=21,K45,0)</f>
        <v>0</v>
      </c>
      <c r="AN45" s="30">
        <v>21</v>
      </c>
      <c r="AO45" s="30">
        <f>H45*0.261459143968872</f>
        <v>0</v>
      </c>
      <c r="AP45" s="30">
        <f>H45*(1-0.261459143968872)</f>
        <v>0</v>
      </c>
      <c r="AQ45" s="25" t="s">
        <v>7</v>
      </c>
      <c r="AV45" s="30">
        <f>AW45+AX45</f>
        <v>0</v>
      </c>
      <c r="AW45" s="30">
        <f>G45*AO45</f>
        <v>0</v>
      </c>
      <c r="AX45" s="30">
        <f>G45*AP45</f>
        <v>0</v>
      </c>
      <c r="AY45" s="31" t="s">
        <v>1034</v>
      </c>
      <c r="AZ45" s="31" t="s">
        <v>1064</v>
      </c>
      <c r="BA45" s="24" t="s">
        <v>1080</v>
      </c>
      <c r="BC45" s="30">
        <f>AW45+AX45</f>
        <v>0</v>
      </c>
      <c r="BD45" s="30">
        <f>H45/(100-BE45)*100</f>
        <v>0</v>
      </c>
      <c r="BE45" s="30">
        <v>0</v>
      </c>
      <c r="BF45" s="30">
        <f>45</f>
        <v>45</v>
      </c>
      <c r="BH45" s="14">
        <f>G45*AO45</f>
        <v>0</v>
      </c>
      <c r="BI45" s="14">
        <f>G45*AP45</f>
        <v>0</v>
      </c>
      <c r="BJ45" s="14">
        <f>G45*H45</f>
        <v>0</v>
      </c>
    </row>
    <row r="46" spans="1:62" ht="12.75">
      <c r="A46" s="4" t="s">
        <v>31</v>
      </c>
      <c r="B46" s="4" t="s">
        <v>348</v>
      </c>
      <c r="C46" s="153" t="s">
        <v>675</v>
      </c>
      <c r="D46" s="154"/>
      <c r="E46" s="154"/>
      <c r="F46" s="4" t="s">
        <v>995</v>
      </c>
      <c r="G46" s="64">
        <v>27.18</v>
      </c>
      <c r="H46" s="82">
        <v>0</v>
      </c>
      <c r="I46" s="14">
        <f>G46*AO46</f>
        <v>0</v>
      </c>
      <c r="J46" s="14">
        <f>G46*AP46</f>
        <v>0</v>
      </c>
      <c r="K46" s="14">
        <f>G46*H46</f>
        <v>0</v>
      </c>
      <c r="L46" s="25" t="s">
        <v>1014</v>
      </c>
      <c r="Z46" s="30">
        <f>IF(AQ46="5",BJ46,0)</f>
        <v>0</v>
      </c>
      <c r="AB46" s="30">
        <f>IF(AQ46="1",BH46,0)</f>
        <v>0</v>
      </c>
      <c r="AC46" s="30">
        <f>IF(AQ46="1",BI46,0)</f>
        <v>0</v>
      </c>
      <c r="AD46" s="30">
        <f>IF(AQ46="7",BH46,0)</f>
        <v>0</v>
      </c>
      <c r="AE46" s="30">
        <f>IF(AQ46="7",BI46,0)</f>
        <v>0</v>
      </c>
      <c r="AF46" s="30">
        <f>IF(AQ46="2",BH46,0)</f>
        <v>0</v>
      </c>
      <c r="AG46" s="30">
        <f>IF(AQ46="2",BI46,0)</f>
        <v>0</v>
      </c>
      <c r="AH46" s="30">
        <f>IF(AQ46="0",BJ46,0)</f>
        <v>0</v>
      </c>
      <c r="AI46" s="24" t="s">
        <v>1024</v>
      </c>
      <c r="AJ46" s="14">
        <f>IF(AN46=0,K46,0)</f>
        <v>0</v>
      </c>
      <c r="AK46" s="14">
        <f>IF(AN46=15,K46,0)</f>
        <v>0</v>
      </c>
      <c r="AL46" s="14">
        <f>IF(AN46=21,K46,0)</f>
        <v>0</v>
      </c>
      <c r="AN46" s="30">
        <v>21</v>
      </c>
      <c r="AO46" s="30">
        <f>H46*0</f>
        <v>0</v>
      </c>
      <c r="AP46" s="30">
        <f>H46*(1-0)</f>
        <v>0</v>
      </c>
      <c r="AQ46" s="25" t="s">
        <v>7</v>
      </c>
      <c r="AV46" s="30">
        <f>AW46+AX46</f>
        <v>0</v>
      </c>
      <c r="AW46" s="30">
        <f>G46*AO46</f>
        <v>0</v>
      </c>
      <c r="AX46" s="30">
        <f>G46*AP46</f>
        <v>0</v>
      </c>
      <c r="AY46" s="31" t="s">
        <v>1034</v>
      </c>
      <c r="AZ46" s="31" t="s">
        <v>1064</v>
      </c>
      <c r="BA46" s="24" t="s">
        <v>1080</v>
      </c>
      <c r="BC46" s="30">
        <f>AW46+AX46</f>
        <v>0</v>
      </c>
      <c r="BD46" s="30">
        <f>H46/(100-BE46)*100</f>
        <v>0</v>
      </c>
      <c r="BE46" s="30">
        <v>0</v>
      </c>
      <c r="BF46" s="30">
        <f>46</f>
        <v>46</v>
      </c>
      <c r="BH46" s="14">
        <f>G46*AO46</f>
        <v>0</v>
      </c>
      <c r="BI46" s="14">
        <f>G46*AP46</f>
        <v>0</v>
      </c>
      <c r="BJ46" s="14">
        <f>G46*H46</f>
        <v>0</v>
      </c>
    </row>
    <row r="47" spans="1:62" ht="12.75">
      <c r="A47" s="4" t="s">
        <v>32</v>
      </c>
      <c r="B47" s="4" t="s">
        <v>349</v>
      </c>
      <c r="C47" s="153" t="s">
        <v>676</v>
      </c>
      <c r="D47" s="154"/>
      <c r="E47" s="154"/>
      <c r="F47" s="4" t="s">
        <v>994</v>
      </c>
      <c r="G47" s="64">
        <v>0.195</v>
      </c>
      <c r="H47" s="82">
        <v>0</v>
      </c>
      <c r="I47" s="14">
        <f>G47*AO47</f>
        <v>0</v>
      </c>
      <c r="J47" s="14">
        <f>G47*AP47</f>
        <v>0</v>
      </c>
      <c r="K47" s="14">
        <f>G47*H47</f>
        <v>0</v>
      </c>
      <c r="L47" s="25" t="s">
        <v>1014</v>
      </c>
      <c r="Z47" s="30">
        <f>IF(AQ47="5",BJ47,0)</f>
        <v>0</v>
      </c>
      <c r="AB47" s="30">
        <f>IF(AQ47="1",BH47,0)</f>
        <v>0</v>
      </c>
      <c r="AC47" s="30">
        <f>IF(AQ47="1",BI47,0)</f>
        <v>0</v>
      </c>
      <c r="AD47" s="30">
        <f>IF(AQ47="7",BH47,0)</f>
        <v>0</v>
      </c>
      <c r="AE47" s="30">
        <f>IF(AQ47="7",BI47,0)</f>
        <v>0</v>
      </c>
      <c r="AF47" s="30">
        <f>IF(AQ47="2",BH47,0)</f>
        <v>0</v>
      </c>
      <c r="AG47" s="30">
        <f>IF(AQ47="2",BI47,0)</f>
        <v>0</v>
      </c>
      <c r="AH47" s="30">
        <f>IF(AQ47="0",BJ47,0)</f>
        <v>0</v>
      </c>
      <c r="AI47" s="24" t="s">
        <v>1024</v>
      </c>
      <c r="AJ47" s="14">
        <f>IF(AN47=0,K47,0)</f>
        <v>0</v>
      </c>
      <c r="AK47" s="14">
        <f>IF(AN47=15,K47,0)</f>
        <v>0</v>
      </c>
      <c r="AL47" s="14">
        <f>IF(AN47=21,K47,0)</f>
        <v>0</v>
      </c>
      <c r="AN47" s="30">
        <v>21</v>
      </c>
      <c r="AO47" s="30">
        <f>H47*0.674282485875706</f>
        <v>0</v>
      </c>
      <c r="AP47" s="30">
        <f>H47*(1-0.674282485875706)</f>
        <v>0</v>
      </c>
      <c r="AQ47" s="25" t="s">
        <v>7</v>
      </c>
      <c r="AV47" s="30">
        <f>AW47+AX47</f>
        <v>0</v>
      </c>
      <c r="AW47" s="30">
        <f>G47*AO47</f>
        <v>0</v>
      </c>
      <c r="AX47" s="30">
        <f>G47*AP47</f>
        <v>0</v>
      </c>
      <c r="AY47" s="31" t="s">
        <v>1034</v>
      </c>
      <c r="AZ47" s="31" t="s">
        <v>1064</v>
      </c>
      <c r="BA47" s="24" t="s">
        <v>1080</v>
      </c>
      <c r="BC47" s="30">
        <f>AW47+AX47</f>
        <v>0</v>
      </c>
      <c r="BD47" s="30">
        <f>H47/(100-BE47)*100</f>
        <v>0</v>
      </c>
      <c r="BE47" s="30">
        <v>0</v>
      </c>
      <c r="BF47" s="30">
        <f>47</f>
        <v>47</v>
      </c>
      <c r="BH47" s="14">
        <f>G47*AO47</f>
        <v>0</v>
      </c>
      <c r="BI47" s="14">
        <f>G47*AP47</f>
        <v>0</v>
      </c>
      <c r="BJ47" s="14">
        <f>G47*H47</f>
        <v>0</v>
      </c>
    </row>
    <row r="48" spans="1:47" ht="12.75">
      <c r="A48" s="3"/>
      <c r="B48" s="11" t="s">
        <v>62</v>
      </c>
      <c r="C48" s="151" t="s">
        <v>677</v>
      </c>
      <c r="D48" s="152"/>
      <c r="E48" s="152"/>
      <c r="F48" s="3" t="s">
        <v>6</v>
      </c>
      <c r="G48" s="3" t="s">
        <v>6</v>
      </c>
      <c r="H48" s="3" t="s">
        <v>6</v>
      </c>
      <c r="I48" s="32">
        <f>SUM(I49:I51)</f>
        <v>0</v>
      </c>
      <c r="J48" s="32">
        <f>SUM(J49:J51)</f>
        <v>0</v>
      </c>
      <c r="K48" s="32">
        <f>SUM(K49:K51)</f>
        <v>0</v>
      </c>
      <c r="L48" s="24"/>
      <c r="AI48" s="24" t="s">
        <v>1024</v>
      </c>
      <c r="AS48" s="32">
        <f>SUM(AJ49:AJ51)</f>
        <v>0</v>
      </c>
      <c r="AT48" s="32">
        <f>SUM(AK49:AK51)</f>
        <v>0</v>
      </c>
      <c r="AU48" s="32">
        <f>SUM(AL49:AL51)</f>
        <v>0</v>
      </c>
    </row>
    <row r="49" spans="1:62" ht="12.75">
      <c r="A49" s="4" t="s">
        <v>33</v>
      </c>
      <c r="B49" s="4" t="s">
        <v>350</v>
      </c>
      <c r="C49" s="153" t="s">
        <v>678</v>
      </c>
      <c r="D49" s="154"/>
      <c r="E49" s="154"/>
      <c r="F49" s="4" t="s">
        <v>993</v>
      </c>
      <c r="G49" s="64">
        <v>48.568</v>
      </c>
      <c r="H49" s="82">
        <v>0</v>
      </c>
      <c r="I49" s="14">
        <f>G49*AO49</f>
        <v>0</v>
      </c>
      <c r="J49" s="14">
        <f>G49*AP49</f>
        <v>0</v>
      </c>
      <c r="K49" s="14">
        <f>G49*H49</f>
        <v>0</v>
      </c>
      <c r="L49" s="25" t="s">
        <v>1014</v>
      </c>
      <c r="Z49" s="30">
        <f>IF(AQ49="5",BJ49,0)</f>
        <v>0</v>
      </c>
      <c r="AB49" s="30">
        <f>IF(AQ49="1",BH49,0)</f>
        <v>0</v>
      </c>
      <c r="AC49" s="30">
        <f>IF(AQ49="1",BI49,0)</f>
        <v>0</v>
      </c>
      <c r="AD49" s="30">
        <f>IF(AQ49="7",BH49,0)</f>
        <v>0</v>
      </c>
      <c r="AE49" s="30">
        <f>IF(AQ49="7",BI49,0)</f>
        <v>0</v>
      </c>
      <c r="AF49" s="30">
        <f>IF(AQ49="2",BH49,0)</f>
        <v>0</v>
      </c>
      <c r="AG49" s="30">
        <f>IF(AQ49="2",BI49,0)</f>
        <v>0</v>
      </c>
      <c r="AH49" s="30">
        <f>IF(AQ49="0",BJ49,0)</f>
        <v>0</v>
      </c>
      <c r="AI49" s="24" t="s">
        <v>1024</v>
      </c>
      <c r="AJ49" s="14">
        <f>IF(AN49=0,K49,0)</f>
        <v>0</v>
      </c>
      <c r="AK49" s="14">
        <f>IF(AN49=15,K49,0)</f>
        <v>0</v>
      </c>
      <c r="AL49" s="14">
        <f>IF(AN49=21,K49,0)</f>
        <v>0</v>
      </c>
      <c r="AN49" s="30">
        <v>21</v>
      </c>
      <c r="AO49" s="30">
        <f>H49*0.727181582798783</f>
        <v>0</v>
      </c>
      <c r="AP49" s="30">
        <f>H49*(1-0.727181582798783)</f>
        <v>0</v>
      </c>
      <c r="AQ49" s="25" t="s">
        <v>7</v>
      </c>
      <c r="AV49" s="30">
        <f>AW49+AX49</f>
        <v>0</v>
      </c>
      <c r="AW49" s="30">
        <f>G49*AO49</f>
        <v>0</v>
      </c>
      <c r="AX49" s="30">
        <f>G49*AP49</f>
        <v>0</v>
      </c>
      <c r="AY49" s="31" t="s">
        <v>1035</v>
      </c>
      <c r="AZ49" s="31" t="s">
        <v>1065</v>
      </c>
      <c r="BA49" s="24" t="s">
        <v>1080</v>
      </c>
      <c r="BC49" s="30">
        <f>AW49+AX49</f>
        <v>0</v>
      </c>
      <c r="BD49" s="30">
        <f>H49/(100-BE49)*100</f>
        <v>0</v>
      </c>
      <c r="BE49" s="30">
        <v>0</v>
      </c>
      <c r="BF49" s="30">
        <f>49</f>
        <v>49</v>
      </c>
      <c r="BH49" s="14">
        <f>G49*AO49</f>
        <v>0</v>
      </c>
      <c r="BI49" s="14">
        <f>G49*AP49</f>
        <v>0</v>
      </c>
      <c r="BJ49" s="14">
        <f>G49*H49</f>
        <v>0</v>
      </c>
    </row>
    <row r="50" spans="1:62" ht="12.75">
      <c r="A50" s="4" t="s">
        <v>34</v>
      </c>
      <c r="B50" s="4" t="s">
        <v>351</v>
      </c>
      <c r="C50" s="153" t="s">
        <v>679</v>
      </c>
      <c r="D50" s="154"/>
      <c r="E50" s="154"/>
      <c r="F50" s="4" t="s">
        <v>993</v>
      </c>
      <c r="G50" s="64">
        <v>48.568</v>
      </c>
      <c r="H50" s="82">
        <v>0</v>
      </c>
      <c r="I50" s="14">
        <f>G50*AO50</f>
        <v>0</v>
      </c>
      <c r="J50" s="14">
        <f>G50*AP50</f>
        <v>0</v>
      </c>
      <c r="K50" s="14">
        <f>G50*H50</f>
        <v>0</v>
      </c>
      <c r="L50" s="25" t="s">
        <v>1014</v>
      </c>
      <c r="Z50" s="30">
        <f>IF(AQ50="5",BJ50,0)</f>
        <v>0</v>
      </c>
      <c r="AB50" s="30">
        <f>IF(AQ50="1",BH50,0)</f>
        <v>0</v>
      </c>
      <c r="AC50" s="30">
        <f>IF(AQ50="1",BI50,0)</f>
        <v>0</v>
      </c>
      <c r="AD50" s="30">
        <f>IF(AQ50="7",BH50,0)</f>
        <v>0</v>
      </c>
      <c r="AE50" s="30">
        <f>IF(AQ50="7",BI50,0)</f>
        <v>0</v>
      </c>
      <c r="AF50" s="30">
        <f>IF(AQ50="2",BH50,0)</f>
        <v>0</v>
      </c>
      <c r="AG50" s="30">
        <f>IF(AQ50="2",BI50,0)</f>
        <v>0</v>
      </c>
      <c r="AH50" s="30">
        <f>IF(AQ50="0",BJ50,0)</f>
        <v>0</v>
      </c>
      <c r="AI50" s="24" t="s">
        <v>1024</v>
      </c>
      <c r="AJ50" s="14">
        <f>IF(AN50=0,K50,0)</f>
        <v>0</v>
      </c>
      <c r="AK50" s="14">
        <f>IF(AN50=15,K50,0)</f>
        <v>0</v>
      </c>
      <c r="AL50" s="14">
        <f>IF(AN50=21,K50,0)</f>
        <v>0</v>
      </c>
      <c r="AN50" s="30">
        <v>21</v>
      </c>
      <c r="AO50" s="30">
        <f>H50*0.849964912884837</f>
        <v>0</v>
      </c>
      <c r="AP50" s="30">
        <f>H50*(1-0.849964912884837)</f>
        <v>0</v>
      </c>
      <c r="AQ50" s="25" t="s">
        <v>7</v>
      </c>
      <c r="AV50" s="30">
        <f>AW50+AX50</f>
        <v>0</v>
      </c>
      <c r="AW50" s="30">
        <f>G50*AO50</f>
        <v>0</v>
      </c>
      <c r="AX50" s="30">
        <f>G50*AP50</f>
        <v>0</v>
      </c>
      <c r="AY50" s="31" t="s">
        <v>1035</v>
      </c>
      <c r="AZ50" s="31" t="s">
        <v>1065</v>
      </c>
      <c r="BA50" s="24" t="s">
        <v>1080</v>
      </c>
      <c r="BC50" s="30">
        <f>AW50+AX50</f>
        <v>0</v>
      </c>
      <c r="BD50" s="30">
        <f>H50/(100-BE50)*100</f>
        <v>0</v>
      </c>
      <c r="BE50" s="30">
        <v>0</v>
      </c>
      <c r="BF50" s="30">
        <f>50</f>
        <v>50</v>
      </c>
      <c r="BH50" s="14">
        <f>G50*AO50</f>
        <v>0</v>
      </c>
      <c r="BI50" s="14">
        <f>G50*AP50</f>
        <v>0</v>
      </c>
      <c r="BJ50" s="14">
        <f>G50*H50</f>
        <v>0</v>
      </c>
    </row>
    <row r="51" spans="1:62" ht="12.75">
      <c r="A51" s="4" t="s">
        <v>35</v>
      </c>
      <c r="B51" s="4" t="s">
        <v>352</v>
      </c>
      <c r="C51" s="153" t="s">
        <v>680</v>
      </c>
      <c r="D51" s="154"/>
      <c r="E51" s="154"/>
      <c r="F51" s="4" t="s">
        <v>993</v>
      </c>
      <c r="G51" s="64">
        <v>48.568</v>
      </c>
      <c r="H51" s="82">
        <v>0</v>
      </c>
      <c r="I51" s="14">
        <f>G51*AO51</f>
        <v>0</v>
      </c>
      <c r="J51" s="14">
        <f>G51*AP51</f>
        <v>0</v>
      </c>
      <c r="K51" s="14">
        <f>G51*H51</f>
        <v>0</v>
      </c>
      <c r="L51" s="25" t="s">
        <v>1014</v>
      </c>
      <c r="Z51" s="30">
        <f>IF(AQ51="5",BJ51,0)</f>
        <v>0</v>
      </c>
      <c r="AB51" s="30">
        <f>IF(AQ51="1",BH51,0)</f>
        <v>0</v>
      </c>
      <c r="AC51" s="30">
        <f>IF(AQ51="1",BI51,0)</f>
        <v>0</v>
      </c>
      <c r="AD51" s="30">
        <f>IF(AQ51="7",BH51,0)</f>
        <v>0</v>
      </c>
      <c r="AE51" s="30">
        <f>IF(AQ51="7",BI51,0)</f>
        <v>0</v>
      </c>
      <c r="AF51" s="30">
        <f>IF(AQ51="2",BH51,0)</f>
        <v>0</v>
      </c>
      <c r="AG51" s="30">
        <f>IF(AQ51="2",BI51,0)</f>
        <v>0</v>
      </c>
      <c r="AH51" s="30">
        <f>IF(AQ51="0",BJ51,0)</f>
        <v>0</v>
      </c>
      <c r="AI51" s="24" t="s">
        <v>1024</v>
      </c>
      <c r="AJ51" s="14">
        <f>IF(AN51=0,K51,0)</f>
        <v>0</v>
      </c>
      <c r="AK51" s="14">
        <f>IF(AN51=15,K51,0)</f>
        <v>0</v>
      </c>
      <c r="AL51" s="14">
        <f>IF(AN51=21,K51,0)</f>
        <v>0</v>
      </c>
      <c r="AN51" s="30">
        <v>21</v>
      </c>
      <c r="AO51" s="30">
        <f>H51*0.529999549998939</f>
        <v>0</v>
      </c>
      <c r="AP51" s="30">
        <f>H51*(1-0.529999549998939)</f>
        <v>0</v>
      </c>
      <c r="AQ51" s="25" t="s">
        <v>7</v>
      </c>
      <c r="AV51" s="30">
        <f>AW51+AX51</f>
        <v>0</v>
      </c>
      <c r="AW51" s="30">
        <f>G51*AO51</f>
        <v>0</v>
      </c>
      <c r="AX51" s="30">
        <f>G51*AP51</f>
        <v>0</v>
      </c>
      <c r="AY51" s="31" t="s">
        <v>1035</v>
      </c>
      <c r="AZ51" s="31" t="s">
        <v>1065</v>
      </c>
      <c r="BA51" s="24" t="s">
        <v>1080</v>
      </c>
      <c r="BC51" s="30">
        <f>AW51+AX51</f>
        <v>0</v>
      </c>
      <c r="BD51" s="30">
        <f>H51/(100-BE51)*100</f>
        <v>0</v>
      </c>
      <c r="BE51" s="30">
        <v>0</v>
      </c>
      <c r="BF51" s="30">
        <f>51</f>
        <v>51</v>
      </c>
      <c r="BH51" s="14">
        <f>G51*AO51</f>
        <v>0</v>
      </c>
      <c r="BI51" s="14">
        <f>G51*AP51</f>
        <v>0</v>
      </c>
      <c r="BJ51" s="14">
        <f>G51*H51</f>
        <v>0</v>
      </c>
    </row>
    <row r="52" spans="1:47" ht="12.75">
      <c r="A52" s="3"/>
      <c r="B52" s="11" t="s">
        <v>63</v>
      </c>
      <c r="C52" s="151" t="s">
        <v>681</v>
      </c>
      <c r="D52" s="152"/>
      <c r="E52" s="152"/>
      <c r="F52" s="3" t="s">
        <v>6</v>
      </c>
      <c r="G52" s="3" t="s">
        <v>6</v>
      </c>
      <c r="H52" s="3" t="s">
        <v>6</v>
      </c>
      <c r="I52" s="32">
        <f>SUM(I53:I53)</f>
        <v>0</v>
      </c>
      <c r="J52" s="32">
        <f>SUM(J53:J53)</f>
        <v>0</v>
      </c>
      <c r="K52" s="32">
        <f>SUM(K53:K53)</f>
        <v>0</v>
      </c>
      <c r="L52" s="24"/>
      <c r="AI52" s="24" t="s">
        <v>1024</v>
      </c>
      <c r="AS52" s="32">
        <f>SUM(AJ53:AJ53)</f>
        <v>0</v>
      </c>
      <c r="AT52" s="32">
        <f>SUM(AK53:AK53)</f>
        <v>0</v>
      </c>
      <c r="AU52" s="32">
        <f>SUM(AL53:AL53)</f>
        <v>0</v>
      </c>
    </row>
    <row r="53" spans="1:62" ht="12.75">
      <c r="A53" s="4" t="s">
        <v>36</v>
      </c>
      <c r="B53" s="4" t="s">
        <v>353</v>
      </c>
      <c r="C53" s="153" t="s">
        <v>682</v>
      </c>
      <c r="D53" s="154"/>
      <c r="E53" s="154"/>
      <c r="F53" s="4" t="s">
        <v>993</v>
      </c>
      <c r="G53" s="64">
        <v>30</v>
      </c>
      <c r="H53" s="82">
        <v>0</v>
      </c>
      <c r="I53" s="14">
        <f>G53*AO53</f>
        <v>0</v>
      </c>
      <c r="J53" s="14">
        <f>G53*AP53</f>
        <v>0</v>
      </c>
      <c r="K53" s="14">
        <f>G53*H53</f>
        <v>0</v>
      </c>
      <c r="L53" s="25" t="s">
        <v>1014</v>
      </c>
      <c r="Z53" s="30">
        <f>IF(AQ53="5",BJ53,0)</f>
        <v>0</v>
      </c>
      <c r="AB53" s="30">
        <f>IF(AQ53="1",BH53,0)</f>
        <v>0</v>
      </c>
      <c r="AC53" s="30">
        <f>IF(AQ53="1",BI53,0)</f>
        <v>0</v>
      </c>
      <c r="AD53" s="30">
        <f>IF(AQ53="7",BH53,0)</f>
        <v>0</v>
      </c>
      <c r="AE53" s="30">
        <f>IF(AQ53="7",BI53,0)</f>
        <v>0</v>
      </c>
      <c r="AF53" s="30">
        <f>IF(AQ53="2",BH53,0)</f>
        <v>0</v>
      </c>
      <c r="AG53" s="30">
        <f>IF(AQ53="2",BI53,0)</f>
        <v>0</v>
      </c>
      <c r="AH53" s="30">
        <f>IF(AQ53="0",BJ53,0)</f>
        <v>0</v>
      </c>
      <c r="AI53" s="24" t="s">
        <v>1024</v>
      </c>
      <c r="AJ53" s="14">
        <f>IF(AN53=0,K53,0)</f>
        <v>0</v>
      </c>
      <c r="AK53" s="14">
        <f>IF(AN53=15,K53,0)</f>
        <v>0</v>
      </c>
      <c r="AL53" s="14">
        <f>IF(AN53=21,K53,0)</f>
        <v>0</v>
      </c>
      <c r="AN53" s="30">
        <v>21</v>
      </c>
      <c r="AO53" s="30">
        <f>H53*0.740517799352751</f>
        <v>0</v>
      </c>
      <c r="AP53" s="30">
        <f>H53*(1-0.740517799352751)</f>
        <v>0</v>
      </c>
      <c r="AQ53" s="25" t="s">
        <v>7</v>
      </c>
      <c r="AV53" s="30">
        <f>AW53+AX53</f>
        <v>0</v>
      </c>
      <c r="AW53" s="30">
        <f>G53*AO53</f>
        <v>0</v>
      </c>
      <c r="AX53" s="30">
        <f>G53*AP53</f>
        <v>0</v>
      </c>
      <c r="AY53" s="31" t="s">
        <v>1036</v>
      </c>
      <c r="AZ53" s="31" t="s">
        <v>1065</v>
      </c>
      <c r="BA53" s="24" t="s">
        <v>1080</v>
      </c>
      <c r="BC53" s="30">
        <f>AW53+AX53</f>
        <v>0</v>
      </c>
      <c r="BD53" s="30">
        <f>H53/(100-BE53)*100</f>
        <v>0</v>
      </c>
      <c r="BE53" s="30">
        <v>0</v>
      </c>
      <c r="BF53" s="30">
        <f>53</f>
        <v>53</v>
      </c>
      <c r="BH53" s="14">
        <f>G53*AO53</f>
        <v>0</v>
      </c>
      <c r="BI53" s="14">
        <f>G53*AP53</f>
        <v>0</v>
      </c>
      <c r="BJ53" s="14">
        <f>G53*H53</f>
        <v>0</v>
      </c>
    </row>
    <row r="54" spans="1:47" ht="12.75">
      <c r="A54" s="3"/>
      <c r="B54" s="11" t="s">
        <v>65</v>
      </c>
      <c r="C54" s="151" t="s">
        <v>683</v>
      </c>
      <c r="D54" s="152"/>
      <c r="E54" s="152"/>
      <c r="F54" s="3" t="s">
        <v>6</v>
      </c>
      <c r="G54" s="3" t="s">
        <v>6</v>
      </c>
      <c r="H54" s="3" t="s">
        <v>6</v>
      </c>
      <c r="I54" s="32">
        <f>SUM(I55:I56)</f>
        <v>0</v>
      </c>
      <c r="J54" s="32">
        <f>SUM(J55:J56)</f>
        <v>0</v>
      </c>
      <c r="K54" s="32">
        <f>SUM(K55:K56)</f>
        <v>0</v>
      </c>
      <c r="L54" s="24"/>
      <c r="AI54" s="24" t="s">
        <v>1024</v>
      </c>
      <c r="AS54" s="32">
        <f>SUM(AJ55:AJ56)</f>
        <v>0</v>
      </c>
      <c r="AT54" s="32">
        <f>SUM(AK55:AK56)</f>
        <v>0</v>
      </c>
      <c r="AU54" s="32">
        <f>SUM(AL55:AL56)</f>
        <v>0</v>
      </c>
    </row>
    <row r="55" spans="1:62" ht="12.75">
      <c r="A55" s="4" t="s">
        <v>37</v>
      </c>
      <c r="B55" s="4" t="s">
        <v>354</v>
      </c>
      <c r="C55" s="153" t="s">
        <v>684</v>
      </c>
      <c r="D55" s="154"/>
      <c r="E55" s="154"/>
      <c r="F55" s="4" t="s">
        <v>993</v>
      </c>
      <c r="G55" s="64">
        <v>6</v>
      </c>
      <c r="H55" s="82">
        <v>0</v>
      </c>
      <c r="I55" s="14">
        <f>G55*AO55</f>
        <v>0</v>
      </c>
      <c r="J55" s="14">
        <f>G55*AP55</f>
        <v>0</v>
      </c>
      <c r="K55" s="14">
        <f>G55*H55</f>
        <v>0</v>
      </c>
      <c r="L55" s="25" t="s">
        <v>1014</v>
      </c>
      <c r="Z55" s="30">
        <f>IF(AQ55="5",BJ55,0)</f>
        <v>0</v>
      </c>
      <c r="AB55" s="30">
        <f>IF(AQ55="1",BH55,0)</f>
        <v>0</v>
      </c>
      <c r="AC55" s="30">
        <f>IF(AQ55="1",BI55,0)</f>
        <v>0</v>
      </c>
      <c r="AD55" s="30">
        <f>IF(AQ55="7",BH55,0)</f>
        <v>0</v>
      </c>
      <c r="AE55" s="30">
        <f>IF(AQ55="7",BI55,0)</f>
        <v>0</v>
      </c>
      <c r="AF55" s="30">
        <f>IF(AQ55="2",BH55,0)</f>
        <v>0</v>
      </c>
      <c r="AG55" s="30">
        <f>IF(AQ55="2",BI55,0)</f>
        <v>0</v>
      </c>
      <c r="AH55" s="30">
        <f>IF(AQ55="0",BJ55,0)</f>
        <v>0</v>
      </c>
      <c r="AI55" s="24" t="s">
        <v>1024</v>
      </c>
      <c r="AJ55" s="14">
        <f>IF(AN55=0,K55,0)</f>
        <v>0</v>
      </c>
      <c r="AK55" s="14">
        <f>IF(AN55=15,K55,0)</f>
        <v>0</v>
      </c>
      <c r="AL55" s="14">
        <f>IF(AN55=21,K55,0)</f>
        <v>0</v>
      </c>
      <c r="AN55" s="30">
        <v>21</v>
      </c>
      <c r="AO55" s="30">
        <f>H55*0.05</f>
        <v>0</v>
      </c>
      <c r="AP55" s="30">
        <f>H55*(1-0.05)</f>
        <v>0</v>
      </c>
      <c r="AQ55" s="25" t="s">
        <v>7</v>
      </c>
      <c r="AV55" s="30">
        <f>AW55+AX55</f>
        <v>0</v>
      </c>
      <c r="AW55" s="30">
        <f>G55*AO55</f>
        <v>0</v>
      </c>
      <c r="AX55" s="30">
        <f>G55*AP55</f>
        <v>0</v>
      </c>
      <c r="AY55" s="31" t="s">
        <v>1037</v>
      </c>
      <c r="AZ55" s="31" t="s">
        <v>1065</v>
      </c>
      <c r="BA55" s="24" t="s">
        <v>1080</v>
      </c>
      <c r="BC55" s="30">
        <f>AW55+AX55</f>
        <v>0</v>
      </c>
      <c r="BD55" s="30">
        <f>H55/(100-BE55)*100</f>
        <v>0</v>
      </c>
      <c r="BE55" s="30">
        <v>0</v>
      </c>
      <c r="BF55" s="30">
        <f>55</f>
        <v>55</v>
      </c>
      <c r="BH55" s="14">
        <f>G55*AO55</f>
        <v>0</v>
      </c>
      <c r="BI55" s="14">
        <f>G55*AP55</f>
        <v>0</v>
      </c>
      <c r="BJ55" s="14">
        <f>G55*H55</f>
        <v>0</v>
      </c>
    </row>
    <row r="56" spans="1:62" ht="12.75">
      <c r="A56" s="4" t="s">
        <v>38</v>
      </c>
      <c r="B56" s="4" t="s">
        <v>355</v>
      </c>
      <c r="C56" s="153" t="s">
        <v>685</v>
      </c>
      <c r="D56" s="154"/>
      <c r="E56" s="154"/>
      <c r="F56" s="4" t="s">
        <v>993</v>
      </c>
      <c r="G56" s="64">
        <v>48.568</v>
      </c>
      <c r="H56" s="82">
        <v>0</v>
      </c>
      <c r="I56" s="14">
        <f>G56*AO56</f>
        <v>0</v>
      </c>
      <c r="J56" s="14">
        <f>G56*AP56</f>
        <v>0</v>
      </c>
      <c r="K56" s="14">
        <f>G56*H56</f>
        <v>0</v>
      </c>
      <c r="L56" s="25" t="s">
        <v>1014</v>
      </c>
      <c r="Z56" s="30">
        <f>IF(AQ56="5",BJ56,0)</f>
        <v>0</v>
      </c>
      <c r="AB56" s="30">
        <f>IF(AQ56="1",BH56,0)</f>
        <v>0</v>
      </c>
      <c r="AC56" s="30">
        <f>IF(AQ56="1",BI56,0)</f>
        <v>0</v>
      </c>
      <c r="AD56" s="30">
        <f>IF(AQ56="7",BH56,0)</f>
        <v>0</v>
      </c>
      <c r="AE56" s="30">
        <f>IF(AQ56="7",BI56,0)</f>
        <v>0</v>
      </c>
      <c r="AF56" s="30">
        <f>IF(AQ56="2",BH56,0)</f>
        <v>0</v>
      </c>
      <c r="AG56" s="30">
        <f>IF(AQ56="2",BI56,0)</f>
        <v>0</v>
      </c>
      <c r="AH56" s="30">
        <f>IF(AQ56="0",BJ56,0)</f>
        <v>0</v>
      </c>
      <c r="AI56" s="24" t="s">
        <v>1024</v>
      </c>
      <c r="AJ56" s="14">
        <f>IF(AN56=0,K56,0)</f>
        <v>0</v>
      </c>
      <c r="AK56" s="14">
        <f>IF(AN56=15,K56,0)</f>
        <v>0</v>
      </c>
      <c r="AL56" s="14">
        <f>IF(AN56=21,K56,0)</f>
        <v>0</v>
      </c>
      <c r="AN56" s="30">
        <v>21</v>
      </c>
      <c r="AO56" s="30">
        <f>H56*0.7631564862972</f>
        <v>0</v>
      </c>
      <c r="AP56" s="30">
        <f>H56*(1-0.7631564862972)</f>
        <v>0</v>
      </c>
      <c r="AQ56" s="25" t="s">
        <v>7</v>
      </c>
      <c r="AV56" s="30">
        <f>AW56+AX56</f>
        <v>0</v>
      </c>
      <c r="AW56" s="30">
        <f>G56*AO56</f>
        <v>0</v>
      </c>
      <c r="AX56" s="30">
        <f>G56*AP56</f>
        <v>0</v>
      </c>
      <c r="AY56" s="31" t="s">
        <v>1037</v>
      </c>
      <c r="AZ56" s="31" t="s">
        <v>1065</v>
      </c>
      <c r="BA56" s="24" t="s">
        <v>1080</v>
      </c>
      <c r="BC56" s="30">
        <f>AW56+AX56</f>
        <v>0</v>
      </c>
      <c r="BD56" s="30">
        <f>H56/(100-BE56)*100</f>
        <v>0</v>
      </c>
      <c r="BE56" s="30">
        <v>0</v>
      </c>
      <c r="BF56" s="30">
        <f>56</f>
        <v>56</v>
      </c>
      <c r="BH56" s="14">
        <f>G56*AO56</f>
        <v>0</v>
      </c>
      <c r="BI56" s="14">
        <f>G56*AP56</f>
        <v>0</v>
      </c>
      <c r="BJ56" s="14">
        <f>G56*H56</f>
        <v>0</v>
      </c>
    </row>
    <row r="57" spans="1:47" ht="12.75">
      <c r="A57" s="3"/>
      <c r="B57" s="11" t="s">
        <v>67</v>
      </c>
      <c r="C57" s="151" t="s">
        <v>686</v>
      </c>
      <c r="D57" s="152"/>
      <c r="E57" s="152"/>
      <c r="F57" s="3" t="s">
        <v>6</v>
      </c>
      <c r="G57" s="3" t="s">
        <v>6</v>
      </c>
      <c r="H57" s="3" t="s">
        <v>6</v>
      </c>
      <c r="I57" s="32">
        <f>SUM(I58:I61)</f>
        <v>0</v>
      </c>
      <c r="J57" s="32">
        <f>SUM(J58:J61)</f>
        <v>0</v>
      </c>
      <c r="K57" s="32">
        <f>SUM(K58:K61)</f>
        <v>0</v>
      </c>
      <c r="L57" s="24"/>
      <c r="AI57" s="24" t="s">
        <v>1024</v>
      </c>
      <c r="AS57" s="32">
        <f>SUM(AJ58:AJ61)</f>
        <v>0</v>
      </c>
      <c r="AT57" s="32">
        <f>SUM(AK58:AK61)</f>
        <v>0</v>
      </c>
      <c r="AU57" s="32">
        <f>SUM(AL58:AL61)</f>
        <v>0</v>
      </c>
    </row>
    <row r="58" spans="1:62" ht="12.75">
      <c r="A58" s="4" t="s">
        <v>39</v>
      </c>
      <c r="B58" s="4" t="s">
        <v>356</v>
      </c>
      <c r="C58" s="153" t="s">
        <v>687</v>
      </c>
      <c r="D58" s="154"/>
      <c r="E58" s="154"/>
      <c r="F58" s="4" t="s">
        <v>995</v>
      </c>
      <c r="G58" s="64">
        <v>380.48</v>
      </c>
      <c r="H58" s="82">
        <v>0</v>
      </c>
      <c r="I58" s="14">
        <f>G58*AO58</f>
        <v>0</v>
      </c>
      <c r="J58" s="14">
        <f>G58*AP58</f>
        <v>0</v>
      </c>
      <c r="K58" s="14">
        <f>G58*H58</f>
        <v>0</v>
      </c>
      <c r="L58" s="25" t="s">
        <v>1014</v>
      </c>
      <c r="Z58" s="30">
        <f>IF(AQ58="5",BJ58,0)</f>
        <v>0</v>
      </c>
      <c r="AB58" s="30">
        <f>IF(AQ58="1",BH58,0)</f>
        <v>0</v>
      </c>
      <c r="AC58" s="30">
        <f>IF(AQ58="1",BI58,0)</f>
        <v>0</v>
      </c>
      <c r="AD58" s="30">
        <f>IF(AQ58="7",BH58,0)</f>
        <v>0</v>
      </c>
      <c r="AE58" s="30">
        <f>IF(AQ58="7",BI58,0)</f>
        <v>0</v>
      </c>
      <c r="AF58" s="30">
        <f>IF(AQ58="2",BH58,0)</f>
        <v>0</v>
      </c>
      <c r="AG58" s="30">
        <f>IF(AQ58="2",BI58,0)</f>
        <v>0</v>
      </c>
      <c r="AH58" s="30">
        <f>IF(AQ58="0",BJ58,0)</f>
        <v>0</v>
      </c>
      <c r="AI58" s="24" t="s">
        <v>1024</v>
      </c>
      <c r="AJ58" s="14">
        <f>IF(AN58=0,K58,0)</f>
        <v>0</v>
      </c>
      <c r="AK58" s="14">
        <f>IF(AN58=15,K58,0)</f>
        <v>0</v>
      </c>
      <c r="AL58" s="14">
        <f>IF(AN58=21,K58,0)</f>
        <v>0</v>
      </c>
      <c r="AN58" s="30">
        <v>21</v>
      </c>
      <c r="AO58" s="30">
        <f>H58*0.731738035264484</f>
        <v>0</v>
      </c>
      <c r="AP58" s="30">
        <f>H58*(1-0.731738035264484)</f>
        <v>0</v>
      </c>
      <c r="AQ58" s="25" t="s">
        <v>7</v>
      </c>
      <c r="AV58" s="30">
        <f>AW58+AX58</f>
        <v>0</v>
      </c>
      <c r="AW58" s="30">
        <f>G58*AO58</f>
        <v>0</v>
      </c>
      <c r="AX58" s="30">
        <f>G58*AP58</f>
        <v>0</v>
      </c>
      <c r="AY58" s="31" t="s">
        <v>1038</v>
      </c>
      <c r="AZ58" s="31" t="s">
        <v>1066</v>
      </c>
      <c r="BA58" s="24" t="s">
        <v>1080</v>
      </c>
      <c r="BC58" s="30">
        <f>AW58+AX58</f>
        <v>0</v>
      </c>
      <c r="BD58" s="30">
        <f>H58/(100-BE58)*100</f>
        <v>0</v>
      </c>
      <c r="BE58" s="30">
        <v>0</v>
      </c>
      <c r="BF58" s="30">
        <f>58</f>
        <v>58</v>
      </c>
      <c r="BH58" s="14">
        <f>G58*AO58</f>
        <v>0</v>
      </c>
      <c r="BI58" s="14">
        <f>G58*AP58</f>
        <v>0</v>
      </c>
      <c r="BJ58" s="14">
        <f>G58*H58</f>
        <v>0</v>
      </c>
    </row>
    <row r="59" spans="1:62" ht="12.75">
      <c r="A59" s="4" t="s">
        <v>40</v>
      </c>
      <c r="B59" s="4" t="s">
        <v>357</v>
      </c>
      <c r="C59" s="153" t="s">
        <v>688</v>
      </c>
      <c r="D59" s="154"/>
      <c r="E59" s="154"/>
      <c r="F59" s="4" t="s">
        <v>995</v>
      </c>
      <c r="G59" s="64">
        <v>145.3</v>
      </c>
      <c r="H59" s="82">
        <v>0</v>
      </c>
      <c r="I59" s="14">
        <f>G59*AO59</f>
        <v>0</v>
      </c>
      <c r="J59" s="14">
        <f>G59*AP59</f>
        <v>0</v>
      </c>
      <c r="K59" s="14">
        <f>G59*H59</f>
        <v>0</v>
      </c>
      <c r="L59" s="25" t="s">
        <v>1014</v>
      </c>
      <c r="Z59" s="30">
        <f>IF(AQ59="5",BJ59,0)</f>
        <v>0</v>
      </c>
      <c r="AB59" s="30">
        <f>IF(AQ59="1",BH59,0)</f>
        <v>0</v>
      </c>
      <c r="AC59" s="30">
        <f>IF(AQ59="1",BI59,0)</f>
        <v>0</v>
      </c>
      <c r="AD59" s="30">
        <f>IF(AQ59="7",BH59,0)</f>
        <v>0</v>
      </c>
      <c r="AE59" s="30">
        <f>IF(AQ59="7",BI59,0)</f>
        <v>0</v>
      </c>
      <c r="AF59" s="30">
        <f>IF(AQ59="2",BH59,0)</f>
        <v>0</v>
      </c>
      <c r="AG59" s="30">
        <f>IF(AQ59="2",BI59,0)</f>
        <v>0</v>
      </c>
      <c r="AH59" s="30">
        <f>IF(AQ59="0",BJ59,0)</f>
        <v>0</v>
      </c>
      <c r="AI59" s="24" t="s">
        <v>1024</v>
      </c>
      <c r="AJ59" s="14">
        <f>IF(AN59=0,K59,0)</f>
        <v>0</v>
      </c>
      <c r="AK59" s="14">
        <f>IF(AN59=15,K59,0)</f>
        <v>0</v>
      </c>
      <c r="AL59" s="14">
        <f>IF(AN59=21,K59,0)</f>
        <v>0</v>
      </c>
      <c r="AN59" s="30">
        <v>21</v>
      </c>
      <c r="AO59" s="30">
        <f>H59*0.731730769230769</f>
        <v>0</v>
      </c>
      <c r="AP59" s="30">
        <f>H59*(1-0.731730769230769)</f>
        <v>0</v>
      </c>
      <c r="AQ59" s="25" t="s">
        <v>7</v>
      </c>
      <c r="AV59" s="30">
        <f>AW59+AX59</f>
        <v>0</v>
      </c>
      <c r="AW59" s="30">
        <f>G59*AO59</f>
        <v>0</v>
      </c>
      <c r="AX59" s="30">
        <f>G59*AP59</f>
        <v>0</v>
      </c>
      <c r="AY59" s="31" t="s">
        <v>1038</v>
      </c>
      <c r="AZ59" s="31" t="s">
        <v>1066</v>
      </c>
      <c r="BA59" s="24" t="s">
        <v>1080</v>
      </c>
      <c r="BC59" s="30">
        <f>AW59+AX59</f>
        <v>0</v>
      </c>
      <c r="BD59" s="30">
        <f>H59/(100-BE59)*100</f>
        <v>0</v>
      </c>
      <c r="BE59" s="30">
        <v>0</v>
      </c>
      <c r="BF59" s="30">
        <f>59</f>
        <v>59</v>
      </c>
      <c r="BH59" s="14">
        <f>G59*AO59</f>
        <v>0</v>
      </c>
      <c r="BI59" s="14">
        <f>G59*AP59</f>
        <v>0</v>
      </c>
      <c r="BJ59" s="14">
        <f>G59*H59</f>
        <v>0</v>
      </c>
    </row>
    <row r="60" spans="1:62" ht="12.75">
      <c r="A60" s="4" t="s">
        <v>41</v>
      </c>
      <c r="B60" s="4" t="s">
        <v>358</v>
      </c>
      <c r="C60" s="153" t="s">
        <v>689</v>
      </c>
      <c r="D60" s="154"/>
      <c r="E60" s="154"/>
      <c r="F60" s="4" t="s">
        <v>993</v>
      </c>
      <c r="G60" s="64">
        <v>208.969</v>
      </c>
      <c r="H60" s="82">
        <v>0</v>
      </c>
      <c r="I60" s="14">
        <f>G60*AO60</f>
        <v>0</v>
      </c>
      <c r="J60" s="14">
        <f>G60*AP60</f>
        <v>0</v>
      </c>
      <c r="K60" s="14">
        <f>G60*H60</f>
        <v>0</v>
      </c>
      <c r="L60" s="25" t="s">
        <v>1014</v>
      </c>
      <c r="Z60" s="30">
        <f>IF(AQ60="5",BJ60,0)</f>
        <v>0</v>
      </c>
      <c r="AB60" s="30">
        <f>IF(AQ60="1",BH60,0)</f>
        <v>0</v>
      </c>
      <c r="AC60" s="30">
        <f>IF(AQ60="1",BI60,0)</f>
        <v>0</v>
      </c>
      <c r="AD60" s="30">
        <f>IF(AQ60="7",BH60,0)</f>
        <v>0</v>
      </c>
      <c r="AE60" s="30">
        <f>IF(AQ60="7",BI60,0)</f>
        <v>0</v>
      </c>
      <c r="AF60" s="30">
        <f>IF(AQ60="2",BH60,0)</f>
        <v>0</v>
      </c>
      <c r="AG60" s="30">
        <f>IF(AQ60="2",BI60,0)</f>
        <v>0</v>
      </c>
      <c r="AH60" s="30">
        <f>IF(AQ60="0",BJ60,0)</f>
        <v>0</v>
      </c>
      <c r="AI60" s="24" t="s">
        <v>1024</v>
      </c>
      <c r="AJ60" s="14">
        <f>IF(AN60=0,K60,0)</f>
        <v>0</v>
      </c>
      <c r="AK60" s="14">
        <f>IF(AN60=15,K60,0)</f>
        <v>0</v>
      </c>
      <c r="AL60" s="14">
        <f>IF(AN60=21,K60,0)</f>
        <v>0</v>
      </c>
      <c r="AN60" s="30">
        <v>21</v>
      </c>
      <c r="AO60" s="30">
        <f>H60*0.320145735186166</f>
        <v>0</v>
      </c>
      <c r="AP60" s="30">
        <f>H60*(1-0.320145735186166)</f>
        <v>0</v>
      </c>
      <c r="AQ60" s="25" t="s">
        <v>7</v>
      </c>
      <c r="AV60" s="30">
        <f>AW60+AX60</f>
        <v>0</v>
      </c>
      <c r="AW60" s="30">
        <f>G60*AO60</f>
        <v>0</v>
      </c>
      <c r="AX60" s="30">
        <f>G60*AP60</f>
        <v>0</v>
      </c>
      <c r="AY60" s="31" t="s">
        <v>1038</v>
      </c>
      <c r="AZ60" s="31" t="s">
        <v>1066</v>
      </c>
      <c r="BA60" s="24" t="s">
        <v>1080</v>
      </c>
      <c r="BC60" s="30">
        <f>AW60+AX60</f>
        <v>0</v>
      </c>
      <c r="BD60" s="30">
        <f>H60/(100-BE60)*100</f>
        <v>0</v>
      </c>
      <c r="BE60" s="30">
        <v>0</v>
      </c>
      <c r="BF60" s="30">
        <f>60</f>
        <v>60</v>
      </c>
      <c r="BH60" s="14">
        <f>G60*AO60</f>
        <v>0</v>
      </c>
      <c r="BI60" s="14">
        <f>G60*AP60</f>
        <v>0</v>
      </c>
      <c r="BJ60" s="14">
        <f>G60*H60</f>
        <v>0</v>
      </c>
    </row>
    <row r="61" spans="1:62" ht="12.75">
      <c r="A61" s="4" t="s">
        <v>42</v>
      </c>
      <c r="B61" s="4" t="s">
        <v>359</v>
      </c>
      <c r="C61" s="153" t="s">
        <v>690</v>
      </c>
      <c r="D61" s="154"/>
      <c r="E61" s="154"/>
      <c r="F61" s="4" t="s">
        <v>993</v>
      </c>
      <c r="G61" s="64">
        <v>53.46</v>
      </c>
      <c r="H61" s="82">
        <v>0</v>
      </c>
      <c r="I61" s="14">
        <f>G61*AO61</f>
        <v>0</v>
      </c>
      <c r="J61" s="14">
        <f>G61*AP61</f>
        <v>0</v>
      </c>
      <c r="K61" s="14">
        <f>G61*H61</f>
        <v>0</v>
      </c>
      <c r="L61" s="25" t="s">
        <v>1014</v>
      </c>
      <c r="Z61" s="30">
        <f>IF(AQ61="5",BJ61,0)</f>
        <v>0</v>
      </c>
      <c r="AB61" s="30">
        <f>IF(AQ61="1",BH61,0)</f>
        <v>0</v>
      </c>
      <c r="AC61" s="30">
        <f>IF(AQ61="1",BI61,0)</f>
        <v>0</v>
      </c>
      <c r="AD61" s="30">
        <f>IF(AQ61="7",BH61,0)</f>
        <v>0</v>
      </c>
      <c r="AE61" s="30">
        <f>IF(AQ61="7",BI61,0)</f>
        <v>0</v>
      </c>
      <c r="AF61" s="30">
        <f>IF(AQ61="2",BH61,0)</f>
        <v>0</v>
      </c>
      <c r="AG61" s="30">
        <f>IF(AQ61="2",BI61,0)</f>
        <v>0</v>
      </c>
      <c r="AH61" s="30">
        <f>IF(AQ61="0",BJ61,0)</f>
        <v>0</v>
      </c>
      <c r="AI61" s="24" t="s">
        <v>1024</v>
      </c>
      <c r="AJ61" s="14">
        <f>IF(AN61=0,K61,0)</f>
        <v>0</v>
      </c>
      <c r="AK61" s="14">
        <f>IF(AN61=15,K61,0)</f>
        <v>0</v>
      </c>
      <c r="AL61" s="14">
        <f>IF(AN61=21,K61,0)</f>
        <v>0</v>
      </c>
      <c r="AN61" s="30">
        <v>21</v>
      </c>
      <c r="AO61" s="30">
        <f>H61*0.532623625384369</f>
        <v>0</v>
      </c>
      <c r="AP61" s="30">
        <f>H61*(1-0.532623625384369)</f>
        <v>0</v>
      </c>
      <c r="AQ61" s="25" t="s">
        <v>7</v>
      </c>
      <c r="AV61" s="30">
        <f>AW61+AX61</f>
        <v>0</v>
      </c>
      <c r="AW61" s="30">
        <f>G61*AO61</f>
        <v>0</v>
      </c>
      <c r="AX61" s="30">
        <f>G61*AP61</f>
        <v>0</v>
      </c>
      <c r="AY61" s="31" t="s">
        <v>1038</v>
      </c>
      <c r="AZ61" s="31" t="s">
        <v>1066</v>
      </c>
      <c r="BA61" s="24" t="s">
        <v>1080</v>
      </c>
      <c r="BC61" s="30">
        <f>AW61+AX61</f>
        <v>0</v>
      </c>
      <c r="BD61" s="30">
        <f>H61/(100-BE61)*100</f>
        <v>0</v>
      </c>
      <c r="BE61" s="30">
        <v>0</v>
      </c>
      <c r="BF61" s="30">
        <f>61</f>
        <v>61</v>
      </c>
      <c r="BH61" s="14">
        <f>G61*AO61</f>
        <v>0</v>
      </c>
      <c r="BI61" s="14">
        <f>G61*AP61</f>
        <v>0</v>
      </c>
      <c r="BJ61" s="14">
        <f>G61*H61</f>
        <v>0</v>
      </c>
    </row>
    <row r="62" spans="3:5" ht="12.75">
      <c r="C62" s="155" t="s">
        <v>691</v>
      </c>
      <c r="D62" s="156"/>
      <c r="E62" s="156"/>
    </row>
    <row r="63" spans="1:47" ht="12.75">
      <c r="A63" s="3"/>
      <c r="B63" s="11" t="s">
        <v>68</v>
      </c>
      <c r="C63" s="151" t="s">
        <v>692</v>
      </c>
      <c r="D63" s="152"/>
      <c r="E63" s="152"/>
      <c r="F63" s="3" t="s">
        <v>6</v>
      </c>
      <c r="G63" s="3" t="s">
        <v>6</v>
      </c>
      <c r="H63" s="3" t="s">
        <v>6</v>
      </c>
      <c r="I63" s="32">
        <f>SUM(I64:I84)</f>
        <v>0</v>
      </c>
      <c r="J63" s="32">
        <f>SUM(J64:J84)</f>
        <v>0</v>
      </c>
      <c r="K63" s="32">
        <f>SUM(K64:K84)</f>
        <v>0</v>
      </c>
      <c r="L63" s="24"/>
      <c r="AI63" s="24" t="s">
        <v>1024</v>
      </c>
      <c r="AS63" s="32">
        <f>SUM(AJ64:AJ84)</f>
        <v>0</v>
      </c>
      <c r="AT63" s="32">
        <f>SUM(AK64:AK84)</f>
        <v>0</v>
      </c>
      <c r="AU63" s="32">
        <f>SUM(AL64:AL84)</f>
        <v>0</v>
      </c>
    </row>
    <row r="64" spans="1:62" ht="12.75">
      <c r="A64" s="4" t="s">
        <v>43</v>
      </c>
      <c r="B64" s="4" t="s">
        <v>360</v>
      </c>
      <c r="C64" s="153" t="s">
        <v>693</v>
      </c>
      <c r="D64" s="154"/>
      <c r="E64" s="154"/>
      <c r="F64" s="4" t="s">
        <v>993</v>
      </c>
      <c r="G64" s="64">
        <v>208.969</v>
      </c>
      <c r="H64" s="82">
        <v>0</v>
      </c>
      <c r="I64" s="14">
        <f aca="true" t="shared" si="0" ref="I64:I84">G64*AO64</f>
        <v>0</v>
      </c>
      <c r="J64" s="14">
        <f aca="true" t="shared" si="1" ref="J64:J84">G64*AP64</f>
        <v>0</v>
      </c>
      <c r="K64" s="14">
        <f aca="true" t="shared" si="2" ref="K64:K84">G64*H64</f>
        <v>0</v>
      </c>
      <c r="L64" s="25" t="s">
        <v>1014</v>
      </c>
      <c r="Z64" s="30">
        <f aca="true" t="shared" si="3" ref="Z64:Z84">IF(AQ64="5",BJ64,0)</f>
        <v>0</v>
      </c>
      <c r="AB64" s="30">
        <f aca="true" t="shared" si="4" ref="AB64:AB84">IF(AQ64="1",BH64,0)</f>
        <v>0</v>
      </c>
      <c r="AC64" s="30">
        <f aca="true" t="shared" si="5" ref="AC64:AC84">IF(AQ64="1",BI64,0)</f>
        <v>0</v>
      </c>
      <c r="AD64" s="30">
        <f aca="true" t="shared" si="6" ref="AD64:AD84">IF(AQ64="7",BH64,0)</f>
        <v>0</v>
      </c>
      <c r="AE64" s="30">
        <f aca="true" t="shared" si="7" ref="AE64:AE84">IF(AQ64="7",BI64,0)</f>
        <v>0</v>
      </c>
      <c r="AF64" s="30">
        <f aca="true" t="shared" si="8" ref="AF64:AF84">IF(AQ64="2",BH64,0)</f>
        <v>0</v>
      </c>
      <c r="AG64" s="30">
        <f aca="true" t="shared" si="9" ref="AG64:AG84">IF(AQ64="2",BI64,0)</f>
        <v>0</v>
      </c>
      <c r="AH64" s="30">
        <f aca="true" t="shared" si="10" ref="AH64:AH84">IF(AQ64="0",BJ64,0)</f>
        <v>0</v>
      </c>
      <c r="AI64" s="24" t="s">
        <v>1024</v>
      </c>
      <c r="AJ64" s="14">
        <f aca="true" t="shared" si="11" ref="AJ64:AJ84">IF(AN64=0,K64,0)</f>
        <v>0</v>
      </c>
      <c r="AK64" s="14">
        <f aca="true" t="shared" si="12" ref="AK64:AK84">IF(AN64=15,K64,0)</f>
        <v>0</v>
      </c>
      <c r="AL64" s="14">
        <f aca="true" t="shared" si="13" ref="AL64:AL84">IF(AN64=21,K64,0)</f>
        <v>0</v>
      </c>
      <c r="AN64" s="30">
        <v>21</v>
      </c>
      <c r="AO64" s="30">
        <f>H64*0.320145735186166</f>
        <v>0</v>
      </c>
      <c r="AP64" s="30">
        <f>H64*(1-0.320145735186166)</f>
        <v>0</v>
      </c>
      <c r="AQ64" s="25" t="s">
        <v>7</v>
      </c>
      <c r="AV64" s="30">
        <f aca="true" t="shared" si="14" ref="AV64:AV84">AW64+AX64</f>
        <v>0</v>
      </c>
      <c r="AW64" s="30">
        <f aca="true" t="shared" si="15" ref="AW64:AW84">G64*AO64</f>
        <v>0</v>
      </c>
      <c r="AX64" s="30">
        <f aca="true" t="shared" si="16" ref="AX64:AX84">G64*AP64</f>
        <v>0</v>
      </c>
      <c r="AY64" s="31" t="s">
        <v>1039</v>
      </c>
      <c r="AZ64" s="31" t="s">
        <v>1066</v>
      </c>
      <c r="BA64" s="24" t="s">
        <v>1080</v>
      </c>
      <c r="BC64" s="30">
        <f aca="true" t="shared" si="17" ref="BC64:BC84">AW64+AX64</f>
        <v>0</v>
      </c>
      <c r="BD64" s="30">
        <f aca="true" t="shared" si="18" ref="BD64:BD84">H64/(100-BE64)*100</f>
        <v>0</v>
      </c>
      <c r="BE64" s="30">
        <v>0</v>
      </c>
      <c r="BF64" s="30">
        <f>64</f>
        <v>64</v>
      </c>
      <c r="BH64" s="14">
        <f aca="true" t="shared" si="19" ref="BH64:BH84">G64*AO64</f>
        <v>0</v>
      </c>
      <c r="BI64" s="14">
        <f aca="true" t="shared" si="20" ref="BI64:BI84">G64*AP64</f>
        <v>0</v>
      </c>
      <c r="BJ64" s="14">
        <f aca="true" t="shared" si="21" ref="BJ64:BJ84">G64*H64</f>
        <v>0</v>
      </c>
    </row>
    <row r="65" spans="1:62" ht="12.75">
      <c r="A65" s="4" t="s">
        <v>44</v>
      </c>
      <c r="B65" s="4" t="s">
        <v>361</v>
      </c>
      <c r="C65" s="153" t="s">
        <v>694</v>
      </c>
      <c r="D65" s="154"/>
      <c r="E65" s="154"/>
      <c r="F65" s="4" t="s">
        <v>991</v>
      </c>
      <c r="G65" s="64">
        <v>1</v>
      </c>
      <c r="H65" s="82">
        <v>0</v>
      </c>
      <c r="I65" s="14">
        <f t="shared" si="0"/>
        <v>0</v>
      </c>
      <c r="J65" s="14">
        <f t="shared" si="1"/>
        <v>0</v>
      </c>
      <c r="K65" s="14">
        <f t="shared" si="2"/>
        <v>0</v>
      </c>
      <c r="L65" s="25" t="s">
        <v>1014</v>
      </c>
      <c r="Z65" s="30">
        <f t="shared" si="3"/>
        <v>0</v>
      </c>
      <c r="AB65" s="30">
        <f t="shared" si="4"/>
        <v>0</v>
      </c>
      <c r="AC65" s="30">
        <f t="shared" si="5"/>
        <v>0</v>
      </c>
      <c r="AD65" s="30">
        <f t="shared" si="6"/>
        <v>0</v>
      </c>
      <c r="AE65" s="30">
        <f t="shared" si="7"/>
        <v>0</v>
      </c>
      <c r="AF65" s="30">
        <f t="shared" si="8"/>
        <v>0</v>
      </c>
      <c r="AG65" s="30">
        <f t="shared" si="9"/>
        <v>0</v>
      </c>
      <c r="AH65" s="30">
        <f t="shared" si="10"/>
        <v>0</v>
      </c>
      <c r="AI65" s="24" t="s">
        <v>1024</v>
      </c>
      <c r="AJ65" s="14">
        <f t="shared" si="11"/>
        <v>0</v>
      </c>
      <c r="AK65" s="14">
        <f t="shared" si="12"/>
        <v>0</v>
      </c>
      <c r="AL65" s="14">
        <f t="shared" si="13"/>
        <v>0</v>
      </c>
      <c r="AN65" s="30">
        <v>21</v>
      </c>
      <c r="AO65" s="30">
        <f>H65*0.419835680751174</f>
        <v>0</v>
      </c>
      <c r="AP65" s="30">
        <f>H65*(1-0.419835680751174)</f>
        <v>0</v>
      </c>
      <c r="AQ65" s="25" t="s">
        <v>7</v>
      </c>
      <c r="AV65" s="30">
        <f t="shared" si="14"/>
        <v>0</v>
      </c>
      <c r="AW65" s="30">
        <f t="shared" si="15"/>
        <v>0</v>
      </c>
      <c r="AX65" s="30">
        <f t="shared" si="16"/>
        <v>0</v>
      </c>
      <c r="AY65" s="31" t="s">
        <v>1039</v>
      </c>
      <c r="AZ65" s="31" t="s">
        <v>1066</v>
      </c>
      <c r="BA65" s="24" t="s">
        <v>1080</v>
      </c>
      <c r="BC65" s="30">
        <f t="shared" si="17"/>
        <v>0</v>
      </c>
      <c r="BD65" s="30">
        <f t="shared" si="18"/>
        <v>0</v>
      </c>
      <c r="BE65" s="30">
        <v>0</v>
      </c>
      <c r="BF65" s="30">
        <f>65</f>
        <v>65</v>
      </c>
      <c r="BH65" s="14">
        <f t="shared" si="19"/>
        <v>0</v>
      </c>
      <c r="BI65" s="14">
        <f t="shared" si="20"/>
        <v>0</v>
      </c>
      <c r="BJ65" s="14">
        <f t="shared" si="21"/>
        <v>0</v>
      </c>
    </row>
    <row r="66" spans="1:62" ht="12.75">
      <c r="A66" s="4" t="s">
        <v>45</v>
      </c>
      <c r="B66" s="4" t="s">
        <v>362</v>
      </c>
      <c r="C66" s="153" t="s">
        <v>695</v>
      </c>
      <c r="D66" s="154"/>
      <c r="E66" s="154"/>
      <c r="F66" s="4" t="s">
        <v>993</v>
      </c>
      <c r="G66" s="64">
        <v>9.5</v>
      </c>
      <c r="H66" s="82">
        <v>0</v>
      </c>
      <c r="I66" s="14">
        <f t="shared" si="0"/>
        <v>0</v>
      </c>
      <c r="J66" s="14">
        <f t="shared" si="1"/>
        <v>0</v>
      </c>
      <c r="K66" s="14">
        <f t="shared" si="2"/>
        <v>0</v>
      </c>
      <c r="L66" s="25" t="s">
        <v>1014</v>
      </c>
      <c r="Z66" s="30">
        <f t="shared" si="3"/>
        <v>0</v>
      </c>
      <c r="AB66" s="30">
        <f t="shared" si="4"/>
        <v>0</v>
      </c>
      <c r="AC66" s="30">
        <f t="shared" si="5"/>
        <v>0</v>
      </c>
      <c r="AD66" s="30">
        <f t="shared" si="6"/>
        <v>0</v>
      </c>
      <c r="AE66" s="30">
        <f t="shared" si="7"/>
        <v>0</v>
      </c>
      <c r="AF66" s="30">
        <f t="shared" si="8"/>
        <v>0</v>
      </c>
      <c r="AG66" s="30">
        <f t="shared" si="9"/>
        <v>0</v>
      </c>
      <c r="AH66" s="30">
        <f t="shared" si="10"/>
        <v>0</v>
      </c>
      <c r="AI66" s="24" t="s">
        <v>1024</v>
      </c>
      <c r="AJ66" s="14">
        <f t="shared" si="11"/>
        <v>0</v>
      </c>
      <c r="AK66" s="14">
        <f t="shared" si="12"/>
        <v>0</v>
      </c>
      <c r="AL66" s="14">
        <f t="shared" si="13"/>
        <v>0</v>
      </c>
      <c r="AN66" s="30">
        <v>21</v>
      </c>
      <c r="AO66" s="30">
        <f>H66*0.162635658914729</f>
        <v>0</v>
      </c>
      <c r="AP66" s="30">
        <f>H66*(1-0.162635658914729)</f>
        <v>0</v>
      </c>
      <c r="AQ66" s="25" t="s">
        <v>7</v>
      </c>
      <c r="AV66" s="30">
        <f t="shared" si="14"/>
        <v>0</v>
      </c>
      <c r="AW66" s="30">
        <f t="shared" si="15"/>
        <v>0</v>
      </c>
      <c r="AX66" s="30">
        <f t="shared" si="16"/>
        <v>0</v>
      </c>
      <c r="AY66" s="31" t="s">
        <v>1039</v>
      </c>
      <c r="AZ66" s="31" t="s">
        <v>1066</v>
      </c>
      <c r="BA66" s="24" t="s">
        <v>1080</v>
      </c>
      <c r="BC66" s="30">
        <f t="shared" si="17"/>
        <v>0</v>
      </c>
      <c r="BD66" s="30">
        <f t="shared" si="18"/>
        <v>0</v>
      </c>
      <c r="BE66" s="30">
        <v>0</v>
      </c>
      <c r="BF66" s="30">
        <f>66</f>
        <v>66</v>
      </c>
      <c r="BH66" s="14">
        <f t="shared" si="19"/>
        <v>0</v>
      </c>
      <c r="BI66" s="14">
        <f t="shared" si="20"/>
        <v>0</v>
      </c>
      <c r="BJ66" s="14">
        <f t="shared" si="21"/>
        <v>0</v>
      </c>
    </row>
    <row r="67" spans="1:62" ht="12.75">
      <c r="A67" s="4" t="s">
        <v>46</v>
      </c>
      <c r="B67" s="4" t="s">
        <v>363</v>
      </c>
      <c r="C67" s="153" t="s">
        <v>696</v>
      </c>
      <c r="D67" s="154"/>
      <c r="E67" s="154"/>
      <c r="F67" s="4" t="s">
        <v>993</v>
      </c>
      <c r="G67" s="64">
        <v>967.602</v>
      </c>
      <c r="H67" s="82">
        <v>0</v>
      </c>
      <c r="I67" s="14">
        <f t="shared" si="0"/>
        <v>0</v>
      </c>
      <c r="J67" s="14">
        <f t="shared" si="1"/>
        <v>0</v>
      </c>
      <c r="K67" s="14">
        <f t="shared" si="2"/>
        <v>0</v>
      </c>
      <c r="L67" s="25" t="s">
        <v>1014</v>
      </c>
      <c r="Z67" s="30">
        <f t="shared" si="3"/>
        <v>0</v>
      </c>
      <c r="AB67" s="30">
        <f t="shared" si="4"/>
        <v>0</v>
      </c>
      <c r="AC67" s="30">
        <f t="shared" si="5"/>
        <v>0</v>
      </c>
      <c r="AD67" s="30">
        <f t="shared" si="6"/>
        <v>0</v>
      </c>
      <c r="AE67" s="30">
        <f t="shared" si="7"/>
        <v>0</v>
      </c>
      <c r="AF67" s="30">
        <f t="shared" si="8"/>
        <v>0</v>
      </c>
      <c r="AG67" s="30">
        <f t="shared" si="9"/>
        <v>0</v>
      </c>
      <c r="AH67" s="30">
        <f t="shared" si="10"/>
        <v>0</v>
      </c>
      <c r="AI67" s="24" t="s">
        <v>1024</v>
      </c>
      <c r="AJ67" s="14">
        <f t="shared" si="11"/>
        <v>0</v>
      </c>
      <c r="AK67" s="14">
        <f t="shared" si="12"/>
        <v>0</v>
      </c>
      <c r="AL67" s="14">
        <f t="shared" si="13"/>
        <v>0</v>
      </c>
      <c r="AN67" s="30">
        <v>21</v>
      </c>
      <c r="AO67" s="30">
        <f>H67*0.578269345778519</f>
        <v>0</v>
      </c>
      <c r="AP67" s="30">
        <f>H67*(1-0.578269345778519)</f>
        <v>0</v>
      </c>
      <c r="AQ67" s="25" t="s">
        <v>7</v>
      </c>
      <c r="AV67" s="30">
        <f t="shared" si="14"/>
        <v>0</v>
      </c>
      <c r="AW67" s="30">
        <f t="shared" si="15"/>
        <v>0</v>
      </c>
      <c r="AX67" s="30">
        <f t="shared" si="16"/>
        <v>0</v>
      </c>
      <c r="AY67" s="31" t="s">
        <v>1039</v>
      </c>
      <c r="AZ67" s="31" t="s">
        <v>1066</v>
      </c>
      <c r="BA67" s="24" t="s">
        <v>1080</v>
      </c>
      <c r="BC67" s="30">
        <f t="shared" si="17"/>
        <v>0</v>
      </c>
      <c r="BD67" s="30">
        <f t="shared" si="18"/>
        <v>0</v>
      </c>
      <c r="BE67" s="30">
        <v>0</v>
      </c>
      <c r="BF67" s="30">
        <f>67</f>
        <v>67</v>
      </c>
      <c r="BH67" s="14">
        <f t="shared" si="19"/>
        <v>0</v>
      </c>
      <c r="BI67" s="14">
        <f t="shared" si="20"/>
        <v>0</v>
      </c>
      <c r="BJ67" s="14">
        <f t="shared" si="21"/>
        <v>0</v>
      </c>
    </row>
    <row r="68" spans="1:62" ht="12.75">
      <c r="A68" s="4" t="s">
        <v>47</v>
      </c>
      <c r="B68" s="4" t="s">
        <v>364</v>
      </c>
      <c r="C68" s="153" t="s">
        <v>697</v>
      </c>
      <c r="D68" s="154"/>
      <c r="E68" s="154"/>
      <c r="F68" s="4" t="s">
        <v>993</v>
      </c>
      <c r="G68" s="64">
        <v>167.156</v>
      </c>
      <c r="H68" s="82">
        <v>0</v>
      </c>
      <c r="I68" s="14">
        <f t="shared" si="0"/>
        <v>0</v>
      </c>
      <c r="J68" s="14">
        <f t="shared" si="1"/>
        <v>0</v>
      </c>
      <c r="K68" s="14">
        <f t="shared" si="2"/>
        <v>0</v>
      </c>
      <c r="L68" s="25" t="s">
        <v>1014</v>
      </c>
      <c r="Z68" s="30">
        <f t="shared" si="3"/>
        <v>0</v>
      </c>
      <c r="AB68" s="30">
        <f t="shared" si="4"/>
        <v>0</v>
      </c>
      <c r="AC68" s="30">
        <f t="shared" si="5"/>
        <v>0</v>
      </c>
      <c r="AD68" s="30">
        <f t="shared" si="6"/>
        <v>0</v>
      </c>
      <c r="AE68" s="30">
        <f t="shared" si="7"/>
        <v>0</v>
      </c>
      <c r="AF68" s="30">
        <f t="shared" si="8"/>
        <v>0</v>
      </c>
      <c r="AG68" s="30">
        <f t="shared" si="9"/>
        <v>0</v>
      </c>
      <c r="AH68" s="30">
        <f t="shared" si="10"/>
        <v>0</v>
      </c>
      <c r="AI68" s="24" t="s">
        <v>1024</v>
      </c>
      <c r="AJ68" s="14">
        <f t="shared" si="11"/>
        <v>0</v>
      </c>
      <c r="AK68" s="14">
        <f t="shared" si="12"/>
        <v>0</v>
      </c>
      <c r="AL68" s="14">
        <f t="shared" si="13"/>
        <v>0</v>
      </c>
      <c r="AN68" s="30">
        <v>21</v>
      </c>
      <c r="AO68" s="30">
        <f>H68*0.578259426559826</f>
        <v>0</v>
      </c>
      <c r="AP68" s="30">
        <f>H68*(1-0.578259426559826)</f>
        <v>0</v>
      </c>
      <c r="AQ68" s="25" t="s">
        <v>7</v>
      </c>
      <c r="AV68" s="30">
        <f t="shared" si="14"/>
        <v>0</v>
      </c>
      <c r="AW68" s="30">
        <f t="shared" si="15"/>
        <v>0</v>
      </c>
      <c r="AX68" s="30">
        <f t="shared" si="16"/>
        <v>0</v>
      </c>
      <c r="AY68" s="31" t="s">
        <v>1039</v>
      </c>
      <c r="AZ68" s="31" t="s">
        <v>1066</v>
      </c>
      <c r="BA68" s="24" t="s">
        <v>1080</v>
      </c>
      <c r="BC68" s="30">
        <f t="shared" si="17"/>
        <v>0</v>
      </c>
      <c r="BD68" s="30">
        <f t="shared" si="18"/>
        <v>0</v>
      </c>
      <c r="BE68" s="30">
        <v>0</v>
      </c>
      <c r="BF68" s="30">
        <f>68</f>
        <v>68</v>
      </c>
      <c r="BH68" s="14">
        <f t="shared" si="19"/>
        <v>0</v>
      </c>
      <c r="BI68" s="14">
        <f t="shared" si="20"/>
        <v>0</v>
      </c>
      <c r="BJ68" s="14">
        <f t="shared" si="21"/>
        <v>0</v>
      </c>
    </row>
    <row r="69" spans="1:62" ht="12.75">
      <c r="A69" s="4" t="s">
        <v>48</v>
      </c>
      <c r="B69" s="4" t="s">
        <v>365</v>
      </c>
      <c r="C69" s="153" t="s">
        <v>698</v>
      </c>
      <c r="D69" s="154"/>
      <c r="E69" s="154"/>
      <c r="F69" s="4" t="s">
        <v>995</v>
      </c>
      <c r="G69" s="64">
        <v>60</v>
      </c>
      <c r="H69" s="82">
        <v>0</v>
      </c>
      <c r="I69" s="14">
        <f t="shared" si="0"/>
        <v>0</v>
      </c>
      <c r="J69" s="14">
        <f t="shared" si="1"/>
        <v>0</v>
      </c>
      <c r="K69" s="14">
        <f t="shared" si="2"/>
        <v>0</v>
      </c>
      <c r="L69" s="25" t="s">
        <v>1014</v>
      </c>
      <c r="Z69" s="30">
        <f t="shared" si="3"/>
        <v>0</v>
      </c>
      <c r="AB69" s="30">
        <f t="shared" si="4"/>
        <v>0</v>
      </c>
      <c r="AC69" s="30">
        <f t="shared" si="5"/>
        <v>0</v>
      </c>
      <c r="AD69" s="30">
        <f t="shared" si="6"/>
        <v>0</v>
      </c>
      <c r="AE69" s="30">
        <f t="shared" si="7"/>
        <v>0</v>
      </c>
      <c r="AF69" s="30">
        <f t="shared" si="8"/>
        <v>0</v>
      </c>
      <c r="AG69" s="30">
        <f t="shared" si="9"/>
        <v>0</v>
      </c>
      <c r="AH69" s="30">
        <f t="shared" si="10"/>
        <v>0</v>
      </c>
      <c r="AI69" s="24" t="s">
        <v>1024</v>
      </c>
      <c r="AJ69" s="14">
        <f t="shared" si="11"/>
        <v>0</v>
      </c>
      <c r="AK69" s="14">
        <f t="shared" si="12"/>
        <v>0</v>
      </c>
      <c r="AL69" s="14">
        <f t="shared" si="13"/>
        <v>0</v>
      </c>
      <c r="AN69" s="30">
        <v>21</v>
      </c>
      <c r="AO69" s="30">
        <f>H69*0.221764455178292</f>
        <v>0</v>
      </c>
      <c r="AP69" s="30">
        <f>H69*(1-0.221764455178292)</f>
        <v>0</v>
      </c>
      <c r="AQ69" s="25" t="s">
        <v>7</v>
      </c>
      <c r="AV69" s="30">
        <f t="shared" si="14"/>
        <v>0</v>
      </c>
      <c r="AW69" s="30">
        <f t="shared" si="15"/>
        <v>0</v>
      </c>
      <c r="AX69" s="30">
        <f t="shared" si="16"/>
        <v>0</v>
      </c>
      <c r="AY69" s="31" t="s">
        <v>1039</v>
      </c>
      <c r="AZ69" s="31" t="s">
        <v>1066</v>
      </c>
      <c r="BA69" s="24" t="s">
        <v>1080</v>
      </c>
      <c r="BC69" s="30">
        <f t="shared" si="17"/>
        <v>0</v>
      </c>
      <c r="BD69" s="30">
        <f t="shared" si="18"/>
        <v>0</v>
      </c>
      <c r="BE69" s="30">
        <v>0</v>
      </c>
      <c r="BF69" s="30">
        <f>69</f>
        <v>69</v>
      </c>
      <c r="BH69" s="14">
        <f t="shared" si="19"/>
        <v>0</v>
      </c>
      <c r="BI69" s="14">
        <f t="shared" si="20"/>
        <v>0</v>
      </c>
      <c r="BJ69" s="14">
        <f t="shared" si="21"/>
        <v>0</v>
      </c>
    </row>
    <row r="70" spans="1:62" ht="12.75">
      <c r="A70" s="4" t="s">
        <v>49</v>
      </c>
      <c r="B70" s="4" t="s">
        <v>366</v>
      </c>
      <c r="C70" s="153" t="s">
        <v>699</v>
      </c>
      <c r="D70" s="154"/>
      <c r="E70" s="154"/>
      <c r="F70" s="4" t="s">
        <v>993</v>
      </c>
      <c r="G70" s="64">
        <v>167.156</v>
      </c>
      <c r="H70" s="82">
        <v>0</v>
      </c>
      <c r="I70" s="14">
        <f t="shared" si="0"/>
        <v>0</v>
      </c>
      <c r="J70" s="14">
        <f t="shared" si="1"/>
        <v>0</v>
      </c>
      <c r="K70" s="14">
        <f t="shared" si="2"/>
        <v>0</v>
      </c>
      <c r="L70" s="25" t="s">
        <v>1014</v>
      </c>
      <c r="Z70" s="30">
        <f t="shared" si="3"/>
        <v>0</v>
      </c>
      <c r="AB70" s="30">
        <f t="shared" si="4"/>
        <v>0</v>
      </c>
      <c r="AC70" s="30">
        <f t="shared" si="5"/>
        <v>0</v>
      </c>
      <c r="AD70" s="30">
        <f t="shared" si="6"/>
        <v>0</v>
      </c>
      <c r="AE70" s="30">
        <f t="shared" si="7"/>
        <v>0</v>
      </c>
      <c r="AF70" s="30">
        <f t="shared" si="8"/>
        <v>0</v>
      </c>
      <c r="AG70" s="30">
        <f t="shared" si="9"/>
        <v>0</v>
      </c>
      <c r="AH70" s="30">
        <f t="shared" si="10"/>
        <v>0</v>
      </c>
      <c r="AI70" s="24" t="s">
        <v>1024</v>
      </c>
      <c r="AJ70" s="14">
        <f t="shared" si="11"/>
        <v>0</v>
      </c>
      <c r="AK70" s="14">
        <f t="shared" si="12"/>
        <v>0</v>
      </c>
      <c r="AL70" s="14">
        <f t="shared" si="13"/>
        <v>0</v>
      </c>
      <c r="AN70" s="30">
        <v>21</v>
      </c>
      <c r="AO70" s="30">
        <f>H70*0.614347070617888</f>
        <v>0</v>
      </c>
      <c r="AP70" s="30">
        <f>H70*(1-0.614347070617888)</f>
        <v>0</v>
      </c>
      <c r="AQ70" s="25" t="s">
        <v>7</v>
      </c>
      <c r="AV70" s="30">
        <f t="shared" si="14"/>
        <v>0</v>
      </c>
      <c r="AW70" s="30">
        <f t="shared" si="15"/>
        <v>0</v>
      </c>
      <c r="AX70" s="30">
        <f t="shared" si="16"/>
        <v>0</v>
      </c>
      <c r="AY70" s="31" t="s">
        <v>1039</v>
      </c>
      <c r="AZ70" s="31" t="s">
        <v>1066</v>
      </c>
      <c r="BA70" s="24" t="s">
        <v>1080</v>
      </c>
      <c r="BC70" s="30">
        <f t="shared" si="17"/>
        <v>0</v>
      </c>
      <c r="BD70" s="30">
        <f t="shared" si="18"/>
        <v>0</v>
      </c>
      <c r="BE70" s="30">
        <v>0</v>
      </c>
      <c r="BF70" s="30">
        <f>70</f>
        <v>70</v>
      </c>
      <c r="BH70" s="14">
        <f t="shared" si="19"/>
        <v>0</v>
      </c>
      <c r="BI70" s="14">
        <f t="shared" si="20"/>
        <v>0</v>
      </c>
      <c r="BJ70" s="14">
        <f t="shared" si="21"/>
        <v>0</v>
      </c>
    </row>
    <row r="71" spans="1:62" ht="12.75">
      <c r="A71" s="4" t="s">
        <v>50</v>
      </c>
      <c r="B71" s="4" t="s">
        <v>367</v>
      </c>
      <c r="C71" s="153" t="s">
        <v>700</v>
      </c>
      <c r="D71" s="154"/>
      <c r="E71" s="154"/>
      <c r="F71" s="4" t="s">
        <v>993</v>
      </c>
      <c r="G71" s="64">
        <v>129.841</v>
      </c>
      <c r="H71" s="82">
        <v>0</v>
      </c>
      <c r="I71" s="14">
        <f t="shared" si="0"/>
        <v>0</v>
      </c>
      <c r="J71" s="14">
        <f t="shared" si="1"/>
        <v>0</v>
      </c>
      <c r="K71" s="14">
        <f t="shared" si="2"/>
        <v>0</v>
      </c>
      <c r="L71" s="25" t="s">
        <v>1014</v>
      </c>
      <c r="Z71" s="30">
        <f t="shared" si="3"/>
        <v>0</v>
      </c>
      <c r="AB71" s="30">
        <f t="shared" si="4"/>
        <v>0</v>
      </c>
      <c r="AC71" s="30">
        <f t="shared" si="5"/>
        <v>0</v>
      </c>
      <c r="AD71" s="30">
        <f t="shared" si="6"/>
        <v>0</v>
      </c>
      <c r="AE71" s="30">
        <f t="shared" si="7"/>
        <v>0</v>
      </c>
      <c r="AF71" s="30">
        <f t="shared" si="8"/>
        <v>0</v>
      </c>
      <c r="AG71" s="30">
        <f t="shared" si="9"/>
        <v>0</v>
      </c>
      <c r="AH71" s="30">
        <f t="shared" si="10"/>
        <v>0</v>
      </c>
      <c r="AI71" s="24" t="s">
        <v>1024</v>
      </c>
      <c r="AJ71" s="14">
        <f t="shared" si="11"/>
        <v>0</v>
      </c>
      <c r="AK71" s="14">
        <f t="shared" si="12"/>
        <v>0</v>
      </c>
      <c r="AL71" s="14">
        <f t="shared" si="13"/>
        <v>0</v>
      </c>
      <c r="AN71" s="30">
        <v>21</v>
      </c>
      <c r="AO71" s="30">
        <f>H71*0.631046838650345</f>
        <v>0</v>
      </c>
      <c r="AP71" s="30">
        <f>H71*(1-0.631046838650345)</f>
        <v>0</v>
      </c>
      <c r="AQ71" s="25" t="s">
        <v>7</v>
      </c>
      <c r="AV71" s="30">
        <f t="shared" si="14"/>
        <v>0</v>
      </c>
      <c r="AW71" s="30">
        <f t="shared" si="15"/>
        <v>0</v>
      </c>
      <c r="AX71" s="30">
        <f t="shared" si="16"/>
        <v>0</v>
      </c>
      <c r="AY71" s="31" t="s">
        <v>1039</v>
      </c>
      <c r="AZ71" s="31" t="s">
        <v>1066</v>
      </c>
      <c r="BA71" s="24" t="s">
        <v>1080</v>
      </c>
      <c r="BC71" s="30">
        <f t="shared" si="17"/>
        <v>0</v>
      </c>
      <c r="BD71" s="30">
        <f t="shared" si="18"/>
        <v>0</v>
      </c>
      <c r="BE71" s="30">
        <v>0</v>
      </c>
      <c r="BF71" s="30">
        <f>71</f>
        <v>71</v>
      </c>
      <c r="BH71" s="14">
        <f t="shared" si="19"/>
        <v>0</v>
      </c>
      <c r="BI71" s="14">
        <f t="shared" si="20"/>
        <v>0</v>
      </c>
      <c r="BJ71" s="14">
        <f t="shared" si="21"/>
        <v>0</v>
      </c>
    </row>
    <row r="72" spans="1:62" ht="12.75">
      <c r="A72" s="4" t="s">
        <v>51</v>
      </c>
      <c r="B72" s="4" t="s">
        <v>368</v>
      </c>
      <c r="C72" s="153" t="s">
        <v>701</v>
      </c>
      <c r="D72" s="154"/>
      <c r="E72" s="154"/>
      <c r="F72" s="4" t="s">
        <v>993</v>
      </c>
      <c r="G72" s="64">
        <v>375.008</v>
      </c>
      <c r="H72" s="82">
        <v>0</v>
      </c>
      <c r="I72" s="14">
        <f t="shared" si="0"/>
        <v>0</v>
      </c>
      <c r="J72" s="14">
        <f t="shared" si="1"/>
        <v>0</v>
      </c>
      <c r="K72" s="14">
        <f t="shared" si="2"/>
        <v>0</v>
      </c>
      <c r="L72" s="25" t="s">
        <v>1014</v>
      </c>
      <c r="Z72" s="30">
        <f t="shared" si="3"/>
        <v>0</v>
      </c>
      <c r="AB72" s="30">
        <f t="shared" si="4"/>
        <v>0</v>
      </c>
      <c r="AC72" s="30">
        <f t="shared" si="5"/>
        <v>0</v>
      </c>
      <c r="AD72" s="30">
        <f t="shared" si="6"/>
        <v>0</v>
      </c>
      <c r="AE72" s="30">
        <f t="shared" si="7"/>
        <v>0</v>
      </c>
      <c r="AF72" s="30">
        <f t="shared" si="8"/>
        <v>0</v>
      </c>
      <c r="AG72" s="30">
        <f t="shared" si="9"/>
        <v>0</v>
      </c>
      <c r="AH72" s="30">
        <f t="shared" si="10"/>
        <v>0</v>
      </c>
      <c r="AI72" s="24" t="s">
        <v>1024</v>
      </c>
      <c r="AJ72" s="14">
        <f t="shared" si="11"/>
        <v>0</v>
      </c>
      <c r="AK72" s="14">
        <f t="shared" si="12"/>
        <v>0</v>
      </c>
      <c r="AL72" s="14">
        <f t="shared" si="13"/>
        <v>0</v>
      </c>
      <c r="AN72" s="30">
        <v>21</v>
      </c>
      <c r="AO72" s="30">
        <f>H72*0.736179282868526</f>
        <v>0</v>
      </c>
      <c r="AP72" s="30">
        <f>H72*(1-0.736179282868526)</f>
        <v>0</v>
      </c>
      <c r="AQ72" s="25" t="s">
        <v>7</v>
      </c>
      <c r="AV72" s="30">
        <f t="shared" si="14"/>
        <v>0</v>
      </c>
      <c r="AW72" s="30">
        <f t="shared" si="15"/>
        <v>0</v>
      </c>
      <c r="AX72" s="30">
        <f t="shared" si="16"/>
        <v>0</v>
      </c>
      <c r="AY72" s="31" t="s">
        <v>1039</v>
      </c>
      <c r="AZ72" s="31" t="s">
        <v>1066</v>
      </c>
      <c r="BA72" s="24" t="s">
        <v>1080</v>
      </c>
      <c r="BC72" s="30">
        <f t="shared" si="17"/>
        <v>0</v>
      </c>
      <c r="BD72" s="30">
        <f t="shared" si="18"/>
        <v>0</v>
      </c>
      <c r="BE72" s="30">
        <v>0</v>
      </c>
      <c r="BF72" s="30">
        <f>72</f>
        <v>72</v>
      </c>
      <c r="BH72" s="14">
        <f t="shared" si="19"/>
        <v>0</v>
      </c>
      <c r="BI72" s="14">
        <f t="shared" si="20"/>
        <v>0</v>
      </c>
      <c r="BJ72" s="14">
        <f t="shared" si="21"/>
        <v>0</v>
      </c>
    </row>
    <row r="73" spans="1:62" ht="12.75">
      <c r="A73" s="4" t="s">
        <v>52</v>
      </c>
      <c r="B73" s="4" t="s">
        <v>368</v>
      </c>
      <c r="C73" s="153" t="s">
        <v>702</v>
      </c>
      <c r="D73" s="154"/>
      <c r="E73" s="154"/>
      <c r="F73" s="4" t="s">
        <v>993</v>
      </c>
      <c r="G73" s="64">
        <v>264.897</v>
      </c>
      <c r="H73" s="82">
        <v>0</v>
      </c>
      <c r="I73" s="14">
        <f t="shared" si="0"/>
        <v>0</v>
      </c>
      <c r="J73" s="14">
        <f t="shared" si="1"/>
        <v>0</v>
      </c>
      <c r="K73" s="14">
        <f t="shared" si="2"/>
        <v>0</v>
      </c>
      <c r="L73" s="25" t="s">
        <v>1014</v>
      </c>
      <c r="Z73" s="30">
        <f t="shared" si="3"/>
        <v>0</v>
      </c>
      <c r="AB73" s="30">
        <f t="shared" si="4"/>
        <v>0</v>
      </c>
      <c r="AC73" s="30">
        <f t="shared" si="5"/>
        <v>0</v>
      </c>
      <c r="AD73" s="30">
        <f t="shared" si="6"/>
        <v>0</v>
      </c>
      <c r="AE73" s="30">
        <f t="shared" si="7"/>
        <v>0</v>
      </c>
      <c r="AF73" s="30">
        <f t="shared" si="8"/>
        <v>0</v>
      </c>
      <c r="AG73" s="30">
        <f t="shared" si="9"/>
        <v>0</v>
      </c>
      <c r="AH73" s="30">
        <f t="shared" si="10"/>
        <v>0</v>
      </c>
      <c r="AI73" s="24" t="s">
        <v>1024</v>
      </c>
      <c r="AJ73" s="14">
        <f t="shared" si="11"/>
        <v>0</v>
      </c>
      <c r="AK73" s="14">
        <f t="shared" si="12"/>
        <v>0</v>
      </c>
      <c r="AL73" s="14">
        <f t="shared" si="13"/>
        <v>0</v>
      </c>
      <c r="AN73" s="30">
        <v>21</v>
      </c>
      <c r="AO73" s="30">
        <f>H73*0.736179282868526</f>
        <v>0</v>
      </c>
      <c r="AP73" s="30">
        <f>H73*(1-0.736179282868526)</f>
        <v>0</v>
      </c>
      <c r="AQ73" s="25" t="s">
        <v>7</v>
      </c>
      <c r="AV73" s="30">
        <f t="shared" si="14"/>
        <v>0</v>
      </c>
      <c r="AW73" s="30">
        <f t="shared" si="15"/>
        <v>0</v>
      </c>
      <c r="AX73" s="30">
        <f t="shared" si="16"/>
        <v>0</v>
      </c>
      <c r="AY73" s="31" t="s">
        <v>1039</v>
      </c>
      <c r="AZ73" s="31" t="s">
        <v>1066</v>
      </c>
      <c r="BA73" s="24" t="s">
        <v>1080</v>
      </c>
      <c r="BC73" s="30">
        <f t="shared" si="17"/>
        <v>0</v>
      </c>
      <c r="BD73" s="30">
        <f t="shared" si="18"/>
        <v>0</v>
      </c>
      <c r="BE73" s="30">
        <v>0</v>
      </c>
      <c r="BF73" s="30">
        <f>73</f>
        <v>73</v>
      </c>
      <c r="BH73" s="14">
        <f t="shared" si="19"/>
        <v>0</v>
      </c>
      <c r="BI73" s="14">
        <f t="shared" si="20"/>
        <v>0</v>
      </c>
      <c r="BJ73" s="14">
        <f t="shared" si="21"/>
        <v>0</v>
      </c>
    </row>
    <row r="74" spans="1:62" ht="12.75">
      <c r="A74" s="4" t="s">
        <v>53</v>
      </c>
      <c r="B74" s="4" t="s">
        <v>369</v>
      </c>
      <c r="C74" s="153" t="s">
        <v>703</v>
      </c>
      <c r="D74" s="154"/>
      <c r="E74" s="154"/>
      <c r="F74" s="4" t="s">
        <v>993</v>
      </c>
      <c r="G74" s="64">
        <v>197.856</v>
      </c>
      <c r="H74" s="82">
        <v>0</v>
      </c>
      <c r="I74" s="14">
        <f t="shared" si="0"/>
        <v>0</v>
      </c>
      <c r="J74" s="14">
        <f t="shared" si="1"/>
        <v>0</v>
      </c>
      <c r="K74" s="14">
        <f t="shared" si="2"/>
        <v>0</v>
      </c>
      <c r="L74" s="25" t="s">
        <v>1014</v>
      </c>
      <c r="Z74" s="30">
        <f t="shared" si="3"/>
        <v>0</v>
      </c>
      <c r="AB74" s="30">
        <f t="shared" si="4"/>
        <v>0</v>
      </c>
      <c r="AC74" s="30">
        <f t="shared" si="5"/>
        <v>0</v>
      </c>
      <c r="AD74" s="30">
        <f t="shared" si="6"/>
        <v>0</v>
      </c>
      <c r="AE74" s="30">
        <f t="shared" si="7"/>
        <v>0</v>
      </c>
      <c r="AF74" s="30">
        <f t="shared" si="8"/>
        <v>0</v>
      </c>
      <c r="AG74" s="30">
        <f t="shared" si="9"/>
        <v>0</v>
      </c>
      <c r="AH74" s="30">
        <f t="shared" si="10"/>
        <v>0</v>
      </c>
      <c r="AI74" s="24" t="s">
        <v>1024</v>
      </c>
      <c r="AJ74" s="14">
        <f t="shared" si="11"/>
        <v>0</v>
      </c>
      <c r="AK74" s="14">
        <f t="shared" si="12"/>
        <v>0</v>
      </c>
      <c r="AL74" s="14">
        <f t="shared" si="13"/>
        <v>0</v>
      </c>
      <c r="AN74" s="30">
        <v>21</v>
      </c>
      <c r="AO74" s="30">
        <f>H74*0.739639405204461</f>
        <v>0</v>
      </c>
      <c r="AP74" s="30">
        <f>H74*(1-0.739639405204461)</f>
        <v>0</v>
      </c>
      <c r="AQ74" s="25" t="s">
        <v>7</v>
      </c>
      <c r="AV74" s="30">
        <f t="shared" si="14"/>
        <v>0</v>
      </c>
      <c r="AW74" s="30">
        <f t="shared" si="15"/>
        <v>0</v>
      </c>
      <c r="AX74" s="30">
        <f t="shared" si="16"/>
        <v>0</v>
      </c>
      <c r="AY74" s="31" t="s">
        <v>1039</v>
      </c>
      <c r="AZ74" s="31" t="s">
        <v>1066</v>
      </c>
      <c r="BA74" s="24" t="s">
        <v>1080</v>
      </c>
      <c r="BC74" s="30">
        <f t="shared" si="17"/>
        <v>0</v>
      </c>
      <c r="BD74" s="30">
        <f t="shared" si="18"/>
        <v>0</v>
      </c>
      <c r="BE74" s="30">
        <v>0</v>
      </c>
      <c r="BF74" s="30">
        <f>74</f>
        <v>74</v>
      </c>
      <c r="BH74" s="14">
        <f t="shared" si="19"/>
        <v>0</v>
      </c>
      <c r="BI74" s="14">
        <f t="shared" si="20"/>
        <v>0</v>
      </c>
      <c r="BJ74" s="14">
        <f t="shared" si="21"/>
        <v>0</v>
      </c>
    </row>
    <row r="75" spans="1:62" ht="12.75">
      <c r="A75" s="4" t="s">
        <v>54</v>
      </c>
      <c r="B75" s="4" t="s">
        <v>370</v>
      </c>
      <c r="C75" s="153" t="s">
        <v>704</v>
      </c>
      <c r="D75" s="154"/>
      <c r="E75" s="154"/>
      <c r="F75" s="4" t="s">
        <v>995</v>
      </c>
      <c r="G75" s="64">
        <v>37.75</v>
      </c>
      <c r="H75" s="82">
        <v>0</v>
      </c>
      <c r="I75" s="14">
        <f t="shared" si="0"/>
        <v>0</v>
      </c>
      <c r="J75" s="14">
        <f t="shared" si="1"/>
        <v>0</v>
      </c>
      <c r="K75" s="14">
        <f t="shared" si="2"/>
        <v>0</v>
      </c>
      <c r="L75" s="25" t="s">
        <v>1014</v>
      </c>
      <c r="Z75" s="30">
        <f t="shared" si="3"/>
        <v>0</v>
      </c>
      <c r="AB75" s="30">
        <f t="shared" si="4"/>
        <v>0</v>
      </c>
      <c r="AC75" s="30">
        <f t="shared" si="5"/>
        <v>0</v>
      </c>
      <c r="AD75" s="30">
        <f t="shared" si="6"/>
        <v>0</v>
      </c>
      <c r="AE75" s="30">
        <f t="shared" si="7"/>
        <v>0</v>
      </c>
      <c r="AF75" s="30">
        <f t="shared" si="8"/>
        <v>0</v>
      </c>
      <c r="AG75" s="30">
        <f t="shared" si="9"/>
        <v>0</v>
      </c>
      <c r="AH75" s="30">
        <f t="shared" si="10"/>
        <v>0</v>
      </c>
      <c r="AI75" s="24" t="s">
        <v>1024</v>
      </c>
      <c r="AJ75" s="14">
        <f t="shared" si="11"/>
        <v>0</v>
      </c>
      <c r="AK75" s="14">
        <f t="shared" si="12"/>
        <v>0</v>
      </c>
      <c r="AL75" s="14">
        <f t="shared" si="13"/>
        <v>0</v>
      </c>
      <c r="AN75" s="30">
        <v>21</v>
      </c>
      <c r="AO75" s="30">
        <f>H75*0.31387573964497</f>
        <v>0</v>
      </c>
      <c r="AP75" s="30">
        <f>H75*(1-0.31387573964497)</f>
        <v>0</v>
      </c>
      <c r="AQ75" s="25" t="s">
        <v>7</v>
      </c>
      <c r="AV75" s="30">
        <f t="shared" si="14"/>
        <v>0</v>
      </c>
      <c r="AW75" s="30">
        <f t="shared" si="15"/>
        <v>0</v>
      </c>
      <c r="AX75" s="30">
        <f t="shared" si="16"/>
        <v>0</v>
      </c>
      <c r="AY75" s="31" t="s">
        <v>1039</v>
      </c>
      <c r="AZ75" s="31" t="s">
        <v>1066</v>
      </c>
      <c r="BA75" s="24" t="s">
        <v>1080</v>
      </c>
      <c r="BC75" s="30">
        <f t="shared" si="17"/>
        <v>0</v>
      </c>
      <c r="BD75" s="30">
        <f t="shared" si="18"/>
        <v>0</v>
      </c>
      <c r="BE75" s="30">
        <v>0</v>
      </c>
      <c r="BF75" s="30">
        <f>75</f>
        <v>75</v>
      </c>
      <c r="BH75" s="14">
        <f t="shared" si="19"/>
        <v>0</v>
      </c>
      <c r="BI75" s="14">
        <f t="shared" si="20"/>
        <v>0</v>
      </c>
      <c r="BJ75" s="14">
        <f t="shared" si="21"/>
        <v>0</v>
      </c>
    </row>
    <row r="76" spans="1:62" ht="12.75">
      <c r="A76" s="4" t="s">
        <v>55</v>
      </c>
      <c r="B76" s="4" t="s">
        <v>371</v>
      </c>
      <c r="C76" s="153" t="s">
        <v>705</v>
      </c>
      <c r="D76" s="154"/>
      <c r="E76" s="154"/>
      <c r="F76" s="4" t="s">
        <v>993</v>
      </c>
      <c r="G76" s="64">
        <v>1134.758</v>
      </c>
      <c r="H76" s="82">
        <v>0</v>
      </c>
      <c r="I76" s="14">
        <f t="shared" si="0"/>
        <v>0</v>
      </c>
      <c r="J76" s="14">
        <f t="shared" si="1"/>
        <v>0</v>
      </c>
      <c r="K76" s="14">
        <f t="shared" si="2"/>
        <v>0</v>
      </c>
      <c r="L76" s="25" t="s">
        <v>1014</v>
      </c>
      <c r="Z76" s="30">
        <f t="shared" si="3"/>
        <v>0</v>
      </c>
      <c r="AB76" s="30">
        <f t="shared" si="4"/>
        <v>0</v>
      </c>
      <c r="AC76" s="30">
        <f t="shared" si="5"/>
        <v>0</v>
      </c>
      <c r="AD76" s="30">
        <f t="shared" si="6"/>
        <v>0</v>
      </c>
      <c r="AE76" s="30">
        <f t="shared" si="7"/>
        <v>0</v>
      </c>
      <c r="AF76" s="30">
        <f t="shared" si="8"/>
        <v>0</v>
      </c>
      <c r="AG76" s="30">
        <f t="shared" si="9"/>
        <v>0</v>
      </c>
      <c r="AH76" s="30">
        <f t="shared" si="10"/>
        <v>0</v>
      </c>
      <c r="AI76" s="24" t="s">
        <v>1024</v>
      </c>
      <c r="AJ76" s="14">
        <f t="shared" si="11"/>
        <v>0</v>
      </c>
      <c r="AK76" s="14">
        <f t="shared" si="12"/>
        <v>0</v>
      </c>
      <c r="AL76" s="14">
        <f t="shared" si="13"/>
        <v>0</v>
      </c>
      <c r="AN76" s="30">
        <v>21</v>
      </c>
      <c r="AO76" s="30">
        <f>H76*0.321454545454545</f>
        <v>0</v>
      </c>
      <c r="AP76" s="30">
        <f>H76*(1-0.321454545454545)</f>
        <v>0</v>
      </c>
      <c r="AQ76" s="25" t="s">
        <v>7</v>
      </c>
      <c r="AV76" s="30">
        <f t="shared" si="14"/>
        <v>0</v>
      </c>
      <c r="AW76" s="30">
        <f t="shared" si="15"/>
        <v>0</v>
      </c>
      <c r="AX76" s="30">
        <f t="shared" si="16"/>
        <v>0</v>
      </c>
      <c r="AY76" s="31" t="s">
        <v>1039</v>
      </c>
      <c r="AZ76" s="31" t="s">
        <v>1066</v>
      </c>
      <c r="BA76" s="24" t="s">
        <v>1080</v>
      </c>
      <c r="BC76" s="30">
        <f t="shared" si="17"/>
        <v>0</v>
      </c>
      <c r="BD76" s="30">
        <f t="shared" si="18"/>
        <v>0</v>
      </c>
      <c r="BE76" s="30">
        <v>0</v>
      </c>
      <c r="BF76" s="30">
        <f>76</f>
        <v>76</v>
      </c>
      <c r="BH76" s="14">
        <f t="shared" si="19"/>
        <v>0</v>
      </c>
      <c r="BI76" s="14">
        <f t="shared" si="20"/>
        <v>0</v>
      </c>
      <c r="BJ76" s="14">
        <f t="shared" si="21"/>
        <v>0</v>
      </c>
    </row>
    <row r="77" spans="1:62" ht="12.75">
      <c r="A77" s="4" t="s">
        <v>56</v>
      </c>
      <c r="B77" s="4" t="s">
        <v>372</v>
      </c>
      <c r="C77" s="153" t="s">
        <v>706</v>
      </c>
      <c r="D77" s="154"/>
      <c r="E77" s="154"/>
      <c r="F77" s="4" t="s">
        <v>995</v>
      </c>
      <c r="G77" s="64">
        <v>380.48</v>
      </c>
      <c r="H77" s="82">
        <v>0</v>
      </c>
      <c r="I77" s="14">
        <f t="shared" si="0"/>
        <v>0</v>
      </c>
      <c r="J77" s="14">
        <f t="shared" si="1"/>
        <v>0</v>
      </c>
      <c r="K77" s="14">
        <f t="shared" si="2"/>
        <v>0</v>
      </c>
      <c r="L77" s="25" t="s">
        <v>1014</v>
      </c>
      <c r="Z77" s="30">
        <f t="shared" si="3"/>
        <v>0</v>
      </c>
      <c r="AB77" s="30">
        <f t="shared" si="4"/>
        <v>0</v>
      </c>
      <c r="AC77" s="30">
        <f t="shared" si="5"/>
        <v>0</v>
      </c>
      <c r="AD77" s="30">
        <f t="shared" si="6"/>
        <v>0</v>
      </c>
      <c r="AE77" s="30">
        <f t="shared" si="7"/>
        <v>0</v>
      </c>
      <c r="AF77" s="30">
        <f t="shared" si="8"/>
        <v>0</v>
      </c>
      <c r="AG77" s="30">
        <f t="shared" si="9"/>
        <v>0</v>
      </c>
      <c r="AH77" s="30">
        <f t="shared" si="10"/>
        <v>0</v>
      </c>
      <c r="AI77" s="24" t="s">
        <v>1024</v>
      </c>
      <c r="AJ77" s="14">
        <f t="shared" si="11"/>
        <v>0</v>
      </c>
      <c r="AK77" s="14">
        <f t="shared" si="12"/>
        <v>0</v>
      </c>
      <c r="AL77" s="14">
        <f t="shared" si="13"/>
        <v>0</v>
      </c>
      <c r="AN77" s="30">
        <v>21</v>
      </c>
      <c r="AO77" s="30">
        <f>H77*0.303731363141411</f>
        <v>0</v>
      </c>
      <c r="AP77" s="30">
        <f>H77*(1-0.303731363141411)</f>
        <v>0</v>
      </c>
      <c r="AQ77" s="25" t="s">
        <v>7</v>
      </c>
      <c r="AV77" s="30">
        <f t="shared" si="14"/>
        <v>0</v>
      </c>
      <c r="AW77" s="30">
        <f t="shared" si="15"/>
        <v>0</v>
      </c>
      <c r="AX77" s="30">
        <f t="shared" si="16"/>
        <v>0</v>
      </c>
      <c r="AY77" s="31" t="s">
        <v>1039</v>
      </c>
      <c r="AZ77" s="31" t="s">
        <v>1066</v>
      </c>
      <c r="BA77" s="24" t="s">
        <v>1080</v>
      </c>
      <c r="BC77" s="30">
        <f t="shared" si="17"/>
        <v>0</v>
      </c>
      <c r="BD77" s="30">
        <f t="shared" si="18"/>
        <v>0</v>
      </c>
      <c r="BE77" s="30">
        <v>0</v>
      </c>
      <c r="BF77" s="30">
        <f>77</f>
        <v>77</v>
      </c>
      <c r="BH77" s="14">
        <f t="shared" si="19"/>
        <v>0</v>
      </c>
      <c r="BI77" s="14">
        <f t="shared" si="20"/>
        <v>0</v>
      </c>
      <c r="BJ77" s="14">
        <f t="shared" si="21"/>
        <v>0</v>
      </c>
    </row>
    <row r="78" spans="1:62" ht="12.75">
      <c r="A78" s="4" t="s">
        <v>57</v>
      </c>
      <c r="B78" s="4" t="s">
        <v>373</v>
      </c>
      <c r="C78" s="153" t="s">
        <v>707</v>
      </c>
      <c r="D78" s="154"/>
      <c r="E78" s="154"/>
      <c r="F78" s="4" t="s">
        <v>995</v>
      </c>
      <c r="G78" s="64">
        <v>93.15</v>
      </c>
      <c r="H78" s="82">
        <v>0</v>
      </c>
      <c r="I78" s="14">
        <f t="shared" si="0"/>
        <v>0</v>
      </c>
      <c r="J78" s="14">
        <f t="shared" si="1"/>
        <v>0</v>
      </c>
      <c r="K78" s="14">
        <f t="shared" si="2"/>
        <v>0</v>
      </c>
      <c r="L78" s="25" t="s">
        <v>1014</v>
      </c>
      <c r="Z78" s="30">
        <f t="shared" si="3"/>
        <v>0</v>
      </c>
      <c r="AB78" s="30">
        <f t="shared" si="4"/>
        <v>0</v>
      </c>
      <c r="AC78" s="30">
        <f t="shared" si="5"/>
        <v>0</v>
      </c>
      <c r="AD78" s="30">
        <f t="shared" si="6"/>
        <v>0</v>
      </c>
      <c r="AE78" s="30">
        <f t="shared" si="7"/>
        <v>0</v>
      </c>
      <c r="AF78" s="30">
        <f t="shared" si="8"/>
        <v>0</v>
      </c>
      <c r="AG78" s="30">
        <f t="shared" si="9"/>
        <v>0</v>
      </c>
      <c r="AH78" s="30">
        <f t="shared" si="10"/>
        <v>0</v>
      </c>
      <c r="AI78" s="24" t="s">
        <v>1024</v>
      </c>
      <c r="AJ78" s="14">
        <f t="shared" si="11"/>
        <v>0</v>
      </c>
      <c r="AK78" s="14">
        <f t="shared" si="12"/>
        <v>0</v>
      </c>
      <c r="AL78" s="14">
        <f t="shared" si="13"/>
        <v>0</v>
      </c>
      <c r="AN78" s="30">
        <v>21</v>
      </c>
      <c r="AO78" s="30">
        <f>H78*0.321454336307138</f>
        <v>0</v>
      </c>
      <c r="AP78" s="30">
        <f>H78*(1-0.321454336307138)</f>
        <v>0</v>
      </c>
      <c r="AQ78" s="25" t="s">
        <v>7</v>
      </c>
      <c r="AV78" s="30">
        <f t="shared" si="14"/>
        <v>0</v>
      </c>
      <c r="AW78" s="30">
        <f t="shared" si="15"/>
        <v>0</v>
      </c>
      <c r="AX78" s="30">
        <f t="shared" si="16"/>
        <v>0</v>
      </c>
      <c r="AY78" s="31" t="s">
        <v>1039</v>
      </c>
      <c r="AZ78" s="31" t="s">
        <v>1066</v>
      </c>
      <c r="BA78" s="24" t="s">
        <v>1080</v>
      </c>
      <c r="BC78" s="30">
        <f t="shared" si="17"/>
        <v>0</v>
      </c>
      <c r="BD78" s="30">
        <f t="shared" si="18"/>
        <v>0</v>
      </c>
      <c r="BE78" s="30">
        <v>0</v>
      </c>
      <c r="BF78" s="30">
        <f>78</f>
        <v>78</v>
      </c>
      <c r="BH78" s="14">
        <f t="shared" si="19"/>
        <v>0</v>
      </c>
      <c r="BI78" s="14">
        <f t="shared" si="20"/>
        <v>0</v>
      </c>
      <c r="BJ78" s="14">
        <f t="shared" si="21"/>
        <v>0</v>
      </c>
    </row>
    <row r="79" spans="1:62" ht="12.75">
      <c r="A79" s="4" t="s">
        <v>58</v>
      </c>
      <c r="B79" s="4" t="s">
        <v>374</v>
      </c>
      <c r="C79" s="153" t="s">
        <v>708</v>
      </c>
      <c r="D79" s="154"/>
      <c r="E79" s="154"/>
      <c r="F79" s="4" t="s">
        <v>993</v>
      </c>
      <c r="G79" s="64">
        <v>693.823</v>
      </c>
      <c r="H79" s="82">
        <v>0</v>
      </c>
      <c r="I79" s="14">
        <f t="shared" si="0"/>
        <v>0</v>
      </c>
      <c r="J79" s="14">
        <f t="shared" si="1"/>
        <v>0</v>
      </c>
      <c r="K79" s="14">
        <f t="shared" si="2"/>
        <v>0</v>
      </c>
      <c r="L79" s="25" t="s">
        <v>1014</v>
      </c>
      <c r="Z79" s="30">
        <f t="shared" si="3"/>
        <v>0</v>
      </c>
      <c r="AB79" s="30">
        <f t="shared" si="4"/>
        <v>0</v>
      </c>
      <c r="AC79" s="30">
        <f t="shared" si="5"/>
        <v>0</v>
      </c>
      <c r="AD79" s="30">
        <f t="shared" si="6"/>
        <v>0</v>
      </c>
      <c r="AE79" s="30">
        <f t="shared" si="7"/>
        <v>0</v>
      </c>
      <c r="AF79" s="30">
        <f t="shared" si="8"/>
        <v>0</v>
      </c>
      <c r="AG79" s="30">
        <f t="shared" si="9"/>
        <v>0</v>
      </c>
      <c r="AH79" s="30">
        <f t="shared" si="10"/>
        <v>0</v>
      </c>
      <c r="AI79" s="24" t="s">
        <v>1024</v>
      </c>
      <c r="AJ79" s="14">
        <f t="shared" si="11"/>
        <v>0</v>
      </c>
      <c r="AK79" s="14">
        <f t="shared" si="12"/>
        <v>0</v>
      </c>
      <c r="AL79" s="14">
        <f t="shared" si="13"/>
        <v>0</v>
      </c>
      <c r="AN79" s="30">
        <v>21</v>
      </c>
      <c r="AO79" s="30">
        <f>H79*0.215671646430527</f>
        <v>0</v>
      </c>
      <c r="AP79" s="30">
        <f>H79*(1-0.215671646430527)</f>
        <v>0</v>
      </c>
      <c r="AQ79" s="25" t="s">
        <v>7</v>
      </c>
      <c r="AV79" s="30">
        <f t="shared" si="14"/>
        <v>0</v>
      </c>
      <c r="AW79" s="30">
        <f t="shared" si="15"/>
        <v>0</v>
      </c>
      <c r="AX79" s="30">
        <f t="shared" si="16"/>
        <v>0</v>
      </c>
      <c r="AY79" s="31" t="s">
        <v>1039</v>
      </c>
      <c r="AZ79" s="31" t="s">
        <v>1066</v>
      </c>
      <c r="BA79" s="24" t="s">
        <v>1080</v>
      </c>
      <c r="BC79" s="30">
        <f t="shared" si="17"/>
        <v>0</v>
      </c>
      <c r="BD79" s="30">
        <f t="shared" si="18"/>
        <v>0</v>
      </c>
      <c r="BE79" s="30">
        <v>0</v>
      </c>
      <c r="BF79" s="30">
        <f>79</f>
        <v>79</v>
      </c>
      <c r="BH79" s="14">
        <f t="shared" si="19"/>
        <v>0</v>
      </c>
      <c r="BI79" s="14">
        <f t="shared" si="20"/>
        <v>0</v>
      </c>
      <c r="BJ79" s="14">
        <f t="shared" si="21"/>
        <v>0</v>
      </c>
    </row>
    <row r="80" spans="1:62" ht="12.75">
      <c r="A80" s="4" t="s">
        <v>59</v>
      </c>
      <c r="B80" s="4" t="s">
        <v>375</v>
      </c>
      <c r="C80" s="153" t="s">
        <v>709</v>
      </c>
      <c r="D80" s="154"/>
      <c r="E80" s="154"/>
      <c r="F80" s="4" t="s">
        <v>995</v>
      </c>
      <c r="G80" s="64">
        <v>145</v>
      </c>
      <c r="H80" s="82">
        <v>0</v>
      </c>
      <c r="I80" s="14">
        <f t="shared" si="0"/>
        <v>0</v>
      </c>
      <c r="J80" s="14">
        <f t="shared" si="1"/>
        <v>0</v>
      </c>
      <c r="K80" s="14">
        <f t="shared" si="2"/>
        <v>0</v>
      </c>
      <c r="L80" s="25" t="s">
        <v>1014</v>
      </c>
      <c r="Z80" s="30">
        <f t="shared" si="3"/>
        <v>0</v>
      </c>
      <c r="AB80" s="30">
        <f t="shared" si="4"/>
        <v>0</v>
      </c>
      <c r="AC80" s="30">
        <f t="shared" si="5"/>
        <v>0</v>
      </c>
      <c r="AD80" s="30">
        <f t="shared" si="6"/>
        <v>0</v>
      </c>
      <c r="AE80" s="30">
        <f t="shared" si="7"/>
        <v>0</v>
      </c>
      <c r="AF80" s="30">
        <f t="shared" si="8"/>
        <v>0</v>
      </c>
      <c r="AG80" s="30">
        <f t="shared" si="9"/>
        <v>0</v>
      </c>
      <c r="AH80" s="30">
        <f t="shared" si="10"/>
        <v>0</v>
      </c>
      <c r="AI80" s="24" t="s">
        <v>1024</v>
      </c>
      <c r="AJ80" s="14">
        <f t="shared" si="11"/>
        <v>0</v>
      </c>
      <c r="AK80" s="14">
        <f t="shared" si="12"/>
        <v>0</v>
      </c>
      <c r="AL80" s="14">
        <f t="shared" si="13"/>
        <v>0</v>
      </c>
      <c r="AN80" s="30">
        <v>21</v>
      </c>
      <c r="AO80" s="30">
        <f>H80*0.866447368421053</f>
        <v>0</v>
      </c>
      <c r="AP80" s="30">
        <f>H80*(1-0.866447368421053)</f>
        <v>0</v>
      </c>
      <c r="AQ80" s="25" t="s">
        <v>7</v>
      </c>
      <c r="AV80" s="30">
        <f t="shared" si="14"/>
        <v>0</v>
      </c>
      <c r="AW80" s="30">
        <f t="shared" si="15"/>
        <v>0</v>
      </c>
      <c r="AX80" s="30">
        <f t="shared" si="16"/>
        <v>0</v>
      </c>
      <c r="AY80" s="31" t="s">
        <v>1039</v>
      </c>
      <c r="AZ80" s="31" t="s">
        <v>1066</v>
      </c>
      <c r="BA80" s="24" t="s">
        <v>1080</v>
      </c>
      <c r="BC80" s="30">
        <f t="shared" si="17"/>
        <v>0</v>
      </c>
      <c r="BD80" s="30">
        <f t="shared" si="18"/>
        <v>0</v>
      </c>
      <c r="BE80" s="30">
        <v>0</v>
      </c>
      <c r="BF80" s="30">
        <f>80</f>
        <v>80</v>
      </c>
      <c r="BH80" s="14">
        <f t="shared" si="19"/>
        <v>0</v>
      </c>
      <c r="BI80" s="14">
        <f t="shared" si="20"/>
        <v>0</v>
      </c>
      <c r="BJ80" s="14">
        <f t="shared" si="21"/>
        <v>0</v>
      </c>
    </row>
    <row r="81" spans="1:62" ht="12.75">
      <c r="A81" s="4" t="s">
        <v>60</v>
      </c>
      <c r="B81" s="4" t="s">
        <v>376</v>
      </c>
      <c r="C81" s="153" t="s">
        <v>710</v>
      </c>
      <c r="D81" s="154"/>
      <c r="E81" s="154"/>
      <c r="F81" s="4" t="s">
        <v>993</v>
      </c>
      <c r="G81" s="64">
        <v>1134.758</v>
      </c>
      <c r="H81" s="82">
        <v>0</v>
      </c>
      <c r="I81" s="14">
        <f t="shared" si="0"/>
        <v>0</v>
      </c>
      <c r="J81" s="14">
        <f t="shared" si="1"/>
        <v>0</v>
      </c>
      <c r="K81" s="14">
        <f t="shared" si="2"/>
        <v>0</v>
      </c>
      <c r="L81" s="25" t="s">
        <v>1014</v>
      </c>
      <c r="Z81" s="30">
        <f t="shared" si="3"/>
        <v>0</v>
      </c>
      <c r="AB81" s="30">
        <f t="shared" si="4"/>
        <v>0</v>
      </c>
      <c r="AC81" s="30">
        <f t="shared" si="5"/>
        <v>0</v>
      </c>
      <c r="AD81" s="30">
        <f t="shared" si="6"/>
        <v>0</v>
      </c>
      <c r="AE81" s="30">
        <f t="shared" si="7"/>
        <v>0</v>
      </c>
      <c r="AF81" s="30">
        <f t="shared" si="8"/>
        <v>0</v>
      </c>
      <c r="AG81" s="30">
        <f t="shared" si="9"/>
        <v>0</v>
      </c>
      <c r="AH81" s="30">
        <f t="shared" si="10"/>
        <v>0</v>
      </c>
      <c r="AI81" s="24" t="s">
        <v>1024</v>
      </c>
      <c r="AJ81" s="14">
        <f t="shared" si="11"/>
        <v>0</v>
      </c>
      <c r="AK81" s="14">
        <f t="shared" si="12"/>
        <v>0</v>
      </c>
      <c r="AL81" s="14">
        <f t="shared" si="13"/>
        <v>0</v>
      </c>
      <c r="AN81" s="30">
        <v>21</v>
      </c>
      <c r="AO81" s="30">
        <f>H81*0</f>
        <v>0</v>
      </c>
      <c r="AP81" s="30">
        <f>H81*(1-0)</f>
        <v>0</v>
      </c>
      <c r="AQ81" s="25" t="s">
        <v>7</v>
      </c>
      <c r="AV81" s="30">
        <f t="shared" si="14"/>
        <v>0</v>
      </c>
      <c r="AW81" s="30">
        <f t="shared" si="15"/>
        <v>0</v>
      </c>
      <c r="AX81" s="30">
        <f t="shared" si="16"/>
        <v>0</v>
      </c>
      <c r="AY81" s="31" t="s">
        <v>1039</v>
      </c>
      <c r="AZ81" s="31" t="s">
        <v>1066</v>
      </c>
      <c r="BA81" s="24" t="s">
        <v>1080</v>
      </c>
      <c r="BC81" s="30">
        <f t="shared" si="17"/>
        <v>0</v>
      </c>
      <c r="BD81" s="30">
        <f t="shared" si="18"/>
        <v>0</v>
      </c>
      <c r="BE81" s="30">
        <v>0</v>
      </c>
      <c r="BF81" s="30">
        <f>81</f>
        <v>81</v>
      </c>
      <c r="BH81" s="14">
        <f t="shared" si="19"/>
        <v>0</v>
      </c>
      <c r="BI81" s="14">
        <f t="shared" si="20"/>
        <v>0</v>
      </c>
      <c r="BJ81" s="14">
        <f t="shared" si="21"/>
        <v>0</v>
      </c>
    </row>
    <row r="82" spans="1:62" ht="12.75">
      <c r="A82" s="4" t="s">
        <v>61</v>
      </c>
      <c r="B82" s="4" t="s">
        <v>377</v>
      </c>
      <c r="C82" s="153" t="s">
        <v>711</v>
      </c>
      <c r="D82" s="154"/>
      <c r="E82" s="154"/>
      <c r="F82" s="4" t="s">
        <v>993</v>
      </c>
      <c r="G82" s="64">
        <v>1134.758</v>
      </c>
      <c r="H82" s="82">
        <v>0</v>
      </c>
      <c r="I82" s="14">
        <f t="shared" si="0"/>
        <v>0</v>
      </c>
      <c r="J82" s="14">
        <f t="shared" si="1"/>
        <v>0</v>
      </c>
      <c r="K82" s="14">
        <f t="shared" si="2"/>
        <v>0</v>
      </c>
      <c r="L82" s="25" t="s">
        <v>1014</v>
      </c>
      <c r="Z82" s="30">
        <f t="shared" si="3"/>
        <v>0</v>
      </c>
      <c r="AB82" s="30">
        <f t="shared" si="4"/>
        <v>0</v>
      </c>
      <c r="AC82" s="30">
        <f t="shared" si="5"/>
        <v>0</v>
      </c>
      <c r="AD82" s="30">
        <f t="shared" si="6"/>
        <v>0</v>
      </c>
      <c r="AE82" s="30">
        <f t="shared" si="7"/>
        <v>0</v>
      </c>
      <c r="AF82" s="30">
        <f t="shared" si="8"/>
        <v>0</v>
      </c>
      <c r="AG82" s="30">
        <f t="shared" si="9"/>
        <v>0</v>
      </c>
      <c r="AH82" s="30">
        <f t="shared" si="10"/>
        <v>0</v>
      </c>
      <c r="AI82" s="24" t="s">
        <v>1024</v>
      </c>
      <c r="AJ82" s="14">
        <f t="shared" si="11"/>
        <v>0</v>
      </c>
      <c r="AK82" s="14">
        <f t="shared" si="12"/>
        <v>0</v>
      </c>
      <c r="AL82" s="14">
        <f t="shared" si="13"/>
        <v>0</v>
      </c>
      <c r="AN82" s="30">
        <v>21</v>
      </c>
      <c r="AO82" s="30">
        <f>H82*0.0709943131256448</f>
        <v>0</v>
      </c>
      <c r="AP82" s="30">
        <f>H82*(1-0.0709943131256448)</f>
        <v>0</v>
      </c>
      <c r="AQ82" s="25" t="s">
        <v>7</v>
      </c>
      <c r="AV82" s="30">
        <f t="shared" si="14"/>
        <v>0</v>
      </c>
      <c r="AW82" s="30">
        <f t="shared" si="15"/>
        <v>0</v>
      </c>
      <c r="AX82" s="30">
        <f t="shared" si="16"/>
        <v>0</v>
      </c>
      <c r="AY82" s="31" t="s">
        <v>1039</v>
      </c>
      <c r="AZ82" s="31" t="s">
        <v>1066</v>
      </c>
      <c r="BA82" s="24" t="s">
        <v>1080</v>
      </c>
      <c r="BC82" s="30">
        <f t="shared" si="17"/>
        <v>0</v>
      </c>
      <c r="BD82" s="30">
        <f t="shared" si="18"/>
        <v>0</v>
      </c>
      <c r="BE82" s="30">
        <v>0</v>
      </c>
      <c r="BF82" s="30">
        <f>82</f>
        <v>82</v>
      </c>
      <c r="BH82" s="14">
        <f t="shared" si="19"/>
        <v>0</v>
      </c>
      <c r="BI82" s="14">
        <f t="shared" si="20"/>
        <v>0</v>
      </c>
      <c r="BJ82" s="14">
        <f t="shared" si="21"/>
        <v>0</v>
      </c>
    </row>
    <row r="83" spans="1:62" ht="12.75">
      <c r="A83" s="4" t="s">
        <v>62</v>
      </c>
      <c r="B83" s="4" t="s">
        <v>378</v>
      </c>
      <c r="C83" s="153" t="s">
        <v>712</v>
      </c>
      <c r="D83" s="154"/>
      <c r="E83" s="154"/>
      <c r="F83" s="4" t="s">
        <v>993</v>
      </c>
      <c r="G83" s="64">
        <v>340.427</v>
      </c>
      <c r="H83" s="82">
        <v>0</v>
      </c>
      <c r="I83" s="14">
        <f t="shared" si="0"/>
        <v>0</v>
      </c>
      <c r="J83" s="14">
        <f t="shared" si="1"/>
        <v>0</v>
      </c>
      <c r="K83" s="14">
        <f t="shared" si="2"/>
        <v>0</v>
      </c>
      <c r="L83" s="25" t="s">
        <v>1014</v>
      </c>
      <c r="Z83" s="30">
        <f t="shared" si="3"/>
        <v>0</v>
      </c>
      <c r="AB83" s="30">
        <f t="shared" si="4"/>
        <v>0</v>
      </c>
      <c r="AC83" s="30">
        <f t="shared" si="5"/>
        <v>0</v>
      </c>
      <c r="AD83" s="30">
        <f t="shared" si="6"/>
        <v>0</v>
      </c>
      <c r="AE83" s="30">
        <f t="shared" si="7"/>
        <v>0</v>
      </c>
      <c r="AF83" s="30">
        <f t="shared" si="8"/>
        <v>0</v>
      </c>
      <c r="AG83" s="30">
        <f t="shared" si="9"/>
        <v>0</v>
      </c>
      <c r="AH83" s="30">
        <f t="shared" si="10"/>
        <v>0</v>
      </c>
      <c r="AI83" s="24" t="s">
        <v>1024</v>
      </c>
      <c r="AJ83" s="14">
        <f t="shared" si="11"/>
        <v>0</v>
      </c>
      <c r="AK83" s="14">
        <f t="shared" si="12"/>
        <v>0</v>
      </c>
      <c r="AL83" s="14">
        <f t="shared" si="13"/>
        <v>0</v>
      </c>
      <c r="AN83" s="30">
        <v>21</v>
      </c>
      <c r="AO83" s="30">
        <f>H83*0</f>
        <v>0</v>
      </c>
      <c r="AP83" s="30">
        <f>H83*(1-0)</f>
        <v>0</v>
      </c>
      <c r="AQ83" s="25" t="s">
        <v>7</v>
      </c>
      <c r="AV83" s="30">
        <f t="shared" si="14"/>
        <v>0</v>
      </c>
      <c r="AW83" s="30">
        <f t="shared" si="15"/>
        <v>0</v>
      </c>
      <c r="AX83" s="30">
        <f t="shared" si="16"/>
        <v>0</v>
      </c>
      <c r="AY83" s="31" t="s">
        <v>1039</v>
      </c>
      <c r="AZ83" s="31" t="s">
        <v>1066</v>
      </c>
      <c r="BA83" s="24" t="s">
        <v>1080</v>
      </c>
      <c r="BC83" s="30">
        <f t="shared" si="17"/>
        <v>0</v>
      </c>
      <c r="BD83" s="30">
        <f t="shared" si="18"/>
        <v>0</v>
      </c>
      <c r="BE83" s="30">
        <v>0</v>
      </c>
      <c r="BF83" s="30">
        <f>83</f>
        <v>83</v>
      </c>
      <c r="BH83" s="14">
        <f t="shared" si="19"/>
        <v>0</v>
      </c>
      <c r="BI83" s="14">
        <f t="shared" si="20"/>
        <v>0</v>
      </c>
      <c r="BJ83" s="14">
        <f t="shared" si="21"/>
        <v>0</v>
      </c>
    </row>
    <row r="84" spans="1:62" ht="12.75">
      <c r="A84" s="4" t="s">
        <v>63</v>
      </c>
      <c r="B84" s="4" t="s">
        <v>379</v>
      </c>
      <c r="C84" s="153" t="s">
        <v>713</v>
      </c>
      <c r="D84" s="154"/>
      <c r="E84" s="154"/>
      <c r="F84" s="4" t="s">
        <v>993</v>
      </c>
      <c r="G84" s="64">
        <v>567.379</v>
      </c>
      <c r="H84" s="82">
        <v>0</v>
      </c>
      <c r="I84" s="14">
        <f t="shared" si="0"/>
        <v>0</v>
      </c>
      <c r="J84" s="14">
        <f t="shared" si="1"/>
        <v>0</v>
      </c>
      <c r="K84" s="14">
        <f t="shared" si="2"/>
        <v>0</v>
      </c>
      <c r="L84" s="25" t="s">
        <v>1014</v>
      </c>
      <c r="Z84" s="30">
        <f t="shared" si="3"/>
        <v>0</v>
      </c>
      <c r="AB84" s="30">
        <f t="shared" si="4"/>
        <v>0</v>
      </c>
      <c r="AC84" s="30">
        <f t="shared" si="5"/>
        <v>0</v>
      </c>
      <c r="AD84" s="30">
        <f t="shared" si="6"/>
        <v>0</v>
      </c>
      <c r="AE84" s="30">
        <f t="shared" si="7"/>
        <v>0</v>
      </c>
      <c r="AF84" s="30">
        <f t="shared" si="8"/>
        <v>0</v>
      </c>
      <c r="AG84" s="30">
        <f t="shared" si="9"/>
        <v>0</v>
      </c>
      <c r="AH84" s="30">
        <f t="shared" si="10"/>
        <v>0</v>
      </c>
      <c r="AI84" s="24" t="s">
        <v>1024</v>
      </c>
      <c r="AJ84" s="14">
        <f t="shared" si="11"/>
        <v>0</v>
      </c>
      <c r="AK84" s="14">
        <f t="shared" si="12"/>
        <v>0</v>
      </c>
      <c r="AL84" s="14">
        <f t="shared" si="13"/>
        <v>0</v>
      </c>
      <c r="AN84" s="30">
        <v>21</v>
      </c>
      <c r="AO84" s="30">
        <f>H84*0.321413720235991</f>
        <v>0</v>
      </c>
      <c r="AP84" s="30">
        <f>H84*(1-0.321413720235991)</f>
        <v>0</v>
      </c>
      <c r="AQ84" s="25" t="s">
        <v>7</v>
      </c>
      <c r="AV84" s="30">
        <f t="shared" si="14"/>
        <v>0</v>
      </c>
      <c r="AW84" s="30">
        <f t="shared" si="15"/>
        <v>0</v>
      </c>
      <c r="AX84" s="30">
        <f t="shared" si="16"/>
        <v>0</v>
      </c>
      <c r="AY84" s="31" t="s">
        <v>1039</v>
      </c>
      <c r="AZ84" s="31" t="s">
        <v>1066</v>
      </c>
      <c r="BA84" s="24" t="s">
        <v>1080</v>
      </c>
      <c r="BC84" s="30">
        <f t="shared" si="17"/>
        <v>0</v>
      </c>
      <c r="BD84" s="30">
        <f t="shared" si="18"/>
        <v>0</v>
      </c>
      <c r="BE84" s="30">
        <v>0</v>
      </c>
      <c r="BF84" s="30">
        <f>84</f>
        <v>84</v>
      </c>
      <c r="BH84" s="14">
        <f t="shared" si="19"/>
        <v>0</v>
      </c>
      <c r="BI84" s="14">
        <f t="shared" si="20"/>
        <v>0</v>
      </c>
      <c r="BJ84" s="14">
        <f t="shared" si="21"/>
        <v>0</v>
      </c>
    </row>
    <row r="85" spans="1:47" ht="12.75">
      <c r="A85" s="3"/>
      <c r="B85" s="11" t="s">
        <v>70</v>
      </c>
      <c r="C85" s="151" t="s">
        <v>714</v>
      </c>
      <c r="D85" s="152"/>
      <c r="E85" s="152"/>
      <c r="F85" s="3" t="s">
        <v>6</v>
      </c>
      <c r="G85" s="3" t="s">
        <v>6</v>
      </c>
      <c r="H85" s="3" t="s">
        <v>6</v>
      </c>
      <c r="I85" s="32">
        <f>SUM(I86:I90)</f>
        <v>0</v>
      </c>
      <c r="J85" s="32">
        <f>SUM(J86:J90)</f>
        <v>0</v>
      </c>
      <c r="K85" s="32">
        <f>SUM(K86:K90)</f>
        <v>0</v>
      </c>
      <c r="L85" s="24"/>
      <c r="AI85" s="24" t="s">
        <v>1024</v>
      </c>
      <c r="AS85" s="32">
        <f>SUM(AJ86:AJ90)</f>
        <v>0</v>
      </c>
      <c r="AT85" s="32">
        <f>SUM(AK86:AK90)</f>
        <v>0</v>
      </c>
      <c r="AU85" s="32">
        <f>SUM(AL86:AL90)</f>
        <v>0</v>
      </c>
    </row>
    <row r="86" spans="1:62" ht="12.75">
      <c r="A86" s="4" t="s">
        <v>64</v>
      </c>
      <c r="B86" s="4" t="s">
        <v>380</v>
      </c>
      <c r="C86" s="153" t="s">
        <v>715</v>
      </c>
      <c r="D86" s="154"/>
      <c r="E86" s="154"/>
      <c r="F86" s="4" t="s">
        <v>995</v>
      </c>
      <c r="G86" s="64">
        <v>19.5</v>
      </c>
      <c r="H86" s="82">
        <v>0</v>
      </c>
      <c r="I86" s="14">
        <f>G86*AO86</f>
        <v>0</v>
      </c>
      <c r="J86" s="14">
        <f>G86*AP86</f>
        <v>0</v>
      </c>
      <c r="K86" s="14">
        <f>G86*H86</f>
        <v>0</v>
      </c>
      <c r="L86" s="25" t="s">
        <v>1014</v>
      </c>
      <c r="Z86" s="30">
        <f>IF(AQ86="5",BJ86,0)</f>
        <v>0</v>
      </c>
      <c r="AB86" s="30">
        <f>IF(AQ86="1",BH86,0)</f>
        <v>0</v>
      </c>
      <c r="AC86" s="30">
        <f>IF(AQ86="1",BI86,0)</f>
        <v>0</v>
      </c>
      <c r="AD86" s="30">
        <f>IF(AQ86="7",BH86,0)</f>
        <v>0</v>
      </c>
      <c r="AE86" s="30">
        <f>IF(AQ86="7",BI86,0)</f>
        <v>0</v>
      </c>
      <c r="AF86" s="30">
        <f>IF(AQ86="2",BH86,0)</f>
        <v>0</v>
      </c>
      <c r="AG86" s="30">
        <f>IF(AQ86="2",BI86,0)</f>
        <v>0</v>
      </c>
      <c r="AH86" s="30">
        <f>IF(AQ86="0",BJ86,0)</f>
        <v>0</v>
      </c>
      <c r="AI86" s="24" t="s">
        <v>1024</v>
      </c>
      <c r="AJ86" s="14">
        <f>IF(AN86=0,K86,0)</f>
        <v>0</v>
      </c>
      <c r="AK86" s="14">
        <f>IF(AN86=15,K86,0)</f>
        <v>0</v>
      </c>
      <c r="AL86" s="14">
        <f>IF(AN86=21,K86,0)</f>
        <v>0</v>
      </c>
      <c r="AN86" s="30">
        <v>21</v>
      </c>
      <c r="AO86" s="30">
        <f>H86*0.49152687122044</f>
        <v>0</v>
      </c>
      <c r="AP86" s="30">
        <f>H86*(1-0.49152687122044)</f>
        <v>0</v>
      </c>
      <c r="AQ86" s="25" t="s">
        <v>7</v>
      </c>
      <c r="AV86" s="30">
        <f>AW86+AX86</f>
        <v>0</v>
      </c>
      <c r="AW86" s="30">
        <f>G86*AO86</f>
        <v>0</v>
      </c>
      <c r="AX86" s="30">
        <f>G86*AP86</f>
        <v>0</v>
      </c>
      <c r="AY86" s="31" t="s">
        <v>1040</v>
      </c>
      <c r="AZ86" s="31" t="s">
        <v>1066</v>
      </c>
      <c r="BA86" s="24" t="s">
        <v>1080</v>
      </c>
      <c r="BC86" s="30">
        <f>AW86+AX86</f>
        <v>0</v>
      </c>
      <c r="BD86" s="30">
        <f>H86/(100-BE86)*100</f>
        <v>0</v>
      </c>
      <c r="BE86" s="30">
        <v>0</v>
      </c>
      <c r="BF86" s="30">
        <f>86</f>
        <v>86</v>
      </c>
      <c r="BH86" s="14">
        <f>G86*AO86</f>
        <v>0</v>
      </c>
      <c r="BI86" s="14">
        <f>G86*AP86</f>
        <v>0</v>
      </c>
      <c r="BJ86" s="14">
        <f>G86*H86</f>
        <v>0</v>
      </c>
    </row>
    <row r="87" spans="1:62" ht="12.75">
      <c r="A87" s="4" t="s">
        <v>65</v>
      </c>
      <c r="B87" s="4" t="s">
        <v>381</v>
      </c>
      <c r="C87" s="153" t="s">
        <v>716</v>
      </c>
      <c r="D87" s="154"/>
      <c r="E87" s="154"/>
      <c r="F87" s="4" t="s">
        <v>995</v>
      </c>
      <c r="G87" s="64">
        <v>2.6</v>
      </c>
      <c r="H87" s="82">
        <v>0</v>
      </c>
      <c r="I87" s="14">
        <f>G87*AO87</f>
        <v>0</v>
      </c>
      <c r="J87" s="14">
        <f>G87*AP87</f>
        <v>0</v>
      </c>
      <c r="K87" s="14">
        <f>G87*H87</f>
        <v>0</v>
      </c>
      <c r="L87" s="25" t="s">
        <v>1014</v>
      </c>
      <c r="Z87" s="30">
        <f>IF(AQ87="5",BJ87,0)</f>
        <v>0</v>
      </c>
      <c r="AB87" s="30">
        <f>IF(AQ87="1",BH87,0)</f>
        <v>0</v>
      </c>
      <c r="AC87" s="30">
        <f>IF(AQ87="1",BI87,0)</f>
        <v>0</v>
      </c>
      <c r="AD87" s="30">
        <f>IF(AQ87="7",BH87,0)</f>
        <v>0</v>
      </c>
      <c r="AE87" s="30">
        <f>IF(AQ87="7",BI87,0)</f>
        <v>0</v>
      </c>
      <c r="AF87" s="30">
        <f>IF(AQ87="2",BH87,0)</f>
        <v>0</v>
      </c>
      <c r="AG87" s="30">
        <f>IF(AQ87="2",BI87,0)</f>
        <v>0</v>
      </c>
      <c r="AH87" s="30">
        <f>IF(AQ87="0",BJ87,0)</f>
        <v>0</v>
      </c>
      <c r="AI87" s="24" t="s">
        <v>1024</v>
      </c>
      <c r="AJ87" s="14">
        <f>IF(AN87=0,K87,0)</f>
        <v>0</v>
      </c>
      <c r="AK87" s="14">
        <f>IF(AN87=15,K87,0)</f>
        <v>0</v>
      </c>
      <c r="AL87" s="14">
        <f>IF(AN87=21,K87,0)</f>
        <v>0</v>
      </c>
      <c r="AN87" s="30">
        <v>21</v>
      </c>
      <c r="AO87" s="30">
        <f>H87*0.529588316122335</f>
        <v>0</v>
      </c>
      <c r="AP87" s="30">
        <f>H87*(1-0.529588316122335)</f>
        <v>0</v>
      </c>
      <c r="AQ87" s="25" t="s">
        <v>7</v>
      </c>
      <c r="AV87" s="30">
        <f>AW87+AX87</f>
        <v>0</v>
      </c>
      <c r="AW87" s="30">
        <f>G87*AO87</f>
        <v>0</v>
      </c>
      <c r="AX87" s="30">
        <f>G87*AP87</f>
        <v>0</v>
      </c>
      <c r="AY87" s="31" t="s">
        <v>1040</v>
      </c>
      <c r="AZ87" s="31" t="s">
        <v>1066</v>
      </c>
      <c r="BA87" s="24" t="s">
        <v>1080</v>
      </c>
      <c r="BC87" s="30">
        <f>AW87+AX87</f>
        <v>0</v>
      </c>
      <c r="BD87" s="30">
        <f>H87/(100-BE87)*100</f>
        <v>0</v>
      </c>
      <c r="BE87" s="30">
        <v>0</v>
      </c>
      <c r="BF87" s="30">
        <f>87</f>
        <v>87</v>
      </c>
      <c r="BH87" s="14">
        <f>G87*AO87</f>
        <v>0</v>
      </c>
      <c r="BI87" s="14">
        <f>G87*AP87</f>
        <v>0</v>
      </c>
      <c r="BJ87" s="14">
        <f>G87*H87</f>
        <v>0</v>
      </c>
    </row>
    <row r="88" spans="1:62" ht="12.75">
      <c r="A88" s="4" t="s">
        <v>66</v>
      </c>
      <c r="B88" s="4" t="s">
        <v>382</v>
      </c>
      <c r="C88" s="153" t="s">
        <v>717</v>
      </c>
      <c r="D88" s="154"/>
      <c r="E88" s="154"/>
      <c r="F88" s="4" t="s">
        <v>995</v>
      </c>
      <c r="G88" s="64">
        <v>4.5</v>
      </c>
      <c r="H88" s="82">
        <v>0</v>
      </c>
      <c r="I88" s="14">
        <f>G88*AO88</f>
        <v>0</v>
      </c>
      <c r="J88" s="14">
        <f>G88*AP88</f>
        <v>0</v>
      </c>
      <c r="K88" s="14">
        <f>G88*H88</f>
        <v>0</v>
      </c>
      <c r="L88" s="25" t="s">
        <v>1014</v>
      </c>
      <c r="Z88" s="30">
        <f>IF(AQ88="5",BJ88,0)</f>
        <v>0</v>
      </c>
      <c r="AB88" s="30">
        <f>IF(AQ88="1",BH88,0)</f>
        <v>0</v>
      </c>
      <c r="AC88" s="30">
        <f>IF(AQ88="1",BI88,0)</f>
        <v>0</v>
      </c>
      <c r="AD88" s="30">
        <f>IF(AQ88="7",BH88,0)</f>
        <v>0</v>
      </c>
      <c r="AE88" s="30">
        <f>IF(AQ88="7",BI88,0)</f>
        <v>0</v>
      </c>
      <c r="AF88" s="30">
        <f>IF(AQ88="2",BH88,0)</f>
        <v>0</v>
      </c>
      <c r="AG88" s="30">
        <f>IF(AQ88="2",BI88,0)</f>
        <v>0</v>
      </c>
      <c r="AH88" s="30">
        <f>IF(AQ88="0",BJ88,0)</f>
        <v>0</v>
      </c>
      <c r="AI88" s="24" t="s">
        <v>1024</v>
      </c>
      <c r="AJ88" s="14">
        <f>IF(AN88=0,K88,0)</f>
        <v>0</v>
      </c>
      <c r="AK88" s="14">
        <f>IF(AN88=15,K88,0)</f>
        <v>0</v>
      </c>
      <c r="AL88" s="14">
        <f>IF(AN88=21,K88,0)</f>
        <v>0</v>
      </c>
      <c r="AN88" s="30">
        <v>21</v>
      </c>
      <c r="AO88" s="30">
        <f>H88*0.519298496778812</f>
        <v>0</v>
      </c>
      <c r="AP88" s="30">
        <f>H88*(1-0.519298496778812)</f>
        <v>0</v>
      </c>
      <c r="AQ88" s="25" t="s">
        <v>7</v>
      </c>
      <c r="AV88" s="30">
        <f>AW88+AX88</f>
        <v>0</v>
      </c>
      <c r="AW88" s="30">
        <f>G88*AO88</f>
        <v>0</v>
      </c>
      <c r="AX88" s="30">
        <f>G88*AP88</f>
        <v>0</v>
      </c>
      <c r="AY88" s="31" t="s">
        <v>1040</v>
      </c>
      <c r="AZ88" s="31" t="s">
        <v>1066</v>
      </c>
      <c r="BA88" s="24" t="s">
        <v>1080</v>
      </c>
      <c r="BC88" s="30">
        <f>AW88+AX88</f>
        <v>0</v>
      </c>
      <c r="BD88" s="30">
        <f>H88/(100-BE88)*100</f>
        <v>0</v>
      </c>
      <c r="BE88" s="30">
        <v>0</v>
      </c>
      <c r="BF88" s="30">
        <f>88</f>
        <v>88</v>
      </c>
      <c r="BH88" s="14">
        <f>G88*AO88</f>
        <v>0</v>
      </c>
      <c r="BI88" s="14">
        <f>G88*AP88</f>
        <v>0</v>
      </c>
      <c r="BJ88" s="14">
        <f>G88*H88</f>
        <v>0</v>
      </c>
    </row>
    <row r="89" spans="1:62" ht="12.75">
      <c r="A89" s="4" t="s">
        <v>67</v>
      </c>
      <c r="B89" s="4" t="s">
        <v>383</v>
      </c>
      <c r="C89" s="153" t="s">
        <v>718</v>
      </c>
      <c r="D89" s="154"/>
      <c r="E89" s="154"/>
      <c r="F89" s="4" t="s">
        <v>995</v>
      </c>
      <c r="G89" s="64">
        <v>7.75</v>
      </c>
      <c r="H89" s="82">
        <v>0</v>
      </c>
      <c r="I89" s="14">
        <f>G89*AO89</f>
        <v>0</v>
      </c>
      <c r="J89" s="14">
        <f>G89*AP89</f>
        <v>0</v>
      </c>
      <c r="K89" s="14">
        <f>G89*H89</f>
        <v>0</v>
      </c>
      <c r="L89" s="25" t="s">
        <v>1014</v>
      </c>
      <c r="Z89" s="30">
        <f>IF(AQ89="5",BJ89,0)</f>
        <v>0</v>
      </c>
      <c r="AB89" s="30">
        <f>IF(AQ89="1",BH89,0)</f>
        <v>0</v>
      </c>
      <c r="AC89" s="30">
        <f>IF(AQ89="1",BI89,0)</f>
        <v>0</v>
      </c>
      <c r="AD89" s="30">
        <f>IF(AQ89="7",BH89,0)</f>
        <v>0</v>
      </c>
      <c r="AE89" s="30">
        <f>IF(AQ89="7",BI89,0)</f>
        <v>0</v>
      </c>
      <c r="AF89" s="30">
        <f>IF(AQ89="2",BH89,0)</f>
        <v>0</v>
      </c>
      <c r="AG89" s="30">
        <f>IF(AQ89="2",BI89,0)</f>
        <v>0</v>
      </c>
      <c r="AH89" s="30">
        <f>IF(AQ89="0",BJ89,0)</f>
        <v>0</v>
      </c>
      <c r="AI89" s="24" t="s">
        <v>1024</v>
      </c>
      <c r="AJ89" s="14">
        <f>IF(AN89=0,K89,0)</f>
        <v>0</v>
      </c>
      <c r="AK89" s="14">
        <f>IF(AN89=15,K89,0)</f>
        <v>0</v>
      </c>
      <c r="AL89" s="14">
        <f>IF(AN89=21,K89,0)</f>
        <v>0</v>
      </c>
      <c r="AN89" s="30">
        <v>21</v>
      </c>
      <c r="AO89" s="30">
        <f>H89*0.532233483613191</f>
        <v>0</v>
      </c>
      <c r="AP89" s="30">
        <f>H89*(1-0.532233483613191)</f>
        <v>0</v>
      </c>
      <c r="AQ89" s="25" t="s">
        <v>7</v>
      </c>
      <c r="AV89" s="30">
        <f>AW89+AX89</f>
        <v>0</v>
      </c>
      <c r="AW89" s="30">
        <f>G89*AO89</f>
        <v>0</v>
      </c>
      <c r="AX89" s="30">
        <f>G89*AP89</f>
        <v>0</v>
      </c>
      <c r="AY89" s="31" t="s">
        <v>1040</v>
      </c>
      <c r="AZ89" s="31" t="s">
        <v>1066</v>
      </c>
      <c r="BA89" s="24" t="s">
        <v>1080</v>
      </c>
      <c r="BC89" s="30">
        <f>AW89+AX89</f>
        <v>0</v>
      </c>
      <c r="BD89" s="30">
        <f>H89/(100-BE89)*100</f>
        <v>0</v>
      </c>
      <c r="BE89" s="30">
        <v>0</v>
      </c>
      <c r="BF89" s="30">
        <f>89</f>
        <v>89</v>
      </c>
      <c r="BH89" s="14">
        <f>G89*AO89</f>
        <v>0</v>
      </c>
      <c r="BI89" s="14">
        <f>G89*AP89</f>
        <v>0</v>
      </c>
      <c r="BJ89" s="14">
        <f>G89*H89</f>
        <v>0</v>
      </c>
    </row>
    <row r="90" spans="1:62" ht="12.75">
      <c r="A90" s="4" t="s">
        <v>68</v>
      </c>
      <c r="B90" s="4" t="s">
        <v>384</v>
      </c>
      <c r="C90" s="153" t="s">
        <v>719</v>
      </c>
      <c r="D90" s="154"/>
      <c r="E90" s="154"/>
      <c r="F90" s="4" t="s">
        <v>995</v>
      </c>
      <c r="G90" s="64">
        <v>3.4</v>
      </c>
      <c r="H90" s="82">
        <v>0</v>
      </c>
      <c r="I90" s="14">
        <f>G90*AO90</f>
        <v>0</v>
      </c>
      <c r="J90" s="14">
        <f>G90*AP90</f>
        <v>0</v>
      </c>
      <c r="K90" s="14">
        <f>G90*H90</f>
        <v>0</v>
      </c>
      <c r="L90" s="25" t="s">
        <v>1014</v>
      </c>
      <c r="Z90" s="30">
        <f>IF(AQ90="5",BJ90,0)</f>
        <v>0</v>
      </c>
      <c r="AB90" s="30">
        <f>IF(AQ90="1",BH90,0)</f>
        <v>0</v>
      </c>
      <c r="AC90" s="30">
        <f>IF(AQ90="1",BI90,0)</f>
        <v>0</v>
      </c>
      <c r="AD90" s="30">
        <f>IF(AQ90="7",BH90,0)</f>
        <v>0</v>
      </c>
      <c r="AE90" s="30">
        <f>IF(AQ90="7",BI90,0)</f>
        <v>0</v>
      </c>
      <c r="AF90" s="30">
        <f>IF(AQ90="2",BH90,0)</f>
        <v>0</v>
      </c>
      <c r="AG90" s="30">
        <f>IF(AQ90="2",BI90,0)</f>
        <v>0</v>
      </c>
      <c r="AH90" s="30">
        <f>IF(AQ90="0",BJ90,0)</f>
        <v>0</v>
      </c>
      <c r="AI90" s="24" t="s">
        <v>1024</v>
      </c>
      <c r="AJ90" s="14">
        <f>IF(AN90=0,K90,0)</f>
        <v>0</v>
      </c>
      <c r="AK90" s="14">
        <f>IF(AN90=15,K90,0)</f>
        <v>0</v>
      </c>
      <c r="AL90" s="14">
        <f>IF(AN90=21,K90,0)</f>
        <v>0</v>
      </c>
      <c r="AN90" s="30">
        <v>21</v>
      </c>
      <c r="AO90" s="30">
        <f>H90*0.561140529531568</f>
        <v>0</v>
      </c>
      <c r="AP90" s="30">
        <f>H90*(1-0.561140529531568)</f>
        <v>0</v>
      </c>
      <c r="AQ90" s="25" t="s">
        <v>7</v>
      </c>
      <c r="AV90" s="30">
        <f>AW90+AX90</f>
        <v>0</v>
      </c>
      <c r="AW90" s="30">
        <f>G90*AO90</f>
        <v>0</v>
      </c>
      <c r="AX90" s="30">
        <f>G90*AP90</f>
        <v>0</v>
      </c>
      <c r="AY90" s="31" t="s">
        <v>1040</v>
      </c>
      <c r="AZ90" s="31" t="s">
        <v>1066</v>
      </c>
      <c r="BA90" s="24" t="s">
        <v>1080</v>
      </c>
      <c r="BC90" s="30">
        <f>AW90+AX90</f>
        <v>0</v>
      </c>
      <c r="BD90" s="30">
        <f>H90/(100-BE90)*100</f>
        <v>0</v>
      </c>
      <c r="BE90" s="30">
        <v>0</v>
      </c>
      <c r="BF90" s="30">
        <f>90</f>
        <v>90</v>
      </c>
      <c r="BH90" s="14">
        <f>G90*AO90</f>
        <v>0</v>
      </c>
      <c r="BI90" s="14">
        <f>G90*AP90</f>
        <v>0</v>
      </c>
      <c r="BJ90" s="14">
        <f>G90*H90</f>
        <v>0</v>
      </c>
    </row>
    <row r="91" spans="1:47" ht="12.75">
      <c r="A91" s="3"/>
      <c r="B91" s="11" t="s">
        <v>100</v>
      </c>
      <c r="C91" s="151" t="s">
        <v>720</v>
      </c>
      <c r="D91" s="152"/>
      <c r="E91" s="152"/>
      <c r="F91" s="3" t="s">
        <v>6</v>
      </c>
      <c r="G91" s="3" t="s">
        <v>6</v>
      </c>
      <c r="H91" s="3" t="s">
        <v>6</v>
      </c>
      <c r="I91" s="32">
        <f>SUM(I92:I99)</f>
        <v>0</v>
      </c>
      <c r="J91" s="32">
        <f>SUM(J92:J99)</f>
        <v>0</v>
      </c>
      <c r="K91" s="32">
        <f>SUM(K92:K99)</f>
        <v>0</v>
      </c>
      <c r="L91" s="24"/>
      <c r="AI91" s="24" t="s">
        <v>1024</v>
      </c>
      <c r="AS91" s="32">
        <f>SUM(AJ92:AJ99)</f>
        <v>0</v>
      </c>
      <c r="AT91" s="32">
        <f>SUM(AK92:AK99)</f>
        <v>0</v>
      </c>
      <c r="AU91" s="32">
        <f>SUM(AL92:AL99)</f>
        <v>0</v>
      </c>
    </row>
    <row r="92" spans="1:62" ht="12.75">
      <c r="A92" s="4" t="s">
        <v>69</v>
      </c>
      <c r="B92" s="4" t="s">
        <v>385</v>
      </c>
      <c r="C92" s="153" t="s">
        <v>721</v>
      </c>
      <c r="D92" s="154"/>
      <c r="E92" s="154"/>
      <c r="F92" s="4" t="s">
        <v>993</v>
      </c>
      <c r="G92" s="64">
        <v>1049.75</v>
      </c>
      <c r="H92" s="82">
        <v>0</v>
      </c>
      <c r="I92" s="14">
        <f aca="true" t="shared" si="22" ref="I92:I99">G92*AO92</f>
        <v>0</v>
      </c>
      <c r="J92" s="14">
        <f aca="true" t="shared" si="23" ref="J92:J99">G92*AP92</f>
        <v>0</v>
      </c>
      <c r="K92" s="14">
        <f aca="true" t="shared" si="24" ref="K92:K99">G92*H92</f>
        <v>0</v>
      </c>
      <c r="L92" s="25" t="s">
        <v>1014</v>
      </c>
      <c r="Z92" s="30">
        <f aca="true" t="shared" si="25" ref="Z92:Z99">IF(AQ92="5",BJ92,0)</f>
        <v>0</v>
      </c>
      <c r="AB92" s="30">
        <f aca="true" t="shared" si="26" ref="AB92:AB99">IF(AQ92="1",BH92,0)</f>
        <v>0</v>
      </c>
      <c r="AC92" s="30">
        <f aca="true" t="shared" si="27" ref="AC92:AC99">IF(AQ92="1",BI92,0)</f>
        <v>0</v>
      </c>
      <c r="AD92" s="30">
        <f aca="true" t="shared" si="28" ref="AD92:AD99">IF(AQ92="7",BH92,0)</f>
        <v>0</v>
      </c>
      <c r="AE92" s="30">
        <f aca="true" t="shared" si="29" ref="AE92:AE99">IF(AQ92="7",BI92,0)</f>
        <v>0</v>
      </c>
      <c r="AF92" s="30">
        <f aca="true" t="shared" si="30" ref="AF92:AF99">IF(AQ92="2",BH92,0)</f>
        <v>0</v>
      </c>
      <c r="AG92" s="30">
        <f aca="true" t="shared" si="31" ref="AG92:AG99">IF(AQ92="2",BI92,0)</f>
        <v>0</v>
      </c>
      <c r="AH92" s="30">
        <f aca="true" t="shared" si="32" ref="AH92:AH99">IF(AQ92="0",BJ92,0)</f>
        <v>0</v>
      </c>
      <c r="AI92" s="24" t="s">
        <v>1024</v>
      </c>
      <c r="AJ92" s="14">
        <f aca="true" t="shared" si="33" ref="AJ92:AJ99">IF(AN92=0,K92,0)</f>
        <v>0</v>
      </c>
      <c r="AK92" s="14">
        <f aca="true" t="shared" si="34" ref="AK92:AK99">IF(AN92=15,K92,0)</f>
        <v>0</v>
      </c>
      <c r="AL92" s="14">
        <f aca="true" t="shared" si="35" ref="AL92:AL99">IF(AN92=21,K92,0)</f>
        <v>0</v>
      </c>
      <c r="AN92" s="30">
        <v>21</v>
      </c>
      <c r="AO92" s="30">
        <f>H92*0.000325203226846251</f>
        <v>0</v>
      </c>
      <c r="AP92" s="30">
        <f>H92*(1-0.000325203226846251)</f>
        <v>0</v>
      </c>
      <c r="AQ92" s="25" t="s">
        <v>7</v>
      </c>
      <c r="AV92" s="30">
        <f aca="true" t="shared" si="36" ref="AV92:AV99">AW92+AX92</f>
        <v>0</v>
      </c>
      <c r="AW92" s="30">
        <f aca="true" t="shared" si="37" ref="AW92:AW99">G92*AO92</f>
        <v>0</v>
      </c>
      <c r="AX92" s="30">
        <f aca="true" t="shared" si="38" ref="AX92:AX99">G92*AP92</f>
        <v>0</v>
      </c>
      <c r="AY92" s="31" t="s">
        <v>1041</v>
      </c>
      <c r="AZ92" s="31" t="s">
        <v>1067</v>
      </c>
      <c r="BA92" s="24" t="s">
        <v>1080</v>
      </c>
      <c r="BC92" s="30">
        <f aca="true" t="shared" si="39" ref="BC92:BC99">AW92+AX92</f>
        <v>0</v>
      </c>
      <c r="BD92" s="30">
        <f aca="true" t="shared" si="40" ref="BD92:BD99">H92/(100-BE92)*100</f>
        <v>0</v>
      </c>
      <c r="BE92" s="30">
        <v>0</v>
      </c>
      <c r="BF92" s="30">
        <f>92</f>
        <v>92</v>
      </c>
      <c r="BH92" s="14">
        <f aca="true" t="shared" si="41" ref="BH92:BH99">G92*AO92</f>
        <v>0</v>
      </c>
      <c r="BI92" s="14">
        <f aca="true" t="shared" si="42" ref="BI92:BI99">G92*AP92</f>
        <v>0</v>
      </c>
      <c r="BJ92" s="14">
        <f aca="true" t="shared" si="43" ref="BJ92:BJ99">G92*H92</f>
        <v>0</v>
      </c>
    </row>
    <row r="93" spans="1:62" ht="12.75">
      <c r="A93" s="4" t="s">
        <v>70</v>
      </c>
      <c r="B93" s="4" t="s">
        <v>386</v>
      </c>
      <c r="C93" s="153" t="s">
        <v>722</v>
      </c>
      <c r="D93" s="154"/>
      <c r="E93" s="154"/>
      <c r="F93" s="4" t="s">
        <v>993</v>
      </c>
      <c r="G93" s="64">
        <v>3149.25</v>
      </c>
      <c r="H93" s="82">
        <v>0</v>
      </c>
      <c r="I93" s="14">
        <f t="shared" si="22"/>
        <v>0</v>
      </c>
      <c r="J93" s="14">
        <f t="shared" si="23"/>
        <v>0</v>
      </c>
      <c r="K93" s="14">
        <f t="shared" si="24"/>
        <v>0</v>
      </c>
      <c r="L93" s="25" t="s">
        <v>1014</v>
      </c>
      <c r="Z93" s="30">
        <f t="shared" si="25"/>
        <v>0</v>
      </c>
      <c r="AB93" s="30">
        <f t="shared" si="26"/>
        <v>0</v>
      </c>
      <c r="AC93" s="30">
        <f t="shared" si="27"/>
        <v>0</v>
      </c>
      <c r="AD93" s="30">
        <f t="shared" si="28"/>
        <v>0</v>
      </c>
      <c r="AE93" s="30">
        <f t="shared" si="29"/>
        <v>0</v>
      </c>
      <c r="AF93" s="30">
        <f t="shared" si="30"/>
        <v>0</v>
      </c>
      <c r="AG93" s="30">
        <f t="shared" si="31"/>
        <v>0</v>
      </c>
      <c r="AH93" s="30">
        <f t="shared" si="32"/>
        <v>0</v>
      </c>
      <c r="AI93" s="24" t="s">
        <v>1024</v>
      </c>
      <c r="AJ93" s="14">
        <f t="shared" si="33"/>
        <v>0</v>
      </c>
      <c r="AK93" s="14">
        <f t="shared" si="34"/>
        <v>0</v>
      </c>
      <c r="AL93" s="14">
        <f t="shared" si="35"/>
        <v>0</v>
      </c>
      <c r="AN93" s="30">
        <v>21</v>
      </c>
      <c r="AO93" s="30">
        <f>H93*0.912408759124088</f>
        <v>0</v>
      </c>
      <c r="AP93" s="30">
        <f>H93*(1-0.912408759124088)</f>
        <v>0</v>
      </c>
      <c r="AQ93" s="25" t="s">
        <v>7</v>
      </c>
      <c r="AV93" s="30">
        <f t="shared" si="36"/>
        <v>0</v>
      </c>
      <c r="AW93" s="30">
        <f t="shared" si="37"/>
        <v>0</v>
      </c>
      <c r="AX93" s="30">
        <f t="shared" si="38"/>
        <v>0</v>
      </c>
      <c r="AY93" s="31" t="s">
        <v>1041</v>
      </c>
      <c r="AZ93" s="31" t="s">
        <v>1067</v>
      </c>
      <c r="BA93" s="24" t="s">
        <v>1080</v>
      </c>
      <c r="BC93" s="30">
        <f t="shared" si="39"/>
        <v>0</v>
      </c>
      <c r="BD93" s="30">
        <f t="shared" si="40"/>
        <v>0</v>
      </c>
      <c r="BE93" s="30">
        <v>0</v>
      </c>
      <c r="BF93" s="30">
        <f>93</f>
        <v>93</v>
      </c>
      <c r="BH93" s="14">
        <f t="shared" si="41"/>
        <v>0</v>
      </c>
      <c r="BI93" s="14">
        <f t="shared" si="42"/>
        <v>0</v>
      </c>
      <c r="BJ93" s="14">
        <f t="shared" si="43"/>
        <v>0</v>
      </c>
    </row>
    <row r="94" spans="1:62" ht="12.75">
      <c r="A94" s="4" t="s">
        <v>71</v>
      </c>
      <c r="B94" s="4" t="s">
        <v>387</v>
      </c>
      <c r="C94" s="153" t="s">
        <v>723</v>
      </c>
      <c r="D94" s="154"/>
      <c r="E94" s="154"/>
      <c r="F94" s="4" t="s">
        <v>993</v>
      </c>
      <c r="G94" s="64">
        <v>1049.75</v>
      </c>
      <c r="H94" s="82">
        <v>0</v>
      </c>
      <c r="I94" s="14">
        <f t="shared" si="22"/>
        <v>0</v>
      </c>
      <c r="J94" s="14">
        <f t="shared" si="23"/>
        <v>0</v>
      </c>
      <c r="K94" s="14">
        <f t="shared" si="24"/>
        <v>0</v>
      </c>
      <c r="L94" s="25" t="s">
        <v>1014</v>
      </c>
      <c r="Z94" s="30">
        <f t="shared" si="25"/>
        <v>0</v>
      </c>
      <c r="AB94" s="30">
        <f t="shared" si="26"/>
        <v>0</v>
      </c>
      <c r="AC94" s="30">
        <f t="shared" si="27"/>
        <v>0</v>
      </c>
      <c r="AD94" s="30">
        <f t="shared" si="28"/>
        <v>0</v>
      </c>
      <c r="AE94" s="30">
        <f t="shared" si="29"/>
        <v>0</v>
      </c>
      <c r="AF94" s="30">
        <f t="shared" si="30"/>
        <v>0</v>
      </c>
      <c r="AG94" s="30">
        <f t="shared" si="31"/>
        <v>0</v>
      </c>
      <c r="AH94" s="30">
        <f t="shared" si="32"/>
        <v>0</v>
      </c>
      <c r="AI94" s="24" t="s">
        <v>1024</v>
      </c>
      <c r="AJ94" s="14">
        <f t="shared" si="33"/>
        <v>0</v>
      </c>
      <c r="AK94" s="14">
        <f t="shared" si="34"/>
        <v>0</v>
      </c>
      <c r="AL94" s="14">
        <f t="shared" si="35"/>
        <v>0</v>
      </c>
      <c r="AN94" s="30">
        <v>21</v>
      </c>
      <c r="AO94" s="30">
        <f>H94*0</f>
        <v>0</v>
      </c>
      <c r="AP94" s="30">
        <f>H94*(1-0)</f>
        <v>0</v>
      </c>
      <c r="AQ94" s="25" t="s">
        <v>7</v>
      </c>
      <c r="AV94" s="30">
        <f t="shared" si="36"/>
        <v>0</v>
      </c>
      <c r="AW94" s="30">
        <f t="shared" si="37"/>
        <v>0</v>
      </c>
      <c r="AX94" s="30">
        <f t="shared" si="38"/>
        <v>0</v>
      </c>
      <c r="AY94" s="31" t="s">
        <v>1041</v>
      </c>
      <c r="AZ94" s="31" t="s">
        <v>1067</v>
      </c>
      <c r="BA94" s="24" t="s">
        <v>1080</v>
      </c>
      <c r="BC94" s="30">
        <f t="shared" si="39"/>
        <v>0</v>
      </c>
      <c r="BD94" s="30">
        <f t="shared" si="40"/>
        <v>0</v>
      </c>
      <c r="BE94" s="30">
        <v>0</v>
      </c>
      <c r="BF94" s="30">
        <f>94</f>
        <v>94</v>
      </c>
      <c r="BH94" s="14">
        <f t="shared" si="41"/>
        <v>0</v>
      </c>
      <c r="BI94" s="14">
        <f t="shared" si="42"/>
        <v>0</v>
      </c>
      <c r="BJ94" s="14">
        <f t="shared" si="43"/>
        <v>0</v>
      </c>
    </row>
    <row r="95" spans="1:62" ht="12.75">
      <c r="A95" s="4" t="s">
        <v>72</v>
      </c>
      <c r="B95" s="4" t="s">
        <v>388</v>
      </c>
      <c r="C95" s="153" t="s">
        <v>724</v>
      </c>
      <c r="D95" s="154"/>
      <c r="E95" s="154"/>
      <c r="F95" s="4" t="s">
        <v>993</v>
      </c>
      <c r="G95" s="64">
        <v>150</v>
      </c>
      <c r="H95" s="82">
        <v>0</v>
      </c>
      <c r="I95" s="14">
        <f t="shared" si="22"/>
        <v>0</v>
      </c>
      <c r="J95" s="14">
        <f t="shared" si="23"/>
        <v>0</v>
      </c>
      <c r="K95" s="14">
        <f t="shared" si="24"/>
        <v>0</v>
      </c>
      <c r="L95" s="25" t="s">
        <v>1014</v>
      </c>
      <c r="Z95" s="30">
        <f t="shared" si="25"/>
        <v>0</v>
      </c>
      <c r="AB95" s="30">
        <f t="shared" si="26"/>
        <v>0</v>
      </c>
      <c r="AC95" s="30">
        <f t="shared" si="27"/>
        <v>0</v>
      </c>
      <c r="AD95" s="30">
        <f t="shared" si="28"/>
        <v>0</v>
      </c>
      <c r="AE95" s="30">
        <f t="shared" si="29"/>
        <v>0</v>
      </c>
      <c r="AF95" s="30">
        <f t="shared" si="30"/>
        <v>0</v>
      </c>
      <c r="AG95" s="30">
        <f t="shared" si="31"/>
        <v>0</v>
      </c>
      <c r="AH95" s="30">
        <f t="shared" si="32"/>
        <v>0</v>
      </c>
      <c r="AI95" s="24" t="s">
        <v>1024</v>
      </c>
      <c r="AJ95" s="14">
        <f t="shared" si="33"/>
        <v>0</v>
      </c>
      <c r="AK95" s="14">
        <f t="shared" si="34"/>
        <v>0</v>
      </c>
      <c r="AL95" s="14">
        <f t="shared" si="35"/>
        <v>0</v>
      </c>
      <c r="AN95" s="30">
        <v>21</v>
      </c>
      <c r="AO95" s="30">
        <f>H95*0.355789473684211</f>
        <v>0</v>
      </c>
      <c r="AP95" s="30">
        <f>H95*(1-0.355789473684211)</f>
        <v>0</v>
      </c>
      <c r="AQ95" s="25" t="s">
        <v>7</v>
      </c>
      <c r="AV95" s="30">
        <f t="shared" si="36"/>
        <v>0</v>
      </c>
      <c r="AW95" s="30">
        <f t="shared" si="37"/>
        <v>0</v>
      </c>
      <c r="AX95" s="30">
        <f t="shared" si="38"/>
        <v>0</v>
      </c>
      <c r="AY95" s="31" t="s">
        <v>1041</v>
      </c>
      <c r="AZ95" s="31" t="s">
        <v>1067</v>
      </c>
      <c r="BA95" s="24" t="s">
        <v>1080</v>
      </c>
      <c r="BC95" s="30">
        <f t="shared" si="39"/>
        <v>0</v>
      </c>
      <c r="BD95" s="30">
        <f t="shared" si="40"/>
        <v>0</v>
      </c>
      <c r="BE95" s="30">
        <v>0</v>
      </c>
      <c r="BF95" s="30">
        <f>95</f>
        <v>95</v>
      </c>
      <c r="BH95" s="14">
        <f t="shared" si="41"/>
        <v>0</v>
      </c>
      <c r="BI95" s="14">
        <f t="shared" si="42"/>
        <v>0</v>
      </c>
      <c r="BJ95" s="14">
        <f t="shared" si="43"/>
        <v>0</v>
      </c>
    </row>
    <row r="96" spans="1:62" ht="12.75">
      <c r="A96" s="4" t="s">
        <v>73</v>
      </c>
      <c r="B96" s="4" t="s">
        <v>389</v>
      </c>
      <c r="C96" s="153" t="s">
        <v>725</v>
      </c>
      <c r="D96" s="154"/>
      <c r="E96" s="154"/>
      <c r="F96" s="4" t="s">
        <v>993</v>
      </c>
      <c r="G96" s="64">
        <v>1049.75</v>
      </c>
      <c r="H96" s="82">
        <v>0</v>
      </c>
      <c r="I96" s="14">
        <f t="shared" si="22"/>
        <v>0</v>
      </c>
      <c r="J96" s="14">
        <f t="shared" si="23"/>
        <v>0</v>
      </c>
      <c r="K96" s="14">
        <f t="shared" si="24"/>
        <v>0</v>
      </c>
      <c r="L96" s="25" t="s">
        <v>1014</v>
      </c>
      <c r="Z96" s="30">
        <f t="shared" si="25"/>
        <v>0</v>
      </c>
      <c r="AB96" s="30">
        <f t="shared" si="26"/>
        <v>0</v>
      </c>
      <c r="AC96" s="30">
        <f t="shared" si="27"/>
        <v>0</v>
      </c>
      <c r="AD96" s="30">
        <f t="shared" si="28"/>
        <v>0</v>
      </c>
      <c r="AE96" s="30">
        <f t="shared" si="29"/>
        <v>0</v>
      </c>
      <c r="AF96" s="30">
        <f t="shared" si="30"/>
        <v>0</v>
      </c>
      <c r="AG96" s="30">
        <f t="shared" si="31"/>
        <v>0</v>
      </c>
      <c r="AH96" s="30">
        <f t="shared" si="32"/>
        <v>0</v>
      </c>
      <c r="AI96" s="24" t="s">
        <v>1024</v>
      </c>
      <c r="AJ96" s="14">
        <f t="shared" si="33"/>
        <v>0</v>
      </c>
      <c r="AK96" s="14">
        <f t="shared" si="34"/>
        <v>0</v>
      </c>
      <c r="AL96" s="14">
        <f t="shared" si="35"/>
        <v>0</v>
      </c>
      <c r="AN96" s="30">
        <v>21</v>
      </c>
      <c r="AO96" s="30">
        <f>H96*0</f>
        <v>0</v>
      </c>
      <c r="AP96" s="30">
        <f>H96*(1-0)</f>
        <v>0</v>
      </c>
      <c r="AQ96" s="25" t="s">
        <v>7</v>
      </c>
      <c r="AV96" s="30">
        <f t="shared" si="36"/>
        <v>0</v>
      </c>
      <c r="AW96" s="30">
        <f t="shared" si="37"/>
        <v>0</v>
      </c>
      <c r="AX96" s="30">
        <f t="shared" si="38"/>
        <v>0</v>
      </c>
      <c r="AY96" s="31" t="s">
        <v>1041</v>
      </c>
      <c r="AZ96" s="31" t="s">
        <v>1067</v>
      </c>
      <c r="BA96" s="24" t="s">
        <v>1080</v>
      </c>
      <c r="BC96" s="30">
        <f t="shared" si="39"/>
        <v>0</v>
      </c>
      <c r="BD96" s="30">
        <f t="shared" si="40"/>
        <v>0</v>
      </c>
      <c r="BE96" s="30">
        <v>0</v>
      </c>
      <c r="BF96" s="30">
        <f>96</f>
        <v>96</v>
      </c>
      <c r="BH96" s="14">
        <f t="shared" si="41"/>
        <v>0</v>
      </c>
      <c r="BI96" s="14">
        <f t="shared" si="42"/>
        <v>0</v>
      </c>
      <c r="BJ96" s="14">
        <f t="shared" si="43"/>
        <v>0</v>
      </c>
    </row>
    <row r="97" spans="1:62" ht="12.75">
      <c r="A97" s="4" t="s">
        <v>74</v>
      </c>
      <c r="B97" s="4" t="s">
        <v>390</v>
      </c>
      <c r="C97" s="153" t="s">
        <v>726</v>
      </c>
      <c r="D97" s="154"/>
      <c r="E97" s="154"/>
      <c r="F97" s="4" t="s">
        <v>993</v>
      </c>
      <c r="G97" s="64">
        <v>3149.25</v>
      </c>
      <c r="H97" s="82">
        <v>0</v>
      </c>
      <c r="I97" s="14">
        <f t="shared" si="22"/>
        <v>0</v>
      </c>
      <c r="J97" s="14">
        <f t="shared" si="23"/>
        <v>0</v>
      </c>
      <c r="K97" s="14">
        <f t="shared" si="24"/>
        <v>0</v>
      </c>
      <c r="L97" s="25" t="s">
        <v>1014</v>
      </c>
      <c r="Z97" s="30">
        <f t="shared" si="25"/>
        <v>0</v>
      </c>
      <c r="AB97" s="30">
        <f t="shared" si="26"/>
        <v>0</v>
      </c>
      <c r="AC97" s="30">
        <f t="shared" si="27"/>
        <v>0</v>
      </c>
      <c r="AD97" s="30">
        <f t="shared" si="28"/>
        <v>0</v>
      </c>
      <c r="AE97" s="30">
        <f t="shared" si="29"/>
        <v>0</v>
      </c>
      <c r="AF97" s="30">
        <f t="shared" si="30"/>
        <v>0</v>
      </c>
      <c r="AG97" s="30">
        <f t="shared" si="31"/>
        <v>0</v>
      </c>
      <c r="AH97" s="30">
        <f t="shared" si="32"/>
        <v>0</v>
      </c>
      <c r="AI97" s="24" t="s">
        <v>1024</v>
      </c>
      <c r="AJ97" s="14">
        <f t="shared" si="33"/>
        <v>0</v>
      </c>
      <c r="AK97" s="14">
        <f t="shared" si="34"/>
        <v>0</v>
      </c>
      <c r="AL97" s="14">
        <f t="shared" si="35"/>
        <v>0</v>
      </c>
      <c r="AN97" s="30">
        <v>21</v>
      </c>
      <c r="AO97" s="30">
        <f>H97*0.999999793807886</f>
        <v>0</v>
      </c>
      <c r="AP97" s="30">
        <f>H97*(1-0.999999793807886)</f>
        <v>0</v>
      </c>
      <c r="AQ97" s="25" t="s">
        <v>7</v>
      </c>
      <c r="AV97" s="30">
        <f t="shared" si="36"/>
        <v>0</v>
      </c>
      <c r="AW97" s="30">
        <f t="shared" si="37"/>
        <v>0</v>
      </c>
      <c r="AX97" s="30">
        <f t="shared" si="38"/>
        <v>0</v>
      </c>
      <c r="AY97" s="31" t="s">
        <v>1041</v>
      </c>
      <c r="AZ97" s="31" t="s">
        <v>1067</v>
      </c>
      <c r="BA97" s="24" t="s">
        <v>1080</v>
      </c>
      <c r="BC97" s="30">
        <f t="shared" si="39"/>
        <v>0</v>
      </c>
      <c r="BD97" s="30">
        <f t="shared" si="40"/>
        <v>0</v>
      </c>
      <c r="BE97" s="30">
        <v>0</v>
      </c>
      <c r="BF97" s="30">
        <f>97</f>
        <v>97</v>
      </c>
      <c r="BH97" s="14">
        <f t="shared" si="41"/>
        <v>0</v>
      </c>
      <c r="BI97" s="14">
        <f t="shared" si="42"/>
        <v>0</v>
      </c>
      <c r="BJ97" s="14">
        <f t="shared" si="43"/>
        <v>0</v>
      </c>
    </row>
    <row r="98" spans="1:62" ht="12.75">
      <c r="A98" s="4" t="s">
        <v>75</v>
      </c>
      <c r="B98" s="4" t="s">
        <v>391</v>
      </c>
      <c r="C98" s="153" t="s">
        <v>727</v>
      </c>
      <c r="D98" s="154"/>
      <c r="E98" s="154"/>
      <c r="F98" s="4" t="s">
        <v>993</v>
      </c>
      <c r="G98" s="64">
        <v>1049.75</v>
      </c>
      <c r="H98" s="82">
        <v>0</v>
      </c>
      <c r="I98" s="14">
        <f t="shared" si="22"/>
        <v>0</v>
      </c>
      <c r="J98" s="14">
        <f t="shared" si="23"/>
        <v>0</v>
      </c>
      <c r="K98" s="14">
        <f t="shared" si="24"/>
        <v>0</v>
      </c>
      <c r="L98" s="25" t="s">
        <v>1014</v>
      </c>
      <c r="Z98" s="30">
        <f t="shared" si="25"/>
        <v>0</v>
      </c>
      <c r="AB98" s="30">
        <f t="shared" si="26"/>
        <v>0</v>
      </c>
      <c r="AC98" s="30">
        <f t="shared" si="27"/>
        <v>0</v>
      </c>
      <c r="AD98" s="30">
        <f t="shared" si="28"/>
        <v>0</v>
      </c>
      <c r="AE98" s="30">
        <f t="shared" si="29"/>
        <v>0</v>
      </c>
      <c r="AF98" s="30">
        <f t="shared" si="30"/>
        <v>0</v>
      </c>
      <c r="AG98" s="30">
        <f t="shared" si="31"/>
        <v>0</v>
      </c>
      <c r="AH98" s="30">
        <f t="shared" si="32"/>
        <v>0</v>
      </c>
      <c r="AI98" s="24" t="s">
        <v>1024</v>
      </c>
      <c r="AJ98" s="14">
        <f t="shared" si="33"/>
        <v>0</v>
      </c>
      <c r="AK98" s="14">
        <f t="shared" si="34"/>
        <v>0</v>
      </c>
      <c r="AL98" s="14">
        <f t="shared" si="35"/>
        <v>0</v>
      </c>
      <c r="AN98" s="30">
        <v>21</v>
      </c>
      <c r="AO98" s="30">
        <f>H98*0</f>
        <v>0</v>
      </c>
      <c r="AP98" s="30">
        <f>H98*(1-0)</f>
        <v>0</v>
      </c>
      <c r="AQ98" s="25" t="s">
        <v>7</v>
      </c>
      <c r="AV98" s="30">
        <f t="shared" si="36"/>
        <v>0</v>
      </c>
      <c r="AW98" s="30">
        <f t="shared" si="37"/>
        <v>0</v>
      </c>
      <c r="AX98" s="30">
        <f t="shared" si="38"/>
        <v>0</v>
      </c>
      <c r="AY98" s="31" t="s">
        <v>1041</v>
      </c>
      <c r="AZ98" s="31" t="s">
        <v>1067</v>
      </c>
      <c r="BA98" s="24" t="s">
        <v>1080</v>
      </c>
      <c r="BC98" s="30">
        <f t="shared" si="39"/>
        <v>0</v>
      </c>
      <c r="BD98" s="30">
        <f t="shared" si="40"/>
        <v>0</v>
      </c>
      <c r="BE98" s="30">
        <v>0</v>
      </c>
      <c r="BF98" s="30">
        <f>98</f>
        <v>98</v>
      </c>
      <c r="BH98" s="14">
        <f t="shared" si="41"/>
        <v>0</v>
      </c>
      <c r="BI98" s="14">
        <f t="shared" si="42"/>
        <v>0</v>
      </c>
      <c r="BJ98" s="14">
        <f t="shared" si="43"/>
        <v>0</v>
      </c>
    </row>
    <row r="99" spans="1:62" ht="12.75">
      <c r="A99" s="4" t="s">
        <v>76</v>
      </c>
      <c r="B99" s="4" t="s">
        <v>392</v>
      </c>
      <c r="C99" s="153" t="s">
        <v>728</v>
      </c>
      <c r="D99" s="154"/>
      <c r="E99" s="154"/>
      <c r="F99" s="4" t="s">
        <v>996</v>
      </c>
      <c r="G99" s="64">
        <v>50</v>
      </c>
      <c r="H99" s="82">
        <v>0</v>
      </c>
      <c r="I99" s="14">
        <f t="shared" si="22"/>
        <v>0</v>
      </c>
      <c r="J99" s="14">
        <f t="shared" si="23"/>
        <v>0</v>
      </c>
      <c r="K99" s="14">
        <f t="shared" si="24"/>
        <v>0</v>
      </c>
      <c r="L99" s="25" t="s">
        <v>1014</v>
      </c>
      <c r="Z99" s="30">
        <f t="shared" si="25"/>
        <v>0</v>
      </c>
      <c r="AB99" s="30">
        <f t="shared" si="26"/>
        <v>0</v>
      </c>
      <c r="AC99" s="30">
        <f t="shared" si="27"/>
        <v>0</v>
      </c>
      <c r="AD99" s="30">
        <f t="shared" si="28"/>
        <v>0</v>
      </c>
      <c r="AE99" s="30">
        <f t="shared" si="29"/>
        <v>0</v>
      </c>
      <c r="AF99" s="30">
        <f t="shared" si="30"/>
        <v>0</v>
      </c>
      <c r="AG99" s="30">
        <f t="shared" si="31"/>
        <v>0</v>
      </c>
      <c r="AH99" s="30">
        <f t="shared" si="32"/>
        <v>0</v>
      </c>
      <c r="AI99" s="24" t="s">
        <v>1024</v>
      </c>
      <c r="AJ99" s="14">
        <f t="shared" si="33"/>
        <v>0</v>
      </c>
      <c r="AK99" s="14">
        <f t="shared" si="34"/>
        <v>0</v>
      </c>
      <c r="AL99" s="14">
        <f t="shared" si="35"/>
        <v>0</v>
      </c>
      <c r="AN99" s="30">
        <v>21</v>
      </c>
      <c r="AO99" s="30">
        <f>H99*0</f>
        <v>0</v>
      </c>
      <c r="AP99" s="30">
        <f>H99*(1-0)</f>
        <v>0</v>
      </c>
      <c r="AQ99" s="25" t="s">
        <v>7</v>
      </c>
      <c r="AV99" s="30">
        <f t="shared" si="36"/>
        <v>0</v>
      </c>
      <c r="AW99" s="30">
        <f t="shared" si="37"/>
        <v>0</v>
      </c>
      <c r="AX99" s="30">
        <f t="shared" si="38"/>
        <v>0</v>
      </c>
      <c r="AY99" s="31" t="s">
        <v>1041</v>
      </c>
      <c r="AZ99" s="31" t="s">
        <v>1067</v>
      </c>
      <c r="BA99" s="24" t="s">
        <v>1080</v>
      </c>
      <c r="BC99" s="30">
        <f t="shared" si="39"/>
        <v>0</v>
      </c>
      <c r="BD99" s="30">
        <f t="shared" si="40"/>
        <v>0</v>
      </c>
      <c r="BE99" s="30">
        <v>0</v>
      </c>
      <c r="BF99" s="30">
        <f>99</f>
        <v>99</v>
      </c>
      <c r="BH99" s="14">
        <f t="shared" si="41"/>
        <v>0</v>
      </c>
      <c r="BI99" s="14">
        <f t="shared" si="42"/>
        <v>0</v>
      </c>
      <c r="BJ99" s="14">
        <f t="shared" si="43"/>
        <v>0</v>
      </c>
    </row>
    <row r="100" spans="1:47" ht="12.75">
      <c r="A100" s="3"/>
      <c r="B100" s="11" t="s">
        <v>101</v>
      </c>
      <c r="C100" s="151" t="s">
        <v>729</v>
      </c>
      <c r="D100" s="152"/>
      <c r="E100" s="152"/>
      <c r="F100" s="3" t="s">
        <v>6</v>
      </c>
      <c r="G100" s="3" t="s">
        <v>6</v>
      </c>
      <c r="H100" s="3" t="s">
        <v>6</v>
      </c>
      <c r="I100" s="32">
        <f>SUM(I101:I111)</f>
        <v>0</v>
      </c>
      <c r="J100" s="32">
        <f>SUM(J101:J111)</f>
        <v>0</v>
      </c>
      <c r="K100" s="32">
        <f>SUM(K101:K111)</f>
        <v>0</v>
      </c>
      <c r="L100" s="24"/>
      <c r="AI100" s="24" t="s">
        <v>1024</v>
      </c>
      <c r="AS100" s="32">
        <f>SUM(AJ101:AJ111)</f>
        <v>0</v>
      </c>
      <c r="AT100" s="32">
        <f>SUM(AK101:AK111)</f>
        <v>0</v>
      </c>
      <c r="AU100" s="32">
        <f>SUM(AL101:AL111)</f>
        <v>0</v>
      </c>
    </row>
    <row r="101" spans="1:62" ht="12.75">
      <c r="A101" s="4" t="s">
        <v>77</v>
      </c>
      <c r="B101" s="4" t="s">
        <v>393</v>
      </c>
      <c r="C101" s="153" t="s">
        <v>730</v>
      </c>
      <c r="D101" s="154"/>
      <c r="E101" s="154"/>
      <c r="F101" s="4" t="s">
        <v>993</v>
      </c>
      <c r="G101" s="64">
        <v>208.969</v>
      </c>
      <c r="H101" s="82">
        <v>0</v>
      </c>
      <c r="I101" s="14">
        <f aca="true" t="shared" si="44" ref="I101:I111">G101*AO101</f>
        <v>0</v>
      </c>
      <c r="J101" s="14">
        <f aca="true" t="shared" si="45" ref="J101:J111">G101*AP101</f>
        <v>0</v>
      </c>
      <c r="K101" s="14">
        <f aca="true" t="shared" si="46" ref="K101:K111">G101*H101</f>
        <v>0</v>
      </c>
      <c r="L101" s="25" t="s">
        <v>1014</v>
      </c>
      <c r="Z101" s="30">
        <f aca="true" t="shared" si="47" ref="Z101:Z111">IF(AQ101="5",BJ101,0)</f>
        <v>0</v>
      </c>
      <c r="AB101" s="30">
        <f aca="true" t="shared" si="48" ref="AB101:AB111">IF(AQ101="1",BH101,0)</f>
        <v>0</v>
      </c>
      <c r="AC101" s="30">
        <f aca="true" t="shared" si="49" ref="AC101:AC111">IF(AQ101="1",BI101,0)</f>
        <v>0</v>
      </c>
      <c r="AD101" s="30">
        <f aca="true" t="shared" si="50" ref="AD101:AD111">IF(AQ101="7",BH101,0)</f>
        <v>0</v>
      </c>
      <c r="AE101" s="30">
        <f aca="true" t="shared" si="51" ref="AE101:AE111">IF(AQ101="7",BI101,0)</f>
        <v>0</v>
      </c>
      <c r="AF101" s="30">
        <f aca="true" t="shared" si="52" ref="AF101:AF111">IF(AQ101="2",BH101,0)</f>
        <v>0</v>
      </c>
      <c r="AG101" s="30">
        <f aca="true" t="shared" si="53" ref="AG101:AG111">IF(AQ101="2",BI101,0)</f>
        <v>0</v>
      </c>
      <c r="AH101" s="30">
        <f aca="true" t="shared" si="54" ref="AH101:AH111">IF(AQ101="0",BJ101,0)</f>
        <v>0</v>
      </c>
      <c r="AI101" s="24" t="s">
        <v>1024</v>
      </c>
      <c r="AJ101" s="14">
        <f aca="true" t="shared" si="55" ref="AJ101:AJ111">IF(AN101=0,K101,0)</f>
        <v>0</v>
      </c>
      <c r="AK101" s="14">
        <f aca="true" t="shared" si="56" ref="AK101:AK111">IF(AN101=15,K101,0)</f>
        <v>0</v>
      </c>
      <c r="AL101" s="14">
        <f aca="true" t="shared" si="57" ref="AL101:AL111">IF(AN101=21,K101,0)</f>
        <v>0</v>
      </c>
      <c r="AN101" s="30">
        <v>21</v>
      </c>
      <c r="AO101" s="30">
        <f>H101*0.0195918386480563</f>
        <v>0</v>
      </c>
      <c r="AP101" s="30">
        <f>H101*(1-0.0195918386480563)</f>
        <v>0</v>
      </c>
      <c r="AQ101" s="25" t="s">
        <v>7</v>
      </c>
      <c r="AV101" s="30">
        <f aca="true" t="shared" si="58" ref="AV101:AV111">AW101+AX101</f>
        <v>0</v>
      </c>
      <c r="AW101" s="30">
        <f aca="true" t="shared" si="59" ref="AW101:AW111">G101*AO101</f>
        <v>0</v>
      </c>
      <c r="AX101" s="30">
        <f aca="true" t="shared" si="60" ref="AX101:AX111">G101*AP101</f>
        <v>0</v>
      </c>
      <c r="AY101" s="31" t="s">
        <v>1042</v>
      </c>
      <c r="AZ101" s="31" t="s">
        <v>1067</v>
      </c>
      <c r="BA101" s="24" t="s">
        <v>1080</v>
      </c>
      <c r="BC101" s="30">
        <f aca="true" t="shared" si="61" ref="BC101:BC111">AW101+AX101</f>
        <v>0</v>
      </c>
      <c r="BD101" s="30">
        <f aca="true" t="shared" si="62" ref="BD101:BD111">H101/(100-BE101)*100</f>
        <v>0</v>
      </c>
      <c r="BE101" s="30">
        <v>0</v>
      </c>
      <c r="BF101" s="30">
        <f>101</f>
        <v>101</v>
      </c>
      <c r="BH101" s="14">
        <f aca="true" t="shared" si="63" ref="BH101:BH111">G101*AO101</f>
        <v>0</v>
      </c>
      <c r="BI101" s="14">
        <f aca="true" t="shared" si="64" ref="BI101:BI111">G101*AP101</f>
        <v>0</v>
      </c>
      <c r="BJ101" s="14">
        <f aca="true" t="shared" si="65" ref="BJ101:BJ111">G101*H101</f>
        <v>0</v>
      </c>
    </row>
    <row r="102" spans="1:62" ht="12.75">
      <c r="A102" s="4" t="s">
        <v>78</v>
      </c>
      <c r="B102" s="4" t="s">
        <v>394</v>
      </c>
      <c r="C102" s="153" t="s">
        <v>731</v>
      </c>
      <c r="D102" s="154"/>
      <c r="E102" s="154"/>
      <c r="F102" s="4" t="s">
        <v>991</v>
      </c>
      <c r="G102" s="64">
        <v>5</v>
      </c>
      <c r="H102" s="82">
        <v>0</v>
      </c>
      <c r="I102" s="14">
        <f t="shared" si="44"/>
        <v>0</v>
      </c>
      <c r="J102" s="14">
        <f t="shared" si="45"/>
        <v>0</v>
      </c>
      <c r="K102" s="14">
        <f t="shared" si="46"/>
        <v>0</v>
      </c>
      <c r="L102" s="25" t="s">
        <v>1014</v>
      </c>
      <c r="Z102" s="30">
        <f t="shared" si="47"/>
        <v>0</v>
      </c>
      <c r="AB102" s="30">
        <f t="shared" si="48"/>
        <v>0</v>
      </c>
      <c r="AC102" s="30">
        <f t="shared" si="49"/>
        <v>0</v>
      </c>
      <c r="AD102" s="30">
        <f t="shared" si="50"/>
        <v>0</v>
      </c>
      <c r="AE102" s="30">
        <f t="shared" si="51"/>
        <v>0</v>
      </c>
      <c r="AF102" s="30">
        <f t="shared" si="52"/>
        <v>0</v>
      </c>
      <c r="AG102" s="30">
        <f t="shared" si="53"/>
        <v>0</v>
      </c>
      <c r="AH102" s="30">
        <f t="shared" si="54"/>
        <v>0</v>
      </c>
      <c r="AI102" s="24" t="s">
        <v>1024</v>
      </c>
      <c r="AJ102" s="14">
        <f t="shared" si="55"/>
        <v>0</v>
      </c>
      <c r="AK102" s="14">
        <f t="shared" si="56"/>
        <v>0</v>
      </c>
      <c r="AL102" s="14">
        <f t="shared" si="57"/>
        <v>0</v>
      </c>
      <c r="AN102" s="30">
        <v>21</v>
      </c>
      <c r="AO102" s="30">
        <f>H102*0.548294117647059</f>
        <v>0</v>
      </c>
      <c r="AP102" s="30">
        <f>H102*(1-0.548294117647059)</f>
        <v>0</v>
      </c>
      <c r="AQ102" s="25" t="s">
        <v>7</v>
      </c>
      <c r="AV102" s="30">
        <f t="shared" si="58"/>
        <v>0</v>
      </c>
      <c r="AW102" s="30">
        <f t="shared" si="59"/>
        <v>0</v>
      </c>
      <c r="AX102" s="30">
        <f t="shared" si="60"/>
        <v>0</v>
      </c>
      <c r="AY102" s="31" t="s">
        <v>1042</v>
      </c>
      <c r="AZ102" s="31" t="s">
        <v>1067</v>
      </c>
      <c r="BA102" s="24" t="s">
        <v>1080</v>
      </c>
      <c r="BC102" s="30">
        <f t="shared" si="61"/>
        <v>0</v>
      </c>
      <c r="BD102" s="30">
        <f t="shared" si="62"/>
        <v>0</v>
      </c>
      <c r="BE102" s="30">
        <v>0</v>
      </c>
      <c r="BF102" s="30">
        <f>102</f>
        <v>102</v>
      </c>
      <c r="BH102" s="14">
        <f t="shared" si="63"/>
        <v>0</v>
      </c>
      <c r="BI102" s="14">
        <f t="shared" si="64"/>
        <v>0</v>
      </c>
      <c r="BJ102" s="14">
        <f t="shared" si="65"/>
        <v>0</v>
      </c>
    </row>
    <row r="103" spans="1:62" ht="12.75">
      <c r="A103" s="4" t="s">
        <v>79</v>
      </c>
      <c r="B103" s="4" t="s">
        <v>395</v>
      </c>
      <c r="C103" s="153" t="s">
        <v>732</v>
      </c>
      <c r="D103" s="154"/>
      <c r="E103" s="154"/>
      <c r="F103" s="4" t="s">
        <v>991</v>
      </c>
      <c r="G103" s="64">
        <v>2</v>
      </c>
      <c r="H103" s="82">
        <v>0</v>
      </c>
      <c r="I103" s="14">
        <f t="shared" si="44"/>
        <v>0</v>
      </c>
      <c r="J103" s="14">
        <f t="shared" si="45"/>
        <v>0</v>
      </c>
      <c r="K103" s="14">
        <f t="shared" si="46"/>
        <v>0</v>
      </c>
      <c r="L103" s="25" t="s">
        <v>1014</v>
      </c>
      <c r="Z103" s="30">
        <f t="shared" si="47"/>
        <v>0</v>
      </c>
      <c r="AB103" s="30">
        <f t="shared" si="48"/>
        <v>0</v>
      </c>
      <c r="AC103" s="30">
        <f t="shared" si="49"/>
        <v>0</v>
      </c>
      <c r="AD103" s="30">
        <f t="shared" si="50"/>
        <v>0</v>
      </c>
      <c r="AE103" s="30">
        <f t="shared" si="51"/>
        <v>0</v>
      </c>
      <c r="AF103" s="30">
        <f t="shared" si="52"/>
        <v>0</v>
      </c>
      <c r="AG103" s="30">
        <f t="shared" si="53"/>
        <v>0</v>
      </c>
      <c r="AH103" s="30">
        <f t="shared" si="54"/>
        <v>0</v>
      </c>
      <c r="AI103" s="24" t="s">
        <v>1024</v>
      </c>
      <c r="AJ103" s="14">
        <f t="shared" si="55"/>
        <v>0</v>
      </c>
      <c r="AK103" s="14">
        <f t="shared" si="56"/>
        <v>0</v>
      </c>
      <c r="AL103" s="14">
        <f t="shared" si="57"/>
        <v>0</v>
      </c>
      <c r="AN103" s="30">
        <v>21</v>
      </c>
      <c r="AO103" s="30">
        <f>H103*0.548291111111111</f>
        <v>0</v>
      </c>
      <c r="AP103" s="30">
        <f>H103*(1-0.548291111111111)</f>
        <v>0</v>
      </c>
      <c r="AQ103" s="25" t="s">
        <v>7</v>
      </c>
      <c r="AV103" s="30">
        <f t="shared" si="58"/>
        <v>0</v>
      </c>
      <c r="AW103" s="30">
        <f t="shared" si="59"/>
        <v>0</v>
      </c>
      <c r="AX103" s="30">
        <f t="shared" si="60"/>
        <v>0</v>
      </c>
      <c r="AY103" s="31" t="s">
        <v>1042</v>
      </c>
      <c r="AZ103" s="31" t="s">
        <v>1067</v>
      </c>
      <c r="BA103" s="24" t="s">
        <v>1080</v>
      </c>
      <c r="BC103" s="30">
        <f t="shared" si="61"/>
        <v>0</v>
      </c>
      <c r="BD103" s="30">
        <f t="shared" si="62"/>
        <v>0</v>
      </c>
      <c r="BE103" s="30">
        <v>0</v>
      </c>
      <c r="BF103" s="30">
        <f>103</f>
        <v>103</v>
      </c>
      <c r="BH103" s="14">
        <f t="shared" si="63"/>
        <v>0</v>
      </c>
      <c r="BI103" s="14">
        <f t="shared" si="64"/>
        <v>0</v>
      </c>
      <c r="BJ103" s="14">
        <f t="shared" si="65"/>
        <v>0</v>
      </c>
    </row>
    <row r="104" spans="1:62" ht="12.75">
      <c r="A104" s="4" t="s">
        <v>80</v>
      </c>
      <c r="B104" s="4" t="s">
        <v>396</v>
      </c>
      <c r="C104" s="153" t="s">
        <v>733</v>
      </c>
      <c r="D104" s="154"/>
      <c r="E104" s="154"/>
      <c r="F104" s="4" t="s">
        <v>993</v>
      </c>
      <c r="G104" s="64">
        <v>260</v>
      </c>
      <c r="H104" s="82">
        <v>0</v>
      </c>
      <c r="I104" s="14">
        <f t="shared" si="44"/>
        <v>0</v>
      </c>
      <c r="J104" s="14">
        <f t="shared" si="45"/>
        <v>0</v>
      </c>
      <c r="K104" s="14">
        <f t="shared" si="46"/>
        <v>0</v>
      </c>
      <c r="L104" s="25" t="s">
        <v>1014</v>
      </c>
      <c r="Z104" s="30">
        <f t="shared" si="47"/>
        <v>0</v>
      </c>
      <c r="AB104" s="30">
        <f t="shared" si="48"/>
        <v>0</v>
      </c>
      <c r="AC104" s="30">
        <f t="shared" si="49"/>
        <v>0</v>
      </c>
      <c r="AD104" s="30">
        <f t="shared" si="50"/>
        <v>0</v>
      </c>
      <c r="AE104" s="30">
        <f t="shared" si="51"/>
        <v>0</v>
      </c>
      <c r="AF104" s="30">
        <f t="shared" si="52"/>
        <v>0</v>
      </c>
      <c r="AG104" s="30">
        <f t="shared" si="53"/>
        <v>0</v>
      </c>
      <c r="AH104" s="30">
        <f t="shared" si="54"/>
        <v>0</v>
      </c>
      <c r="AI104" s="24" t="s">
        <v>1024</v>
      </c>
      <c r="AJ104" s="14">
        <f t="shared" si="55"/>
        <v>0</v>
      </c>
      <c r="AK104" s="14">
        <f t="shared" si="56"/>
        <v>0</v>
      </c>
      <c r="AL104" s="14">
        <f t="shared" si="57"/>
        <v>0</v>
      </c>
      <c r="AN104" s="30">
        <v>21</v>
      </c>
      <c r="AO104" s="30">
        <f>H104*0.568033420502952</f>
        <v>0</v>
      </c>
      <c r="AP104" s="30">
        <f>H104*(1-0.568033420502952)</f>
        <v>0</v>
      </c>
      <c r="AQ104" s="25" t="s">
        <v>7</v>
      </c>
      <c r="AV104" s="30">
        <f t="shared" si="58"/>
        <v>0</v>
      </c>
      <c r="AW104" s="30">
        <f t="shared" si="59"/>
        <v>0</v>
      </c>
      <c r="AX104" s="30">
        <f t="shared" si="60"/>
        <v>0</v>
      </c>
      <c r="AY104" s="31" t="s">
        <v>1042</v>
      </c>
      <c r="AZ104" s="31" t="s">
        <v>1067</v>
      </c>
      <c r="BA104" s="24" t="s">
        <v>1080</v>
      </c>
      <c r="BC104" s="30">
        <f t="shared" si="61"/>
        <v>0</v>
      </c>
      <c r="BD104" s="30">
        <f t="shared" si="62"/>
        <v>0</v>
      </c>
      <c r="BE104" s="30">
        <v>0</v>
      </c>
      <c r="BF104" s="30">
        <f>104</f>
        <v>104</v>
      </c>
      <c r="BH104" s="14">
        <f t="shared" si="63"/>
        <v>0</v>
      </c>
      <c r="BI104" s="14">
        <f t="shared" si="64"/>
        <v>0</v>
      </c>
      <c r="BJ104" s="14">
        <f t="shared" si="65"/>
        <v>0</v>
      </c>
    </row>
    <row r="105" spans="1:62" ht="12.75">
      <c r="A105" s="4" t="s">
        <v>81</v>
      </c>
      <c r="B105" s="4" t="s">
        <v>397</v>
      </c>
      <c r="C105" s="153" t="s">
        <v>734</v>
      </c>
      <c r="D105" s="154"/>
      <c r="E105" s="154"/>
      <c r="F105" s="4" t="s">
        <v>996</v>
      </c>
      <c r="G105" s="64">
        <v>250</v>
      </c>
      <c r="H105" s="82">
        <v>0</v>
      </c>
      <c r="I105" s="14">
        <f t="shared" si="44"/>
        <v>0</v>
      </c>
      <c r="J105" s="14">
        <f t="shared" si="45"/>
        <v>0</v>
      </c>
      <c r="K105" s="14">
        <f t="shared" si="46"/>
        <v>0</v>
      </c>
      <c r="L105" s="25" t="s">
        <v>1014</v>
      </c>
      <c r="Z105" s="30">
        <f t="shared" si="47"/>
        <v>0</v>
      </c>
      <c r="AB105" s="30">
        <f t="shared" si="48"/>
        <v>0</v>
      </c>
      <c r="AC105" s="30">
        <f t="shared" si="49"/>
        <v>0</v>
      </c>
      <c r="AD105" s="30">
        <f t="shared" si="50"/>
        <v>0</v>
      </c>
      <c r="AE105" s="30">
        <f t="shared" si="51"/>
        <v>0</v>
      </c>
      <c r="AF105" s="30">
        <f t="shared" si="52"/>
        <v>0</v>
      </c>
      <c r="AG105" s="30">
        <f t="shared" si="53"/>
        <v>0</v>
      </c>
      <c r="AH105" s="30">
        <f t="shared" si="54"/>
        <v>0</v>
      </c>
      <c r="AI105" s="24" t="s">
        <v>1024</v>
      </c>
      <c r="AJ105" s="14">
        <f t="shared" si="55"/>
        <v>0</v>
      </c>
      <c r="AK105" s="14">
        <f t="shared" si="56"/>
        <v>0</v>
      </c>
      <c r="AL105" s="14">
        <f t="shared" si="57"/>
        <v>0</v>
      </c>
      <c r="AN105" s="30">
        <v>21</v>
      </c>
      <c r="AO105" s="30">
        <f>H105*0.908172413793103</f>
        <v>0</v>
      </c>
      <c r="AP105" s="30">
        <f>H105*(1-0.908172413793103)</f>
        <v>0</v>
      </c>
      <c r="AQ105" s="25" t="s">
        <v>7</v>
      </c>
      <c r="AV105" s="30">
        <f t="shared" si="58"/>
        <v>0</v>
      </c>
      <c r="AW105" s="30">
        <f t="shared" si="59"/>
        <v>0</v>
      </c>
      <c r="AX105" s="30">
        <f t="shared" si="60"/>
        <v>0</v>
      </c>
      <c r="AY105" s="31" t="s">
        <v>1042</v>
      </c>
      <c r="AZ105" s="31" t="s">
        <v>1067</v>
      </c>
      <c r="BA105" s="24" t="s">
        <v>1080</v>
      </c>
      <c r="BC105" s="30">
        <f t="shared" si="61"/>
        <v>0</v>
      </c>
      <c r="BD105" s="30">
        <f t="shared" si="62"/>
        <v>0</v>
      </c>
      <c r="BE105" s="30">
        <v>0</v>
      </c>
      <c r="BF105" s="30">
        <f>105</f>
        <v>105</v>
      </c>
      <c r="BH105" s="14">
        <f t="shared" si="63"/>
        <v>0</v>
      </c>
      <c r="BI105" s="14">
        <f t="shared" si="64"/>
        <v>0</v>
      </c>
      <c r="BJ105" s="14">
        <f t="shared" si="65"/>
        <v>0</v>
      </c>
    </row>
    <row r="106" spans="1:62" ht="12.75">
      <c r="A106" s="4" t="s">
        <v>82</v>
      </c>
      <c r="B106" s="4" t="s">
        <v>398</v>
      </c>
      <c r="C106" s="153" t="s">
        <v>735</v>
      </c>
      <c r="D106" s="154"/>
      <c r="E106" s="154"/>
      <c r="F106" s="4" t="s">
        <v>991</v>
      </c>
      <c r="G106" s="64">
        <v>4</v>
      </c>
      <c r="H106" s="82">
        <v>0</v>
      </c>
      <c r="I106" s="14">
        <f t="shared" si="44"/>
        <v>0</v>
      </c>
      <c r="J106" s="14">
        <f t="shared" si="45"/>
        <v>0</v>
      </c>
      <c r="K106" s="14">
        <f t="shared" si="46"/>
        <v>0</v>
      </c>
      <c r="L106" s="25" t="s">
        <v>1014</v>
      </c>
      <c r="Z106" s="30">
        <f t="shared" si="47"/>
        <v>0</v>
      </c>
      <c r="AB106" s="30">
        <f t="shared" si="48"/>
        <v>0</v>
      </c>
      <c r="AC106" s="30">
        <f t="shared" si="49"/>
        <v>0</v>
      </c>
      <c r="AD106" s="30">
        <f t="shared" si="50"/>
        <v>0</v>
      </c>
      <c r="AE106" s="30">
        <f t="shared" si="51"/>
        <v>0</v>
      </c>
      <c r="AF106" s="30">
        <f t="shared" si="52"/>
        <v>0</v>
      </c>
      <c r="AG106" s="30">
        <f t="shared" si="53"/>
        <v>0</v>
      </c>
      <c r="AH106" s="30">
        <f t="shared" si="54"/>
        <v>0</v>
      </c>
      <c r="AI106" s="24" t="s">
        <v>1024</v>
      </c>
      <c r="AJ106" s="14">
        <f t="shared" si="55"/>
        <v>0</v>
      </c>
      <c r="AK106" s="14">
        <f t="shared" si="56"/>
        <v>0</v>
      </c>
      <c r="AL106" s="14">
        <f t="shared" si="57"/>
        <v>0</v>
      </c>
      <c r="AN106" s="30">
        <v>21</v>
      </c>
      <c r="AO106" s="30">
        <f>H106*0.05</f>
        <v>0</v>
      </c>
      <c r="AP106" s="30">
        <f>H106*(1-0.05)</f>
        <v>0</v>
      </c>
      <c r="AQ106" s="25" t="s">
        <v>7</v>
      </c>
      <c r="AV106" s="30">
        <f t="shared" si="58"/>
        <v>0</v>
      </c>
      <c r="AW106" s="30">
        <f t="shared" si="59"/>
        <v>0</v>
      </c>
      <c r="AX106" s="30">
        <f t="shared" si="60"/>
        <v>0</v>
      </c>
      <c r="AY106" s="31" t="s">
        <v>1042</v>
      </c>
      <c r="AZ106" s="31" t="s">
        <v>1067</v>
      </c>
      <c r="BA106" s="24" t="s">
        <v>1080</v>
      </c>
      <c r="BC106" s="30">
        <f t="shared" si="61"/>
        <v>0</v>
      </c>
      <c r="BD106" s="30">
        <f t="shared" si="62"/>
        <v>0</v>
      </c>
      <c r="BE106" s="30">
        <v>0</v>
      </c>
      <c r="BF106" s="30">
        <f>106</f>
        <v>106</v>
      </c>
      <c r="BH106" s="14">
        <f t="shared" si="63"/>
        <v>0</v>
      </c>
      <c r="BI106" s="14">
        <f t="shared" si="64"/>
        <v>0</v>
      </c>
      <c r="BJ106" s="14">
        <f t="shared" si="65"/>
        <v>0</v>
      </c>
    </row>
    <row r="107" spans="1:62" ht="12.75">
      <c r="A107" s="4" t="s">
        <v>83</v>
      </c>
      <c r="B107" s="4" t="s">
        <v>399</v>
      </c>
      <c r="C107" s="153" t="s">
        <v>736</v>
      </c>
      <c r="D107" s="154"/>
      <c r="E107" s="154"/>
      <c r="F107" s="4" t="s">
        <v>991</v>
      </c>
      <c r="G107" s="64">
        <v>4</v>
      </c>
      <c r="H107" s="82">
        <v>0</v>
      </c>
      <c r="I107" s="14">
        <f t="shared" si="44"/>
        <v>0</v>
      </c>
      <c r="J107" s="14">
        <f t="shared" si="45"/>
        <v>0</v>
      </c>
      <c r="K107" s="14">
        <f t="shared" si="46"/>
        <v>0</v>
      </c>
      <c r="L107" s="25" t="s">
        <v>1014</v>
      </c>
      <c r="Z107" s="30">
        <f t="shared" si="47"/>
        <v>0</v>
      </c>
      <c r="AB107" s="30">
        <f t="shared" si="48"/>
        <v>0</v>
      </c>
      <c r="AC107" s="30">
        <f t="shared" si="49"/>
        <v>0</v>
      </c>
      <c r="AD107" s="30">
        <f t="shared" si="50"/>
        <v>0</v>
      </c>
      <c r="AE107" s="30">
        <f t="shared" si="51"/>
        <v>0</v>
      </c>
      <c r="AF107" s="30">
        <f t="shared" si="52"/>
        <v>0</v>
      </c>
      <c r="AG107" s="30">
        <f t="shared" si="53"/>
        <v>0</v>
      </c>
      <c r="AH107" s="30">
        <f t="shared" si="54"/>
        <v>0</v>
      </c>
      <c r="AI107" s="24" t="s">
        <v>1024</v>
      </c>
      <c r="AJ107" s="14">
        <f t="shared" si="55"/>
        <v>0</v>
      </c>
      <c r="AK107" s="14">
        <f t="shared" si="56"/>
        <v>0</v>
      </c>
      <c r="AL107" s="14">
        <f t="shared" si="57"/>
        <v>0</v>
      </c>
      <c r="AN107" s="30">
        <v>21</v>
      </c>
      <c r="AO107" s="30">
        <f>H107*0.45</f>
        <v>0</v>
      </c>
      <c r="AP107" s="30">
        <f>H107*(1-0.45)</f>
        <v>0</v>
      </c>
      <c r="AQ107" s="25" t="s">
        <v>7</v>
      </c>
      <c r="AV107" s="30">
        <f t="shared" si="58"/>
        <v>0</v>
      </c>
      <c r="AW107" s="30">
        <f t="shared" si="59"/>
        <v>0</v>
      </c>
      <c r="AX107" s="30">
        <f t="shared" si="60"/>
        <v>0</v>
      </c>
      <c r="AY107" s="31" t="s">
        <v>1042</v>
      </c>
      <c r="AZ107" s="31" t="s">
        <v>1067</v>
      </c>
      <c r="BA107" s="24" t="s">
        <v>1080</v>
      </c>
      <c r="BC107" s="30">
        <f t="shared" si="61"/>
        <v>0</v>
      </c>
      <c r="BD107" s="30">
        <f t="shared" si="62"/>
        <v>0</v>
      </c>
      <c r="BE107" s="30">
        <v>0</v>
      </c>
      <c r="BF107" s="30">
        <f>107</f>
        <v>107</v>
      </c>
      <c r="BH107" s="14">
        <f t="shared" si="63"/>
        <v>0</v>
      </c>
      <c r="BI107" s="14">
        <f t="shared" si="64"/>
        <v>0</v>
      </c>
      <c r="BJ107" s="14">
        <f t="shared" si="65"/>
        <v>0</v>
      </c>
    </row>
    <row r="108" spans="1:62" ht="12.75">
      <c r="A108" s="4" t="s">
        <v>84</v>
      </c>
      <c r="B108" s="4" t="s">
        <v>400</v>
      </c>
      <c r="C108" s="153" t="s">
        <v>737</v>
      </c>
      <c r="D108" s="154"/>
      <c r="E108" s="154"/>
      <c r="F108" s="4" t="s">
        <v>991</v>
      </c>
      <c r="G108" s="64">
        <v>1</v>
      </c>
      <c r="H108" s="82">
        <v>0</v>
      </c>
      <c r="I108" s="14">
        <f t="shared" si="44"/>
        <v>0</v>
      </c>
      <c r="J108" s="14">
        <f t="shared" si="45"/>
        <v>0</v>
      </c>
      <c r="K108" s="14">
        <f t="shared" si="46"/>
        <v>0</v>
      </c>
      <c r="L108" s="25" t="s">
        <v>1014</v>
      </c>
      <c r="Z108" s="30">
        <f t="shared" si="47"/>
        <v>0</v>
      </c>
      <c r="AB108" s="30">
        <f t="shared" si="48"/>
        <v>0</v>
      </c>
      <c r="AC108" s="30">
        <f t="shared" si="49"/>
        <v>0</v>
      </c>
      <c r="AD108" s="30">
        <f t="shared" si="50"/>
        <v>0</v>
      </c>
      <c r="AE108" s="30">
        <f t="shared" si="51"/>
        <v>0</v>
      </c>
      <c r="AF108" s="30">
        <f t="shared" si="52"/>
        <v>0</v>
      </c>
      <c r="AG108" s="30">
        <f t="shared" si="53"/>
        <v>0</v>
      </c>
      <c r="AH108" s="30">
        <f t="shared" si="54"/>
        <v>0</v>
      </c>
      <c r="AI108" s="24" t="s">
        <v>1024</v>
      </c>
      <c r="AJ108" s="14">
        <f t="shared" si="55"/>
        <v>0</v>
      </c>
      <c r="AK108" s="14">
        <f t="shared" si="56"/>
        <v>0</v>
      </c>
      <c r="AL108" s="14">
        <f t="shared" si="57"/>
        <v>0</v>
      </c>
      <c r="AN108" s="30">
        <v>21</v>
      </c>
      <c r="AO108" s="30">
        <f>H108*0.90816</f>
        <v>0</v>
      </c>
      <c r="AP108" s="30">
        <f>H108*(1-0.90816)</f>
        <v>0</v>
      </c>
      <c r="AQ108" s="25" t="s">
        <v>7</v>
      </c>
      <c r="AV108" s="30">
        <f t="shared" si="58"/>
        <v>0</v>
      </c>
      <c r="AW108" s="30">
        <f t="shared" si="59"/>
        <v>0</v>
      </c>
      <c r="AX108" s="30">
        <f t="shared" si="60"/>
        <v>0</v>
      </c>
      <c r="AY108" s="31" t="s">
        <v>1042</v>
      </c>
      <c r="AZ108" s="31" t="s">
        <v>1067</v>
      </c>
      <c r="BA108" s="24" t="s">
        <v>1080</v>
      </c>
      <c r="BC108" s="30">
        <f t="shared" si="61"/>
        <v>0</v>
      </c>
      <c r="BD108" s="30">
        <f t="shared" si="62"/>
        <v>0</v>
      </c>
      <c r="BE108" s="30">
        <v>0</v>
      </c>
      <c r="BF108" s="30">
        <f>108</f>
        <v>108</v>
      </c>
      <c r="BH108" s="14">
        <f t="shared" si="63"/>
        <v>0</v>
      </c>
      <c r="BI108" s="14">
        <f t="shared" si="64"/>
        <v>0</v>
      </c>
      <c r="BJ108" s="14">
        <f t="shared" si="65"/>
        <v>0</v>
      </c>
    </row>
    <row r="109" spans="1:62" ht="12.75">
      <c r="A109" s="4" t="s">
        <v>85</v>
      </c>
      <c r="B109" s="4" t="s">
        <v>401</v>
      </c>
      <c r="C109" s="153" t="s">
        <v>738</v>
      </c>
      <c r="D109" s="154"/>
      <c r="E109" s="154"/>
      <c r="F109" s="4" t="s">
        <v>991</v>
      </c>
      <c r="G109" s="64">
        <v>1</v>
      </c>
      <c r="H109" s="82">
        <v>0</v>
      </c>
      <c r="I109" s="14">
        <f t="shared" si="44"/>
        <v>0</v>
      </c>
      <c r="J109" s="14">
        <f t="shared" si="45"/>
        <v>0</v>
      </c>
      <c r="K109" s="14">
        <f t="shared" si="46"/>
        <v>0</v>
      </c>
      <c r="L109" s="25" t="s">
        <v>1014</v>
      </c>
      <c r="Z109" s="30">
        <f t="shared" si="47"/>
        <v>0</v>
      </c>
      <c r="AB109" s="30">
        <f t="shared" si="48"/>
        <v>0</v>
      </c>
      <c r="AC109" s="30">
        <f t="shared" si="49"/>
        <v>0</v>
      </c>
      <c r="AD109" s="30">
        <f t="shared" si="50"/>
        <v>0</v>
      </c>
      <c r="AE109" s="30">
        <f t="shared" si="51"/>
        <v>0</v>
      </c>
      <c r="AF109" s="30">
        <f t="shared" si="52"/>
        <v>0</v>
      </c>
      <c r="AG109" s="30">
        <f t="shared" si="53"/>
        <v>0</v>
      </c>
      <c r="AH109" s="30">
        <f t="shared" si="54"/>
        <v>0</v>
      </c>
      <c r="AI109" s="24" t="s">
        <v>1024</v>
      </c>
      <c r="AJ109" s="14">
        <f t="shared" si="55"/>
        <v>0</v>
      </c>
      <c r="AK109" s="14">
        <f t="shared" si="56"/>
        <v>0</v>
      </c>
      <c r="AL109" s="14">
        <f t="shared" si="57"/>
        <v>0</v>
      </c>
      <c r="AN109" s="30">
        <v>21</v>
      </c>
      <c r="AO109" s="30">
        <f>H109*0.908158666666667</f>
        <v>0</v>
      </c>
      <c r="AP109" s="30">
        <f>H109*(1-0.908158666666667)</f>
        <v>0</v>
      </c>
      <c r="AQ109" s="25" t="s">
        <v>7</v>
      </c>
      <c r="AV109" s="30">
        <f t="shared" si="58"/>
        <v>0</v>
      </c>
      <c r="AW109" s="30">
        <f t="shared" si="59"/>
        <v>0</v>
      </c>
      <c r="AX109" s="30">
        <f t="shared" si="60"/>
        <v>0</v>
      </c>
      <c r="AY109" s="31" t="s">
        <v>1042</v>
      </c>
      <c r="AZ109" s="31" t="s">
        <v>1067</v>
      </c>
      <c r="BA109" s="24" t="s">
        <v>1080</v>
      </c>
      <c r="BC109" s="30">
        <f t="shared" si="61"/>
        <v>0</v>
      </c>
      <c r="BD109" s="30">
        <f t="shared" si="62"/>
        <v>0</v>
      </c>
      <c r="BE109" s="30">
        <v>0</v>
      </c>
      <c r="BF109" s="30">
        <f>109</f>
        <v>109</v>
      </c>
      <c r="BH109" s="14">
        <f t="shared" si="63"/>
        <v>0</v>
      </c>
      <c r="BI109" s="14">
        <f t="shared" si="64"/>
        <v>0</v>
      </c>
      <c r="BJ109" s="14">
        <f t="shared" si="65"/>
        <v>0</v>
      </c>
    </row>
    <row r="110" spans="1:62" ht="12.75">
      <c r="A110" s="4" t="s">
        <v>86</v>
      </c>
      <c r="B110" s="4" t="s">
        <v>402</v>
      </c>
      <c r="C110" s="153" t="s">
        <v>739</v>
      </c>
      <c r="D110" s="154"/>
      <c r="E110" s="154"/>
      <c r="F110" s="4" t="s">
        <v>991</v>
      </c>
      <c r="G110" s="64">
        <v>1</v>
      </c>
      <c r="H110" s="82">
        <v>0</v>
      </c>
      <c r="I110" s="14">
        <f t="shared" si="44"/>
        <v>0</v>
      </c>
      <c r="J110" s="14">
        <f t="shared" si="45"/>
        <v>0</v>
      </c>
      <c r="K110" s="14">
        <f t="shared" si="46"/>
        <v>0</v>
      </c>
      <c r="L110" s="25" t="s">
        <v>1014</v>
      </c>
      <c r="Z110" s="30">
        <f t="shared" si="47"/>
        <v>0</v>
      </c>
      <c r="AB110" s="30">
        <f t="shared" si="48"/>
        <v>0</v>
      </c>
      <c r="AC110" s="30">
        <f t="shared" si="49"/>
        <v>0</v>
      </c>
      <c r="AD110" s="30">
        <f t="shared" si="50"/>
        <v>0</v>
      </c>
      <c r="AE110" s="30">
        <f t="shared" si="51"/>
        <v>0</v>
      </c>
      <c r="AF110" s="30">
        <f t="shared" si="52"/>
        <v>0</v>
      </c>
      <c r="AG110" s="30">
        <f t="shared" si="53"/>
        <v>0</v>
      </c>
      <c r="AH110" s="30">
        <f t="shared" si="54"/>
        <v>0</v>
      </c>
      <c r="AI110" s="24" t="s">
        <v>1024</v>
      </c>
      <c r="AJ110" s="14">
        <f t="shared" si="55"/>
        <v>0</v>
      </c>
      <c r="AK110" s="14">
        <f t="shared" si="56"/>
        <v>0</v>
      </c>
      <c r="AL110" s="14">
        <f t="shared" si="57"/>
        <v>0</v>
      </c>
      <c r="AN110" s="30">
        <v>21</v>
      </c>
      <c r="AO110" s="30">
        <f>H110*0.908168571428571</f>
        <v>0</v>
      </c>
      <c r="AP110" s="30">
        <f>H110*(1-0.908168571428571)</f>
        <v>0</v>
      </c>
      <c r="AQ110" s="25" t="s">
        <v>7</v>
      </c>
      <c r="AV110" s="30">
        <f t="shared" si="58"/>
        <v>0</v>
      </c>
      <c r="AW110" s="30">
        <f t="shared" si="59"/>
        <v>0</v>
      </c>
      <c r="AX110" s="30">
        <f t="shared" si="60"/>
        <v>0</v>
      </c>
      <c r="AY110" s="31" t="s">
        <v>1042</v>
      </c>
      <c r="AZ110" s="31" t="s">
        <v>1067</v>
      </c>
      <c r="BA110" s="24" t="s">
        <v>1080</v>
      </c>
      <c r="BC110" s="30">
        <f t="shared" si="61"/>
        <v>0</v>
      </c>
      <c r="BD110" s="30">
        <f t="shared" si="62"/>
        <v>0</v>
      </c>
      <c r="BE110" s="30">
        <v>0</v>
      </c>
      <c r="BF110" s="30">
        <f>110</f>
        <v>110</v>
      </c>
      <c r="BH110" s="14">
        <f t="shared" si="63"/>
        <v>0</v>
      </c>
      <c r="BI110" s="14">
        <f t="shared" si="64"/>
        <v>0</v>
      </c>
      <c r="BJ110" s="14">
        <f t="shared" si="65"/>
        <v>0</v>
      </c>
    </row>
    <row r="111" spans="1:62" ht="12.75">
      <c r="A111" s="4" t="s">
        <v>87</v>
      </c>
      <c r="B111" s="4" t="s">
        <v>403</v>
      </c>
      <c r="C111" s="153" t="s">
        <v>740</v>
      </c>
      <c r="D111" s="154"/>
      <c r="E111" s="154"/>
      <c r="F111" s="4" t="s">
        <v>996</v>
      </c>
      <c r="G111" s="64">
        <v>16</v>
      </c>
      <c r="H111" s="82">
        <v>0</v>
      </c>
      <c r="I111" s="14">
        <f t="shared" si="44"/>
        <v>0</v>
      </c>
      <c r="J111" s="14">
        <f t="shared" si="45"/>
        <v>0</v>
      </c>
      <c r="K111" s="14">
        <f t="shared" si="46"/>
        <v>0</v>
      </c>
      <c r="L111" s="25" t="s">
        <v>1014</v>
      </c>
      <c r="Z111" s="30">
        <f t="shared" si="47"/>
        <v>0</v>
      </c>
      <c r="AB111" s="30">
        <f t="shared" si="48"/>
        <v>0</v>
      </c>
      <c r="AC111" s="30">
        <f t="shared" si="49"/>
        <v>0</v>
      </c>
      <c r="AD111" s="30">
        <f t="shared" si="50"/>
        <v>0</v>
      </c>
      <c r="AE111" s="30">
        <f t="shared" si="51"/>
        <v>0</v>
      </c>
      <c r="AF111" s="30">
        <f t="shared" si="52"/>
        <v>0</v>
      </c>
      <c r="AG111" s="30">
        <f t="shared" si="53"/>
        <v>0</v>
      </c>
      <c r="AH111" s="30">
        <f t="shared" si="54"/>
        <v>0</v>
      </c>
      <c r="AI111" s="24" t="s">
        <v>1024</v>
      </c>
      <c r="AJ111" s="14">
        <f t="shared" si="55"/>
        <v>0</v>
      </c>
      <c r="AK111" s="14">
        <f t="shared" si="56"/>
        <v>0</v>
      </c>
      <c r="AL111" s="14">
        <f t="shared" si="57"/>
        <v>0</v>
      </c>
      <c r="AN111" s="30">
        <v>21</v>
      </c>
      <c r="AO111" s="30">
        <f>H111*0.28</f>
        <v>0</v>
      </c>
      <c r="AP111" s="30">
        <f>H111*(1-0.28)</f>
        <v>0</v>
      </c>
      <c r="AQ111" s="25" t="s">
        <v>7</v>
      </c>
      <c r="AV111" s="30">
        <f t="shared" si="58"/>
        <v>0</v>
      </c>
      <c r="AW111" s="30">
        <f t="shared" si="59"/>
        <v>0</v>
      </c>
      <c r="AX111" s="30">
        <f t="shared" si="60"/>
        <v>0</v>
      </c>
      <c r="AY111" s="31" t="s">
        <v>1042</v>
      </c>
      <c r="AZ111" s="31" t="s">
        <v>1067</v>
      </c>
      <c r="BA111" s="24" t="s">
        <v>1080</v>
      </c>
      <c r="BC111" s="30">
        <f t="shared" si="61"/>
        <v>0</v>
      </c>
      <c r="BD111" s="30">
        <f t="shared" si="62"/>
        <v>0</v>
      </c>
      <c r="BE111" s="30">
        <v>0</v>
      </c>
      <c r="BF111" s="30">
        <f>111</f>
        <v>111</v>
      </c>
      <c r="BH111" s="14">
        <f t="shared" si="63"/>
        <v>0</v>
      </c>
      <c r="BI111" s="14">
        <f t="shared" si="64"/>
        <v>0</v>
      </c>
      <c r="BJ111" s="14">
        <f t="shared" si="65"/>
        <v>0</v>
      </c>
    </row>
    <row r="112" spans="1:47" ht="12.75">
      <c r="A112" s="3"/>
      <c r="B112" s="11" t="s">
        <v>102</v>
      </c>
      <c r="C112" s="151" t="s">
        <v>741</v>
      </c>
      <c r="D112" s="152"/>
      <c r="E112" s="152"/>
      <c r="F112" s="3" t="s">
        <v>6</v>
      </c>
      <c r="G112" s="3" t="s">
        <v>6</v>
      </c>
      <c r="H112" s="3" t="s">
        <v>6</v>
      </c>
      <c r="I112" s="32">
        <f>SUM(I113:I132)</f>
        <v>0</v>
      </c>
      <c r="J112" s="32">
        <f>SUM(J113:J132)</f>
        <v>0</v>
      </c>
      <c r="K112" s="32">
        <f>SUM(K113:K132)</f>
        <v>0</v>
      </c>
      <c r="L112" s="24"/>
      <c r="AI112" s="24" t="s">
        <v>1024</v>
      </c>
      <c r="AS112" s="32">
        <f>SUM(AJ113:AJ132)</f>
        <v>0</v>
      </c>
      <c r="AT112" s="32">
        <f>SUM(AK113:AK132)</f>
        <v>0</v>
      </c>
      <c r="AU112" s="32">
        <f>SUM(AL113:AL132)</f>
        <v>0</v>
      </c>
    </row>
    <row r="113" spans="1:62" ht="12.75">
      <c r="A113" s="4" t="s">
        <v>88</v>
      </c>
      <c r="B113" s="4" t="s">
        <v>404</v>
      </c>
      <c r="C113" s="153" t="s">
        <v>742</v>
      </c>
      <c r="D113" s="154"/>
      <c r="E113" s="154"/>
      <c r="F113" s="4" t="s">
        <v>992</v>
      </c>
      <c r="G113" s="64">
        <v>6.799</v>
      </c>
      <c r="H113" s="82">
        <v>0</v>
      </c>
      <c r="I113" s="14">
        <f aca="true" t="shared" si="66" ref="I113:I132">G113*AO113</f>
        <v>0</v>
      </c>
      <c r="J113" s="14">
        <f aca="true" t="shared" si="67" ref="J113:J132">G113*AP113</f>
        <v>0</v>
      </c>
      <c r="K113" s="14">
        <f aca="true" t="shared" si="68" ref="K113:K132">G113*H113</f>
        <v>0</v>
      </c>
      <c r="L113" s="25" t="s">
        <v>1014</v>
      </c>
      <c r="Z113" s="30">
        <f aca="true" t="shared" si="69" ref="Z113:Z132">IF(AQ113="5",BJ113,0)</f>
        <v>0</v>
      </c>
      <c r="AB113" s="30">
        <f aca="true" t="shared" si="70" ref="AB113:AB132">IF(AQ113="1",BH113,0)</f>
        <v>0</v>
      </c>
      <c r="AC113" s="30">
        <f aca="true" t="shared" si="71" ref="AC113:AC132">IF(AQ113="1",BI113,0)</f>
        <v>0</v>
      </c>
      <c r="AD113" s="30">
        <f aca="true" t="shared" si="72" ref="AD113:AD132">IF(AQ113="7",BH113,0)</f>
        <v>0</v>
      </c>
      <c r="AE113" s="30">
        <f aca="true" t="shared" si="73" ref="AE113:AE132">IF(AQ113="7",BI113,0)</f>
        <v>0</v>
      </c>
      <c r="AF113" s="30">
        <f aca="true" t="shared" si="74" ref="AF113:AF132">IF(AQ113="2",BH113,0)</f>
        <v>0</v>
      </c>
      <c r="AG113" s="30">
        <f aca="true" t="shared" si="75" ref="AG113:AG132">IF(AQ113="2",BI113,0)</f>
        <v>0</v>
      </c>
      <c r="AH113" s="30">
        <f aca="true" t="shared" si="76" ref="AH113:AH132">IF(AQ113="0",BJ113,0)</f>
        <v>0</v>
      </c>
      <c r="AI113" s="24" t="s">
        <v>1024</v>
      </c>
      <c r="AJ113" s="14">
        <f aca="true" t="shared" si="77" ref="AJ113:AJ132">IF(AN113=0,K113,0)</f>
        <v>0</v>
      </c>
      <c r="AK113" s="14">
        <f aca="true" t="shared" si="78" ref="AK113:AK132">IF(AN113=15,K113,0)</f>
        <v>0</v>
      </c>
      <c r="AL113" s="14">
        <f aca="true" t="shared" si="79" ref="AL113:AL132">IF(AN113=21,K113,0)</f>
        <v>0</v>
      </c>
      <c r="AN113" s="30">
        <v>21</v>
      </c>
      <c r="AO113" s="30">
        <f>H113*0</f>
        <v>0</v>
      </c>
      <c r="AP113" s="30">
        <f>H113*(1-0)</f>
        <v>0</v>
      </c>
      <c r="AQ113" s="25" t="s">
        <v>7</v>
      </c>
      <c r="AV113" s="30">
        <f aca="true" t="shared" si="80" ref="AV113:AV132">AW113+AX113</f>
        <v>0</v>
      </c>
      <c r="AW113" s="30">
        <f aca="true" t="shared" si="81" ref="AW113:AW132">G113*AO113</f>
        <v>0</v>
      </c>
      <c r="AX113" s="30">
        <f aca="true" t="shared" si="82" ref="AX113:AX132">G113*AP113</f>
        <v>0</v>
      </c>
      <c r="AY113" s="31" t="s">
        <v>1043</v>
      </c>
      <c r="AZ113" s="31" t="s">
        <v>1067</v>
      </c>
      <c r="BA113" s="24" t="s">
        <v>1080</v>
      </c>
      <c r="BC113" s="30">
        <f aca="true" t="shared" si="83" ref="BC113:BC132">AW113+AX113</f>
        <v>0</v>
      </c>
      <c r="BD113" s="30">
        <f aca="true" t="shared" si="84" ref="BD113:BD132">H113/(100-BE113)*100</f>
        <v>0</v>
      </c>
      <c r="BE113" s="30">
        <v>0</v>
      </c>
      <c r="BF113" s="30">
        <f>113</f>
        <v>113</v>
      </c>
      <c r="BH113" s="14">
        <f aca="true" t="shared" si="85" ref="BH113:BH132">G113*AO113</f>
        <v>0</v>
      </c>
      <c r="BI113" s="14">
        <f aca="true" t="shared" si="86" ref="BI113:BI132">G113*AP113</f>
        <v>0</v>
      </c>
      <c r="BJ113" s="14">
        <f aca="true" t="shared" si="87" ref="BJ113:BJ132">G113*H113</f>
        <v>0</v>
      </c>
    </row>
    <row r="114" spans="1:62" ht="12.75">
      <c r="A114" s="4" t="s">
        <v>89</v>
      </c>
      <c r="B114" s="4" t="s">
        <v>405</v>
      </c>
      <c r="C114" s="153" t="s">
        <v>743</v>
      </c>
      <c r="D114" s="154"/>
      <c r="E114" s="154"/>
      <c r="F114" s="4" t="s">
        <v>993</v>
      </c>
      <c r="G114" s="64">
        <v>132.083</v>
      </c>
      <c r="H114" s="82">
        <v>0</v>
      </c>
      <c r="I114" s="14">
        <f t="shared" si="66"/>
        <v>0</v>
      </c>
      <c r="J114" s="14">
        <f t="shared" si="67"/>
        <v>0</v>
      </c>
      <c r="K114" s="14">
        <f t="shared" si="68"/>
        <v>0</v>
      </c>
      <c r="L114" s="25" t="s">
        <v>1014</v>
      </c>
      <c r="Z114" s="30">
        <f t="shared" si="69"/>
        <v>0</v>
      </c>
      <c r="AB114" s="30">
        <f t="shared" si="70"/>
        <v>0</v>
      </c>
      <c r="AC114" s="30">
        <f t="shared" si="71"/>
        <v>0</v>
      </c>
      <c r="AD114" s="30">
        <f t="shared" si="72"/>
        <v>0</v>
      </c>
      <c r="AE114" s="30">
        <f t="shared" si="73"/>
        <v>0</v>
      </c>
      <c r="AF114" s="30">
        <f t="shared" si="74"/>
        <v>0</v>
      </c>
      <c r="AG114" s="30">
        <f t="shared" si="75"/>
        <v>0</v>
      </c>
      <c r="AH114" s="30">
        <f t="shared" si="76"/>
        <v>0</v>
      </c>
      <c r="AI114" s="24" t="s">
        <v>1024</v>
      </c>
      <c r="AJ114" s="14">
        <f t="shared" si="77"/>
        <v>0</v>
      </c>
      <c r="AK114" s="14">
        <f t="shared" si="78"/>
        <v>0</v>
      </c>
      <c r="AL114" s="14">
        <f t="shared" si="79"/>
        <v>0</v>
      </c>
      <c r="AN114" s="30">
        <v>21</v>
      </c>
      <c r="AO114" s="30">
        <f>H114*0.099936887035972</f>
        <v>0</v>
      </c>
      <c r="AP114" s="30">
        <f>H114*(1-0.099936887035972)</f>
        <v>0</v>
      </c>
      <c r="AQ114" s="25" t="s">
        <v>7</v>
      </c>
      <c r="AV114" s="30">
        <f t="shared" si="80"/>
        <v>0</v>
      </c>
      <c r="AW114" s="30">
        <f t="shared" si="81"/>
        <v>0</v>
      </c>
      <c r="AX114" s="30">
        <f t="shared" si="82"/>
        <v>0</v>
      </c>
      <c r="AY114" s="31" t="s">
        <v>1043</v>
      </c>
      <c r="AZ114" s="31" t="s">
        <v>1067</v>
      </c>
      <c r="BA114" s="24" t="s">
        <v>1080</v>
      </c>
      <c r="BC114" s="30">
        <f t="shared" si="83"/>
        <v>0</v>
      </c>
      <c r="BD114" s="30">
        <f t="shared" si="84"/>
        <v>0</v>
      </c>
      <c r="BE114" s="30">
        <v>0</v>
      </c>
      <c r="BF114" s="30">
        <f>114</f>
        <v>114</v>
      </c>
      <c r="BH114" s="14">
        <f t="shared" si="85"/>
        <v>0</v>
      </c>
      <c r="BI114" s="14">
        <f t="shared" si="86"/>
        <v>0</v>
      </c>
      <c r="BJ114" s="14">
        <f t="shared" si="87"/>
        <v>0</v>
      </c>
    </row>
    <row r="115" spans="1:62" ht="12.75">
      <c r="A115" s="4" t="s">
        <v>90</v>
      </c>
      <c r="B115" s="4" t="s">
        <v>406</v>
      </c>
      <c r="C115" s="153" t="s">
        <v>744</v>
      </c>
      <c r="D115" s="154"/>
      <c r="E115" s="154"/>
      <c r="F115" s="4" t="s">
        <v>992</v>
      </c>
      <c r="G115" s="64">
        <v>1.566</v>
      </c>
      <c r="H115" s="82">
        <v>0</v>
      </c>
      <c r="I115" s="14">
        <f t="shared" si="66"/>
        <v>0</v>
      </c>
      <c r="J115" s="14">
        <f t="shared" si="67"/>
        <v>0</v>
      </c>
      <c r="K115" s="14">
        <f t="shared" si="68"/>
        <v>0</v>
      </c>
      <c r="L115" s="25" t="s">
        <v>1014</v>
      </c>
      <c r="Z115" s="30">
        <f t="shared" si="69"/>
        <v>0</v>
      </c>
      <c r="AB115" s="30">
        <f t="shared" si="70"/>
        <v>0</v>
      </c>
      <c r="AC115" s="30">
        <f t="shared" si="71"/>
        <v>0</v>
      </c>
      <c r="AD115" s="30">
        <f t="shared" si="72"/>
        <v>0</v>
      </c>
      <c r="AE115" s="30">
        <f t="shared" si="73"/>
        <v>0</v>
      </c>
      <c r="AF115" s="30">
        <f t="shared" si="74"/>
        <v>0</v>
      </c>
      <c r="AG115" s="30">
        <f t="shared" si="75"/>
        <v>0</v>
      </c>
      <c r="AH115" s="30">
        <f t="shared" si="76"/>
        <v>0</v>
      </c>
      <c r="AI115" s="24" t="s">
        <v>1024</v>
      </c>
      <c r="AJ115" s="14">
        <f t="shared" si="77"/>
        <v>0</v>
      </c>
      <c r="AK115" s="14">
        <f t="shared" si="78"/>
        <v>0</v>
      </c>
      <c r="AL115" s="14">
        <f t="shared" si="79"/>
        <v>0</v>
      </c>
      <c r="AN115" s="30">
        <v>21</v>
      </c>
      <c r="AO115" s="30">
        <f>H115*0.038689441700247</f>
        <v>0</v>
      </c>
      <c r="AP115" s="30">
        <f>H115*(1-0.038689441700247)</f>
        <v>0</v>
      </c>
      <c r="AQ115" s="25" t="s">
        <v>7</v>
      </c>
      <c r="AV115" s="30">
        <f t="shared" si="80"/>
        <v>0</v>
      </c>
      <c r="AW115" s="30">
        <f t="shared" si="81"/>
        <v>0</v>
      </c>
      <c r="AX115" s="30">
        <f t="shared" si="82"/>
        <v>0</v>
      </c>
      <c r="AY115" s="31" t="s">
        <v>1043</v>
      </c>
      <c r="AZ115" s="31" t="s">
        <v>1067</v>
      </c>
      <c r="BA115" s="24" t="s">
        <v>1080</v>
      </c>
      <c r="BC115" s="30">
        <f t="shared" si="83"/>
        <v>0</v>
      </c>
      <c r="BD115" s="30">
        <f t="shared" si="84"/>
        <v>0</v>
      </c>
      <c r="BE115" s="30">
        <v>0</v>
      </c>
      <c r="BF115" s="30">
        <f>115</f>
        <v>115</v>
      </c>
      <c r="BH115" s="14">
        <f t="shared" si="85"/>
        <v>0</v>
      </c>
      <c r="BI115" s="14">
        <f t="shared" si="86"/>
        <v>0</v>
      </c>
      <c r="BJ115" s="14">
        <f t="shared" si="87"/>
        <v>0</v>
      </c>
    </row>
    <row r="116" spans="1:62" ht="12.75">
      <c r="A116" s="4" t="s">
        <v>91</v>
      </c>
      <c r="B116" s="4" t="s">
        <v>407</v>
      </c>
      <c r="C116" s="153" t="s">
        <v>745</v>
      </c>
      <c r="D116" s="154"/>
      <c r="E116" s="154"/>
      <c r="F116" s="4" t="s">
        <v>994</v>
      </c>
      <c r="G116" s="64">
        <v>1.127</v>
      </c>
      <c r="H116" s="82">
        <v>0</v>
      </c>
      <c r="I116" s="14">
        <f t="shared" si="66"/>
        <v>0</v>
      </c>
      <c r="J116" s="14">
        <f t="shared" si="67"/>
        <v>0</v>
      </c>
      <c r="K116" s="14">
        <f t="shared" si="68"/>
        <v>0</v>
      </c>
      <c r="L116" s="25" t="s">
        <v>1014</v>
      </c>
      <c r="Z116" s="30">
        <f t="shared" si="69"/>
        <v>0</v>
      </c>
      <c r="AB116" s="30">
        <f t="shared" si="70"/>
        <v>0</v>
      </c>
      <c r="AC116" s="30">
        <f t="shared" si="71"/>
        <v>0</v>
      </c>
      <c r="AD116" s="30">
        <f t="shared" si="72"/>
        <v>0</v>
      </c>
      <c r="AE116" s="30">
        <f t="shared" si="73"/>
        <v>0</v>
      </c>
      <c r="AF116" s="30">
        <f t="shared" si="74"/>
        <v>0</v>
      </c>
      <c r="AG116" s="30">
        <f t="shared" si="75"/>
        <v>0</v>
      </c>
      <c r="AH116" s="30">
        <f t="shared" si="76"/>
        <v>0</v>
      </c>
      <c r="AI116" s="24" t="s">
        <v>1024</v>
      </c>
      <c r="AJ116" s="14">
        <f t="shared" si="77"/>
        <v>0</v>
      </c>
      <c r="AK116" s="14">
        <f t="shared" si="78"/>
        <v>0</v>
      </c>
      <c r="AL116" s="14">
        <f t="shared" si="79"/>
        <v>0</v>
      </c>
      <c r="AN116" s="30">
        <v>21</v>
      </c>
      <c r="AO116" s="30">
        <f>H116*0.0806382189239332</f>
        <v>0</v>
      </c>
      <c r="AP116" s="30">
        <f>H116*(1-0.0806382189239332)</f>
        <v>0</v>
      </c>
      <c r="AQ116" s="25" t="s">
        <v>7</v>
      </c>
      <c r="AV116" s="30">
        <f t="shared" si="80"/>
        <v>0</v>
      </c>
      <c r="AW116" s="30">
        <f t="shared" si="81"/>
        <v>0</v>
      </c>
      <c r="AX116" s="30">
        <f t="shared" si="82"/>
        <v>0</v>
      </c>
      <c r="AY116" s="31" t="s">
        <v>1043</v>
      </c>
      <c r="AZ116" s="31" t="s">
        <v>1067</v>
      </c>
      <c r="BA116" s="24" t="s">
        <v>1080</v>
      </c>
      <c r="BC116" s="30">
        <f t="shared" si="83"/>
        <v>0</v>
      </c>
      <c r="BD116" s="30">
        <f t="shared" si="84"/>
        <v>0</v>
      </c>
      <c r="BE116" s="30">
        <v>0</v>
      </c>
      <c r="BF116" s="30">
        <f>116</f>
        <v>116</v>
      </c>
      <c r="BH116" s="14">
        <f t="shared" si="85"/>
        <v>0</v>
      </c>
      <c r="BI116" s="14">
        <f t="shared" si="86"/>
        <v>0</v>
      </c>
      <c r="BJ116" s="14">
        <f t="shared" si="87"/>
        <v>0</v>
      </c>
    </row>
    <row r="117" spans="1:62" ht="12.75">
      <c r="A117" s="4" t="s">
        <v>92</v>
      </c>
      <c r="B117" s="4" t="s">
        <v>408</v>
      </c>
      <c r="C117" s="153" t="s">
        <v>746</v>
      </c>
      <c r="D117" s="154"/>
      <c r="E117" s="154"/>
      <c r="F117" s="4" t="s">
        <v>992</v>
      </c>
      <c r="G117" s="64">
        <v>5.08</v>
      </c>
      <c r="H117" s="82">
        <v>0</v>
      </c>
      <c r="I117" s="14">
        <f t="shared" si="66"/>
        <v>0</v>
      </c>
      <c r="J117" s="14">
        <f t="shared" si="67"/>
        <v>0</v>
      </c>
      <c r="K117" s="14">
        <f t="shared" si="68"/>
        <v>0</v>
      </c>
      <c r="L117" s="25" t="s">
        <v>1014</v>
      </c>
      <c r="Z117" s="30">
        <f t="shared" si="69"/>
        <v>0</v>
      </c>
      <c r="AB117" s="30">
        <f t="shared" si="70"/>
        <v>0</v>
      </c>
      <c r="AC117" s="30">
        <f t="shared" si="71"/>
        <v>0</v>
      </c>
      <c r="AD117" s="30">
        <f t="shared" si="72"/>
        <v>0</v>
      </c>
      <c r="AE117" s="30">
        <f t="shared" si="73"/>
        <v>0</v>
      </c>
      <c r="AF117" s="30">
        <f t="shared" si="74"/>
        <v>0</v>
      </c>
      <c r="AG117" s="30">
        <f t="shared" si="75"/>
        <v>0</v>
      </c>
      <c r="AH117" s="30">
        <f t="shared" si="76"/>
        <v>0</v>
      </c>
      <c r="AI117" s="24" t="s">
        <v>1024</v>
      </c>
      <c r="AJ117" s="14">
        <f t="shared" si="77"/>
        <v>0</v>
      </c>
      <c r="AK117" s="14">
        <f t="shared" si="78"/>
        <v>0</v>
      </c>
      <c r="AL117" s="14">
        <f t="shared" si="79"/>
        <v>0</v>
      </c>
      <c r="AN117" s="30">
        <v>21</v>
      </c>
      <c r="AO117" s="30">
        <f>H117*0</f>
        <v>0</v>
      </c>
      <c r="AP117" s="30">
        <f>H117*(1-0)</f>
        <v>0</v>
      </c>
      <c r="AQ117" s="25" t="s">
        <v>7</v>
      </c>
      <c r="AV117" s="30">
        <f t="shared" si="80"/>
        <v>0</v>
      </c>
      <c r="AW117" s="30">
        <f t="shared" si="81"/>
        <v>0</v>
      </c>
      <c r="AX117" s="30">
        <f t="shared" si="82"/>
        <v>0</v>
      </c>
      <c r="AY117" s="31" t="s">
        <v>1043</v>
      </c>
      <c r="AZ117" s="31" t="s">
        <v>1067</v>
      </c>
      <c r="BA117" s="24" t="s">
        <v>1080</v>
      </c>
      <c r="BC117" s="30">
        <f t="shared" si="83"/>
        <v>0</v>
      </c>
      <c r="BD117" s="30">
        <f t="shared" si="84"/>
        <v>0</v>
      </c>
      <c r="BE117" s="30">
        <v>0</v>
      </c>
      <c r="BF117" s="30">
        <f>117</f>
        <v>117</v>
      </c>
      <c r="BH117" s="14">
        <f t="shared" si="85"/>
        <v>0</v>
      </c>
      <c r="BI117" s="14">
        <f t="shared" si="86"/>
        <v>0</v>
      </c>
      <c r="BJ117" s="14">
        <f t="shared" si="87"/>
        <v>0</v>
      </c>
    </row>
    <row r="118" spans="1:62" ht="12.75">
      <c r="A118" s="4" t="s">
        <v>93</v>
      </c>
      <c r="B118" s="4" t="s">
        <v>409</v>
      </c>
      <c r="C118" s="153" t="s">
        <v>747</v>
      </c>
      <c r="D118" s="154"/>
      <c r="E118" s="154"/>
      <c r="F118" s="4" t="s">
        <v>992</v>
      </c>
      <c r="G118" s="64">
        <v>10.16</v>
      </c>
      <c r="H118" s="82">
        <v>0</v>
      </c>
      <c r="I118" s="14">
        <f t="shared" si="66"/>
        <v>0</v>
      </c>
      <c r="J118" s="14">
        <f t="shared" si="67"/>
        <v>0</v>
      </c>
      <c r="K118" s="14">
        <f t="shared" si="68"/>
        <v>0</v>
      </c>
      <c r="L118" s="25" t="s">
        <v>1014</v>
      </c>
      <c r="Z118" s="30">
        <f t="shared" si="69"/>
        <v>0</v>
      </c>
      <c r="AB118" s="30">
        <f t="shared" si="70"/>
        <v>0</v>
      </c>
      <c r="AC118" s="30">
        <f t="shared" si="71"/>
        <v>0</v>
      </c>
      <c r="AD118" s="30">
        <f t="shared" si="72"/>
        <v>0</v>
      </c>
      <c r="AE118" s="30">
        <f t="shared" si="73"/>
        <v>0</v>
      </c>
      <c r="AF118" s="30">
        <f t="shared" si="74"/>
        <v>0</v>
      </c>
      <c r="AG118" s="30">
        <f t="shared" si="75"/>
        <v>0</v>
      </c>
      <c r="AH118" s="30">
        <f t="shared" si="76"/>
        <v>0</v>
      </c>
      <c r="AI118" s="24" t="s">
        <v>1024</v>
      </c>
      <c r="AJ118" s="14">
        <f t="shared" si="77"/>
        <v>0</v>
      </c>
      <c r="AK118" s="14">
        <f t="shared" si="78"/>
        <v>0</v>
      </c>
      <c r="AL118" s="14">
        <f t="shared" si="79"/>
        <v>0</v>
      </c>
      <c r="AN118" s="30">
        <v>21</v>
      </c>
      <c r="AO118" s="30">
        <f>H118*0</f>
        <v>0</v>
      </c>
      <c r="AP118" s="30">
        <f>H118*(1-0)</f>
        <v>0</v>
      </c>
      <c r="AQ118" s="25" t="s">
        <v>7</v>
      </c>
      <c r="AV118" s="30">
        <f t="shared" si="80"/>
        <v>0</v>
      </c>
      <c r="AW118" s="30">
        <f t="shared" si="81"/>
        <v>0</v>
      </c>
      <c r="AX118" s="30">
        <f t="shared" si="82"/>
        <v>0</v>
      </c>
      <c r="AY118" s="31" t="s">
        <v>1043</v>
      </c>
      <c r="AZ118" s="31" t="s">
        <v>1067</v>
      </c>
      <c r="BA118" s="24" t="s">
        <v>1080</v>
      </c>
      <c r="BC118" s="30">
        <f t="shared" si="83"/>
        <v>0</v>
      </c>
      <c r="BD118" s="30">
        <f t="shared" si="84"/>
        <v>0</v>
      </c>
      <c r="BE118" s="30">
        <v>0</v>
      </c>
      <c r="BF118" s="30">
        <f>118</f>
        <v>118</v>
      </c>
      <c r="BH118" s="14">
        <f t="shared" si="85"/>
        <v>0</v>
      </c>
      <c r="BI118" s="14">
        <f t="shared" si="86"/>
        <v>0</v>
      </c>
      <c r="BJ118" s="14">
        <f t="shared" si="87"/>
        <v>0</v>
      </c>
    </row>
    <row r="119" spans="1:62" ht="12.75">
      <c r="A119" s="4" t="s">
        <v>94</v>
      </c>
      <c r="B119" s="4" t="s">
        <v>410</v>
      </c>
      <c r="C119" s="153" t="s">
        <v>748</v>
      </c>
      <c r="D119" s="154"/>
      <c r="E119" s="154"/>
      <c r="F119" s="4" t="s">
        <v>992</v>
      </c>
      <c r="G119" s="64">
        <v>10.16</v>
      </c>
      <c r="H119" s="82">
        <v>0</v>
      </c>
      <c r="I119" s="14">
        <f t="shared" si="66"/>
        <v>0</v>
      </c>
      <c r="J119" s="14">
        <f t="shared" si="67"/>
        <v>0</v>
      </c>
      <c r="K119" s="14">
        <f t="shared" si="68"/>
        <v>0</v>
      </c>
      <c r="L119" s="25" t="s">
        <v>1014</v>
      </c>
      <c r="Z119" s="30">
        <f t="shared" si="69"/>
        <v>0</v>
      </c>
      <c r="AB119" s="30">
        <f t="shared" si="70"/>
        <v>0</v>
      </c>
      <c r="AC119" s="30">
        <f t="shared" si="71"/>
        <v>0</v>
      </c>
      <c r="AD119" s="30">
        <f t="shared" si="72"/>
        <v>0</v>
      </c>
      <c r="AE119" s="30">
        <f t="shared" si="73"/>
        <v>0</v>
      </c>
      <c r="AF119" s="30">
        <f t="shared" si="74"/>
        <v>0</v>
      </c>
      <c r="AG119" s="30">
        <f t="shared" si="75"/>
        <v>0</v>
      </c>
      <c r="AH119" s="30">
        <f t="shared" si="76"/>
        <v>0</v>
      </c>
      <c r="AI119" s="24" t="s">
        <v>1024</v>
      </c>
      <c r="AJ119" s="14">
        <f t="shared" si="77"/>
        <v>0</v>
      </c>
      <c r="AK119" s="14">
        <f t="shared" si="78"/>
        <v>0</v>
      </c>
      <c r="AL119" s="14">
        <f t="shared" si="79"/>
        <v>0</v>
      </c>
      <c r="AN119" s="30">
        <v>21</v>
      </c>
      <c r="AO119" s="30">
        <f>H119*0</f>
        <v>0</v>
      </c>
      <c r="AP119" s="30">
        <f>H119*(1-0)</f>
        <v>0</v>
      </c>
      <c r="AQ119" s="25" t="s">
        <v>7</v>
      </c>
      <c r="AV119" s="30">
        <f t="shared" si="80"/>
        <v>0</v>
      </c>
      <c r="AW119" s="30">
        <f t="shared" si="81"/>
        <v>0</v>
      </c>
      <c r="AX119" s="30">
        <f t="shared" si="82"/>
        <v>0</v>
      </c>
      <c r="AY119" s="31" t="s">
        <v>1043</v>
      </c>
      <c r="AZ119" s="31" t="s">
        <v>1067</v>
      </c>
      <c r="BA119" s="24" t="s">
        <v>1080</v>
      </c>
      <c r="BC119" s="30">
        <f t="shared" si="83"/>
        <v>0</v>
      </c>
      <c r="BD119" s="30">
        <f t="shared" si="84"/>
        <v>0</v>
      </c>
      <c r="BE119" s="30">
        <v>0</v>
      </c>
      <c r="BF119" s="30">
        <f>119</f>
        <v>119</v>
      </c>
      <c r="BH119" s="14">
        <f t="shared" si="85"/>
        <v>0</v>
      </c>
      <c r="BI119" s="14">
        <f t="shared" si="86"/>
        <v>0</v>
      </c>
      <c r="BJ119" s="14">
        <f t="shared" si="87"/>
        <v>0</v>
      </c>
    </row>
    <row r="120" spans="1:62" ht="12.75">
      <c r="A120" s="4" t="s">
        <v>95</v>
      </c>
      <c r="B120" s="4" t="s">
        <v>411</v>
      </c>
      <c r="C120" s="153" t="s">
        <v>749</v>
      </c>
      <c r="D120" s="154"/>
      <c r="E120" s="154"/>
      <c r="F120" s="4" t="s">
        <v>995</v>
      </c>
      <c r="G120" s="64">
        <v>45.4</v>
      </c>
      <c r="H120" s="82">
        <v>0</v>
      </c>
      <c r="I120" s="14">
        <f t="shared" si="66"/>
        <v>0</v>
      </c>
      <c r="J120" s="14">
        <f t="shared" si="67"/>
        <v>0</v>
      </c>
      <c r="K120" s="14">
        <f t="shared" si="68"/>
        <v>0</v>
      </c>
      <c r="L120" s="25" t="s">
        <v>1014</v>
      </c>
      <c r="Z120" s="30">
        <f t="shared" si="69"/>
        <v>0</v>
      </c>
      <c r="AB120" s="30">
        <f t="shared" si="70"/>
        <v>0</v>
      </c>
      <c r="AC120" s="30">
        <f t="shared" si="71"/>
        <v>0</v>
      </c>
      <c r="AD120" s="30">
        <f t="shared" si="72"/>
        <v>0</v>
      </c>
      <c r="AE120" s="30">
        <f t="shared" si="73"/>
        <v>0</v>
      </c>
      <c r="AF120" s="30">
        <f t="shared" si="74"/>
        <v>0</v>
      </c>
      <c r="AG120" s="30">
        <f t="shared" si="75"/>
        <v>0</v>
      </c>
      <c r="AH120" s="30">
        <f t="shared" si="76"/>
        <v>0</v>
      </c>
      <c r="AI120" s="24" t="s">
        <v>1024</v>
      </c>
      <c r="AJ120" s="14">
        <f t="shared" si="77"/>
        <v>0</v>
      </c>
      <c r="AK120" s="14">
        <f t="shared" si="78"/>
        <v>0</v>
      </c>
      <c r="AL120" s="14">
        <f t="shared" si="79"/>
        <v>0</v>
      </c>
      <c r="AN120" s="30">
        <v>21</v>
      </c>
      <c r="AO120" s="30">
        <f>H120*0</f>
        <v>0</v>
      </c>
      <c r="AP120" s="30">
        <f>H120*(1-0)</f>
        <v>0</v>
      </c>
      <c r="AQ120" s="25" t="s">
        <v>7</v>
      </c>
      <c r="AV120" s="30">
        <f t="shared" si="80"/>
        <v>0</v>
      </c>
      <c r="AW120" s="30">
        <f t="shared" si="81"/>
        <v>0</v>
      </c>
      <c r="AX120" s="30">
        <f t="shared" si="82"/>
        <v>0</v>
      </c>
      <c r="AY120" s="31" t="s">
        <v>1043</v>
      </c>
      <c r="AZ120" s="31" t="s">
        <v>1067</v>
      </c>
      <c r="BA120" s="24" t="s">
        <v>1080</v>
      </c>
      <c r="BC120" s="30">
        <f t="shared" si="83"/>
        <v>0</v>
      </c>
      <c r="BD120" s="30">
        <f t="shared" si="84"/>
        <v>0</v>
      </c>
      <c r="BE120" s="30">
        <v>0</v>
      </c>
      <c r="BF120" s="30">
        <f>120</f>
        <v>120</v>
      </c>
      <c r="BH120" s="14">
        <f t="shared" si="85"/>
        <v>0</v>
      </c>
      <c r="BI120" s="14">
        <f t="shared" si="86"/>
        <v>0</v>
      </c>
      <c r="BJ120" s="14">
        <f t="shared" si="87"/>
        <v>0</v>
      </c>
    </row>
    <row r="121" spans="1:62" ht="12.75">
      <c r="A121" s="4" t="s">
        <v>96</v>
      </c>
      <c r="B121" s="4" t="s">
        <v>412</v>
      </c>
      <c r="C121" s="153" t="s">
        <v>750</v>
      </c>
      <c r="D121" s="154"/>
      <c r="E121" s="154"/>
      <c r="F121" s="4" t="s">
        <v>993</v>
      </c>
      <c r="G121" s="64">
        <v>132.083</v>
      </c>
      <c r="H121" s="82">
        <v>0</v>
      </c>
      <c r="I121" s="14">
        <f t="shared" si="66"/>
        <v>0</v>
      </c>
      <c r="J121" s="14">
        <f t="shared" si="67"/>
        <v>0</v>
      </c>
      <c r="K121" s="14">
        <f t="shared" si="68"/>
        <v>0</v>
      </c>
      <c r="L121" s="25" t="s">
        <v>1014</v>
      </c>
      <c r="Z121" s="30">
        <f t="shared" si="69"/>
        <v>0</v>
      </c>
      <c r="AB121" s="30">
        <f t="shared" si="70"/>
        <v>0</v>
      </c>
      <c r="AC121" s="30">
        <f t="shared" si="71"/>
        <v>0</v>
      </c>
      <c r="AD121" s="30">
        <f t="shared" si="72"/>
        <v>0</v>
      </c>
      <c r="AE121" s="30">
        <f t="shared" si="73"/>
        <v>0</v>
      </c>
      <c r="AF121" s="30">
        <f t="shared" si="74"/>
        <v>0</v>
      </c>
      <c r="AG121" s="30">
        <f t="shared" si="75"/>
        <v>0</v>
      </c>
      <c r="AH121" s="30">
        <f t="shared" si="76"/>
        <v>0</v>
      </c>
      <c r="AI121" s="24" t="s">
        <v>1024</v>
      </c>
      <c r="AJ121" s="14">
        <f t="shared" si="77"/>
        <v>0</v>
      </c>
      <c r="AK121" s="14">
        <f t="shared" si="78"/>
        <v>0</v>
      </c>
      <c r="AL121" s="14">
        <f t="shared" si="79"/>
        <v>0</v>
      </c>
      <c r="AN121" s="30">
        <v>21</v>
      </c>
      <c r="AO121" s="30">
        <f>H121*0.0210791389869079</f>
        <v>0</v>
      </c>
      <c r="AP121" s="30">
        <f>H121*(1-0.0210791389869079)</f>
        <v>0</v>
      </c>
      <c r="AQ121" s="25" t="s">
        <v>7</v>
      </c>
      <c r="AV121" s="30">
        <f t="shared" si="80"/>
        <v>0</v>
      </c>
      <c r="AW121" s="30">
        <f t="shared" si="81"/>
        <v>0</v>
      </c>
      <c r="AX121" s="30">
        <f t="shared" si="82"/>
        <v>0</v>
      </c>
      <c r="AY121" s="31" t="s">
        <v>1043</v>
      </c>
      <c r="AZ121" s="31" t="s">
        <v>1067</v>
      </c>
      <c r="BA121" s="24" t="s">
        <v>1080</v>
      </c>
      <c r="BC121" s="30">
        <f t="shared" si="83"/>
        <v>0</v>
      </c>
      <c r="BD121" s="30">
        <f t="shared" si="84"/>
        <v>0</v>
      </c>
      <c r="BE121" s="30">
        <v>0</v>
      </c>
      <c r="BF121" s="30">
        <f>121</f>
        <v>121</v>
      </c>
      <c r="BH121" s="14">
        <f t="shared" si="85"/>
        <v>0</v>
      </c>
      <c r="BI121" s="14">
        <f t="shared" si="86"/>
        <v>0</v>
      </c>
      <c r="BJ121" s="14">
        <f t="shared" si="87"/>
        <v>0</v>
      </c>
    </row>
    <row r="122" spans="1:62" ht="12.75">
      <c r="A122" s="4" t="s">
        <v>97</v>
      </c>
      <c r="B122" s="4" t="s">
        <v>413</v>
      </c>
      <c r="C122" s="153" t="s">
        <v>751</v>
      </c>
      <c r="D122" s="154"/>
      <c r="E122" s="154"/>
      <c r="F122" s="4" t="s">
        <v>995</v>
      </c>
      <c r="G122" s="64">
        <v>86.06</v>
      </c>
      <c r="H122" s="82">
        <v>0</v>
      </c>
      <c r="I122" s="14">
        <f t="shared" si="66"/>
        <v>0</v>
      </c>
      <c r="J122" s="14">
        <f t="shared" si="67"/>
        <v>0</v>
      </c>
      <c r="K122" s="14">
        <f t="shared" si="68"/>
        <v>0</v>
      </c>
      <c r="L122" s="25" t="s">
        <v>1014</v>
      </c>
      <c r="Z122" s="30">
        <f t="shared" si="69"/>
        <v>0</v>
      </c>
      <c r="AB122" s="30">
        <f t="shared" si="70"/>
        <v>0</v>
      </c>
      <c r="AC122" s="30">
        <f t="shared" si="71"/>
        <v>0</v>
      </c>
      <c r="AD122" s="30">
        <f t="shared" si="72"/>
        <v>0</v>
      </c>
      <c r="AE122" s="30">
        <f t="shared" si="73"/>
        <v>0</v>
      </c>
      <c r="AF122" s="30">
        <f t="shared" si="74"/>
        <v>0</v>
      </c>
      <c r="AG122" s="30">
        <f t="shared" si="75"/>
        <v>0</v>
      </c>
      <c r="AH122" s="30">
        <f t="shared" si="76"/>
        <v>0</v>
      </c>
      <c r="AI122" s="24" t="s">
        <v>1024</v>
      </c>
      <c r="AJ122" s="14">
        <f t="shared" si="77"/>
        <v>0</v>
      </c>
      <c r="AK122" s="14">
        <f t="shared" si="78"/>
        <v>0</v>
      </c>
      <c r="AL122" s="14">
        <f t="shared" si="79"/>
        <v>0</v>
      </c>
      <c r="AN122" s="30">
        <v>21</v>
      </c>
      <c r="AO122" s="30">
        <f>H122*0</f>
        <v>0</v>
      </c>
      <c r="AP122" s="30">
        <f>H122*(1-0)</f>
        <v>0</v>
      </c>
      <c r="AQ122" s="25" t="s">
        <v>7</v>
      </c>
      <c r="AV122" s="30">
        <f t="shared" si="80"/>
        <v>0</v>
      </c>
      <c r="AW122" s="30">
        <f t="shared" si="81"/>
        <v>0</v>
      </c>
      <c r="AX122" s="30">
        <f t="shared" si="82"/>
        <v>0</v>
      </c>
      <c r="AY122" s="31" t="s">
        <v>1043</v>
      </c>
      <c r="AZ122" s="31" t="s">
        <v>1067</v>
      </c>
      <c r="BA122" s="24" t="s">
        <v>1080</v>
      </c>
      <c r="BC122" s="30">
        <f t="shared" si="83"/>
        <v>0</v>
      </c>
      <c r="BD122" s="30">
        <f t="shared" si="84"/>
        <v>0</v>
      </c>
      <c r="BE122" s="30">
        <v>0</v>
      </c>
      <c r="BF122" s="30">
        <f>122</f>
        <v>122</v>
      </c>
      <c r="BH122" s="14">
        <f t="shared" si="85"/>
        <v>0</v>
      </c>
      <c r="BI122" s="14">
        <f t="shared" si="86"/>
        <v>0</v>
      </c>
      <c r="BJ122" s="14">
        <f t="shared" si="87"/>
        <v>0</v>
      </c>
    </row>
    <row r="123" spans="1:62" ht="12.75">
      <c r="A123" s="4" t="s">
        <v>98</v>
      </c>
      <c r="B123" s="4" t="s">
        <v>414</v>
      </c>
      <c r="C123" s="153" t="s">
        <v>752</v>
      </c>
      <c r="D123" s="154"/>
      <c r="E123" s="154"/>
      <c r="F123" s="4" t="s">
        <v>991</v>
      </c>
      <c r="G123" s="64">
        <v>175</v>
      </c>
      <c r="H123" s="82">
        <v>0</v>
      </c>
      <c r="I123" s="14">
        <f t="shared" si="66"/>
        <v>0</v>
      </c>
      <c r="J123" s="14">
        <f t="shared" si="67"/>
        <v>0</v>
      </c>
      <c r="K123" s="14">
        <f t="shared" si="68"/>
        <v>0</v>
      </c>
      <c r="L123" s="25" t="s">
        <v>1014</v>
      </c>
      <c r="Z123" s="30">
        <f t="shared" si="69"/>
        <v>0</v>
      </c>
      <c r="AB123" s="30">
        <f t="shared" si="70"/>
        <v>0</v>
      </c>
      <c r="AC123" s="30">
        <f t="shared" si="71"/>
        <v>0</v>
      </c>
      <c r="AD123" s="30">
        <f t="shared" si="72"/>
        <v>0</v>
      </c>
      <c r="AE123" s="30">
        <f t="shared" si="73"/>
        <v>0</v>
      </c>
      <c r="AF123" s="30">
        <f t="shared" si="74"/>
        <v>0</v>
      </c>
      <c r="AG123" s="30">
        <f t="shared" si="75"/>
        <v>0</v>
      </c>
      <c r="AH123" s="30">
        <f t="shared" si="76"/>
        <v>0</v>
      </c>
      <c r="AI123" s="24" t="s">
        <v>1024</v>
      </c>
      <c r="AJ123" s="14">
        <f t="shared" si="77"/>
        <v>0</v>
      </c>
      <c r="AK123" s="14">
        <f t="shared" si="78"/>
        <v>0</v>
      </c>
      <c r="AL123" s="14">
        <f t="shared" si="79"/>
        <v>0</v>
      </c>
      <c r="AN123" s="30">
        <v>21</v>
      </c>
      <c r="AO123" s="30">
        <f>H123*0</f>
        <v>0</v>
      </c>
      <c r="AP123" s="30">
        <f>H123*(1-0)</f>
        <v>0</v>
      </c>
      <c r="AQ123" s="25" t="s">
        <v>7</v>
      </c>
      <c r="AV123" s="30">
        <f t="shared" si="80"/>
        <v>0</v>
      </c>
      <c r="AW123" s="30">
        <f t="shared" si="81"/>
        <v>0</v>
      </c>
      <c r="AX123" s="30">
        <f t="shared" si="82"/>
        <v>0</v>
      </c>
      <c r="AY123" s="31" t="s">
        <v>1043</v>
      </c>
      <c r="AZ123" s="31" t="s">
        <v>1067</v>
      </c>
      <c r="BA123" s="24" t="s">
        <v>1080</v>
      </c>
      <c r="BC123" s="30">
        <f t="shared" si="83"/>
        <v>0</v>
      </c>
      <c r="BD123" s="30">
        <f t="shared" si="84"/>
        <v>0</v>
      </c>
      <c r="BE123" s="30">
        <v>0</v>
      </c>
      <c r="BF123" s="30">
        <f>123</f>
        <v>123</v>
      </c>
      <c r="BH123" s="14">
        <f t="shared" si="85"/>
        <v>0</v>
      </c>
      <c r="BI123" s="14">
        <f t="shared" si="86"/>
        <v>0</v>
      </c>
      <c r="BJ123" s="14">
        <f t="shared" si="87"/>
        <v>0</v>
      </c>
    </row>
    <row r="124" spans="1:62" ht="12.75">
      <c r="A124" s="4" t="s">
        <v>99</v>
      </c>
      <c r="B124" s="4" t="s">
        <v>415</v>
      </c>
      <c r="C124" s="153" t="s">
        <v>753</v>
      </c>
      <c r="D124" s="154"/>
      <c r="E124" s="154"/>
      <c r="F124" s="4" t="s">
        <v>991</v>
      </c>
      <c r="G124" s="64">
        <v>4</v>
      </c>
      <c r="H124" s="82">
        <v>0</v>
      </c>
      <c r="I124" s="14">
        <f t="shared" si="66"/>
        <v>0</v>
      </c>
      <c r="J124" s="14">
        <f t="shared" si="67"/>
        <v>0</v>
      </c>
      <c r="K124" s="14">
        <f t="shared" si="68"/>
        <v>0</v>
      </c>
      <c r="L124" s="25" t="s">
        <v>1014</v>
      </c>
      <c r="Z124" s="30">
        <f t="shared" si="69"/>
        <v>0</v>
      </c>
      <c r="AB124" s="30">
        <f t="shared" si="70"/>
        <v>0</v>
      </c>
      <c r="AC124" s="30">
        <f t="shared" si="71"/>
        <v>0</v>
      </c>
      <c r="AD124" s="30">
        <f t="shared" si="72"/>
        <v>0</v>
      </c>
      <c r="AE124" s="30">
        <f t="shared" si="73"/>
        <v>0</v>
      </c>
      <c r="AF124" s="30">
        <f t="shared" si="74"/>
        <v>0</v>
      </c>
      <c r="AG124" s="30">
        <f t="shared" si="75"/>
        <v>0</v>
      </c>
      <c r="AH124" s="30">
        <f t="shared" si="76"/>
        <v>0</v>
      </c>
      <c r="AI124" s="24" t="s">
        <v>1024</v>
      </c>
      <c r="AJ124" s="14">
        <f t="shared" si="77"/>
        <v>0</v>
      </c>
      <c r="AK124" s="14">
        <f t="shared" si="78"/>
        <v>0</v>
      </c>
      <c r="AL124" s="14">
        <f t="shared" si="79"/>
        <v>0</v>
      </c>
      <c r="AN124" s="30">
        <v>21</v>
      </c>
      <c r="AO124" s="30">
        <f>H124*0</f>
        <v>0</v>
      </c>
      <c r="AP124" s="30">
        <f>H124*(1-0)</f>
        <v>0</v>
      </c>
      <c r="AQ124" s="25" t="s">
        <v>7</v>
      </c>
      <c r="AV124" s="30">
        <f t="shared" si="80"/>
        <v>0</v>
      </c>
      <c r="AW124" s="30">
        <f t="shared" si="81"/>
        <v>0</v>
      </c>
      <c r="AX124" s="30">
        <f t="shared" si="82"/>
        <v>0</v>
      </c>
      <c r="AY124" s="31" t="s">
        <v>1043</v>
      </c>
      <c r="AZ124" s="31" t="s">
        <v>1067</v>
      </c>
      <c r="BA124" s="24" t="s">
        <v>1080</v>
      </c>
      <c r="BC124" s="30">
        <f t="shared" si="83"/>
        <v>0</v>
      </c>
      <c r="BD124" s="30">
        <f t="shared" si="84"/>
        <v>0</v>
      </c>
      <c r="BE124" s="30">
        <v>0</v>
      </c>
      <c r="BF124" s="30">
        <f>124</f>
        <v>124</v>
      </c>
      <c r="BH124" s="14">
        <f t="shared" si="85"/>
        <v>0</v>
      </c>
      <c r="BI124" s="14">
        <f t="shared" si="86"/>
        <v>0</v>
      </c>
      <c r="BJ124" s="14">
        <f t="shared" si="87"/>
        <v>0</v>
      </c>
    </row>
    <row r="125" spans="1:62" ht="12.75">
      <c r="A125" s="4" t="s">
        <v>100</v>
      </c>
      <c r="B125" s="4" t="s">
        <v>416</v>
      </c>
      <c r="C125" s="153" t="s">
        <v>754</v>
      </c>
      <c r="D125" s="154"/>
      <c r="E125" s="154"/>
      <c r="F125" s="4" t="s">
        <v>993</v>
      </c>
      <c r="G125" s="64">
        <v>10.332</v>
      </c>
      <c r="H125" s="82">
        <v>0</v>
      </c>
      <c r="I125" s="14">
        <f t="shared" si="66"/>
        <v>0</v>
      </c>
      <c r="J125" s="14">
        <f t="shared" si="67"/>
        <v>0</v>
      </c>
      <c r="K125" s="14">
        <f t="shared" si="68"/>
        <v>0</v>
      </c>
      <c r="L125" s="25" t="s">
        <v>1014</v>
      </c>
      <c r="Z125" s="30">
        <f t="shared" si="69"/>
        <v>0</v>
      </c>
      <c r="AB125" s="30">
        <f t="shared" si="70"/>
        <v>0</v>
      </c>
      <c r="AC125" s="30">
        <f t="shared" si="71"/>
        <v>0</v>
      </c>
      <c r="AD125" s="30">
        <f t="shared" si="72"/>
        <v>0</v>
      </c>
      <c r="AE125" s="30">
        <f t="shared" si="73"/>
        <v>0</v>
      </c>
      <c r="AF125" s="30">
        <f t="shared" si="74"/>
        <v>0</v>
      </c>
      <c r="AG125" s="30">
        <f t="shared" si="75"/>
        <v>0</v>
      </c>
      <c r="AH125" s="30">
        <f t="shared" si="76"/>
        <v>0</v>
      </c>
      <c r="AI125" s="24" t="s">
        <v>1024</v>
      </c>
      <c r="AJ125" s="14">
        <f t="shared" si="77"/>
        <v>0</v>
      </c>
      <c r="AK125" s="14">
        <f t="shared" si="78"/>
        <v>0</v>
      </c>
      <c r="AL125" s="14">
        <f t="shared" si="79"/>
        <v>0</v>
      </c>
      <c r="AN125" s="30">
        <v>21</v>
      </c>
      <c r="AO125" s="30">
        <f>H125*0.129689440993789</f>
        <v>0</v>
      </c>
      <c r="AP125" s="30">
        <f>H125*(1-0.129689440993789)</f>
        <v>0</v>
      </c>
      <c r="AQ125" s="25" t="s">
        <v>7</v>
      </c>
      <c r="AV125" s="30">
        <f t="shared" si="80"/>
        <v>0</v>
      </c>
      <c r="AW125" s="30">
        <f t="shared" si="81"/>
        <v>0</v>
      </c>
      <c r="AX125" s="30">
        <f t="shared" si="82"/>
        <v>0</v>
      </c>
      <c r="AY125" s="31" t="s">
        <v>1043</v>
      </c>
      <c r="AZ125" s="31" t="s">
        <v>1067</v>
      </c>
      <c r="BA125" s="24" t="s">
        <v>1080</v>
      </c>
      <c r="BC125" s="30">
        <f t="shared" si="83"/>
        <v>0</v>
      </c>
      <c r="BD125" s="30">
        <f t="shared" si="84"/>
        <v>0</v>
      </c>
      <c r="BE125" s="30">
        <v>0</v>
      </c>
      <c r="BF125" s="30">
        <f>125</f>
        <v>125</v>
      </c>
      <c r="BH125" s="14">
        <f t="shared" si="85"/>
        <v>0</v>
      </c>
      <c r="BI125" s="14">
        <f t="shared" si="86"/>
        <v>0</v>
      </c>
      <c r="BJ125" s="14">
        <f t="shared" si="87"/>
        <v>0</v>
      </c>
    </row>
    <row r="126" spans="1:62" ht="12.75">
      <c r="A126" s="4" t="s">
        <v>101</v>
      </c>
      <c r="B126" s="4" t="s">
        <v>417</v>
      </c>
      <c r="C126" s="153" t="s">
        <v>755</v>
      </c>
      <c r="D126" s="154"/>
      <c r="E126" s="154"/>
      <c r="F126" s="4" t="s">
        <v>993</v>
      </c>
      <c r="G126" s="64">
        <v>6.398</v>
      </c>
      <c r="H126" s="82">
        <v>0</v>
      </c>
      <c r="I126" s="14">
        <f t="shared" si="66"/>
        <v>0</v>
      </c>
      <c r="J126" s="14">
        <f t="shared" si="67"/>
        <v>0</v>
      </c>
      <c r="K126" s="14">
        <f t="shared" si="68"/>
        <v>0</v>
      </c>
      <c r="L126" s="25" t="s">
        <v>1014</v>
      </c>
      <c r="Z126" s="30">
        <f t="shared" si="69"/>
        <v>0</v>
      </c>
      <c r="AB126" s="30">
        <f t="shared" si="70"/>
        <v>0</v>
      </c>
      <c r="AC126" s="30">
        <f t="shared" si="71"/>
        <v>0</v>
      </c>
      <c r="AD126" s="30">
        <f t="shared" si="72"/>
        <v>0</v>
      </c>
      <c r="AE126" s="30">
        <f t="shared" si="73"/>
        <v>0</v>
      </c>
      <c r="AF126" s="30">
        <f t="shared" si="74"/>
        <v>0</v>
      </c>
      <c r="AG126" s="30">
        <f t="shared" si="75"/>
        <v>0</v>
      </c>
      <c r="AH126" s="30">
        <f t="shared" si="76"/>
        <v>0</v>
      </c>
      <c r="AI126" s="24" t="s">
        <v>1024</v>
      </c>
      <c r="AJ126" s="14">
        <f t="shared" si="77"/>
        <v>0</v>
      </c>
      <c r="AK126" s="14">
        <f t="shared" si="78"/>
        <v>0</v>
      </c>
      <c r="AL126" s="14">
        <f t="shared" si="79"/>
        <v>0</v>
      </c>
      <c r="AN126" s="30">
        <v>21</v>
      </c>
      <c r="AO126" s="30">
        <f>H126*0.0965921083500834</f>
        <v>0</v>
      </c>
      <c r="AP126" s="30">
        <f>H126*(1-0.0965921083500834)</f>
        <v>0</v>
      </c>
      <c r="AQ126" s="25" t="s">
        <v>7</v>
      </c>
      <c r="AV126" s="30">
        <f t="shared" si="80"/>
        <v>0</v>
      </c>
      <c r="AW126" s="30">
        <f t="shared" si="81"/>
        <v>0</v>
      </c>
      <c r="AX126" s="30">
        <f t="shared" si="82"/>
        <v>0</v>
      </c>
      <c r="AY126" s="31" t="s">
        <v>1043</v>
      </c>
      <c r="AZ126" s="31" t="s">
        <v>1067</v>
      </c>
      <c r="BA126" s="24" t="s">
        <v>1080</v>
      </c>
      <c r="BC126" s="30">
        <f t="shared" si="83"/>
        <v>0</v>
      </c>
      <c r="BD126" s="30">
        <f t="shared" si="84"/>
        <v>0</v>
      </c>
      <c r="BE126" s="30">
        <v>0</v>
      </c>
      <c r="BF126" s="30">
        <f>126</f>
        <v>126</v>
      </c>
      <c r="BH126" s="14">
        <f t="shared" si="85"/>
        <v>0</v>
      </c>
      <c r="BI126" s="14">
        <f t="shared" si="86"/>
        <v>0</v>
      </c>
      <c r="BJ126" s="14">
        <f t="shared" si="87"/>
        <v>0</v>
      </c>
    </row>
    <row r="127" spans="1:62" ht="12.75">
      <c r="A127" s="4" t="s">
        <v>102</v>
      </c>
      <c r="B127" s="4" t="s">
        <v>418</v>
      </c>
      <c r="C127" s="153" t="s">
        <v>756</v>
      </c>
      <c r="D127" s="154"/>
      <c r="E127" s="154"/>
      <c r="F127" s="4" t="s">
        <v>993</v>
      </c>
      <c r="G127" s="64">
        <v>151.436</v>
      </c>
      <c r="H127" s="82">
        <v>0</v>
      </c>
      <c r="I127" s="14">
        <f t="shared" si="66"/>
        <v>0</v>
      </c>
      <c r="J127" s="14">
        <f t="shared" si="67"/>
        <v>0</v>
      </c>
      <c r="K127" s="14">
        <f t="shared" si="68"/>
        <v>0</v>
      </c>
      <c r="L127" s="25" t="s">
        <v>1014</v>
      </c>
      <c r="Z127" s="30">
        <f t="shared" si="69"/>
        <v>0</v>
      </c>
      <c r="AB127" s="30">
        <f t="shared" si="70"/>
        <v>0</v>
      </c>
      <c r="AC127" s="30">
        <f t="shared" si="71"/>
        <v>0</v>
      </c>
      <c r="AD127" s="30">
        <f t="shared" si="72"/>
        <v>0</v>
      </c>
      <c r="AE127" s="30">
        <f t="shared" si="73"/>
        <v>0</v>
      </c>
      <c r="AF127" s="30">
        <f t="shared" si="74"/>
        <v>0</v>
      </c>
      <c r="AG127" s="30">
        <f t="shared" si="75"/>
        <v>0</v>
      </c>
      <c r="AH127" s="30">
        <f t="shared" si="76"/>
        <v>0</v>
      </c>
      <c r="AI127" s="24" t="s">
        <v>1024</v>
      </c>
      <c r="AJ127" s="14">
        <f t="shared" si="77"/>
        <v>0</v>
      </c>
      <c r="AK127" s="14">
        <f t="shared" si="78"/>
        <v>0</v>
      </c>
      <c r="AL127" s="14">
        <f t="shared" si="79"/>
        <v>0</v>
      </c>
      <c r="AN127" s="30">
        <v>21</v>
      </c>
      <c r="AO127" s="30">
        <f>H127*0.114062507845896</f>
        <v>0</v>
      </c>
      <c r="AP127" s="30">
        <f>H127*(1-0.114062507845896)</f>
        <v>0</v>
      </c>
      <c r="AQ127" s="25" t="s">
        <v>7</v>
      </c>
      <c r="AV127" s="30">
        <f t="shared" si="80"/>
        <v>0</v>
      </c>
      <c r="AW127" s="30">
        <f t="shared" si="81"/>
        <v>0</v>
      </c>
      <c r="AX127" s="30">
        <f t="shared" si="82"/>
        <v>0</v>
      </c>
      <c r="AY127" s="31" t="s">
        <v>1043</v>
      </c>
      <c r="AZ127" s="31" t="s">
        <v>1067</v>
      </c>
      <c r="BA127" s="24" t="s">
        <v>1080</v>
      </c>
      <c r="BC127" s="30">
        <f t="shared" si="83"/>
        <v>0</v>
      </c>
      <c r="BD127" s="30">
        <f t="shared" si="84"/>
        <v>0</v>
      </c>
      <c r="BE127" s="30">
        <v>0</v>
      </c>
      <c r="BF127" s="30">
        <f>127</f>
        <v>127</v>
      </c>
      <c r="BH127" s="14">
        <f t="shared" si="85"/>
        <v>0</v>
      </c>
      <c r="BI127" s="14">
        <f t="shared" si="86"/>
        <v>0</v>
      </c>
      <c r="BJ127" s="14">
        <f t="shared" si="87"/>
        <v>0</v>
      </c>
    </row>
    <row r="128" spans="1:62" ht="12.75">
      <c r="A128" s="4" t="s">
        <v>103</v>
      </c>
      <c r="B128" s="4" t="s">
        <v>419</v>
      </c>
      <c r="C128" s="153" t="s">
        <v>757</v>
      </c>
      <c r="D128" s="154"/>
      <c r="E128" s="154"/>
      <c r="F128" s="4" t="s">
        <v>993</v>
      </c>
      <c r="G128" s="64">
        <v>7.937</v>
      </c>
      <c r="H128" s="82">
        <v>0</v>
      </c>
      <c r="I128" s="14">
        <f t="shared" si="66"/>
        <v>0</v>
      </c>
      <c r="J128" s="14">
        <f t="shared" si="67"/>
        <v>0</v>
      </c>
      <c r="K128" s="14">
        <f t="shared" si="68"/>
        <v>0</v>
      </c>
      <c r="L128" s="25" t="s">
        <v>1014</v>
      </c>
      <c r="Z128" s="30">
        <f t="shared" si="69"/>
        <v>0</v>
      </c>
      <c r="AB128" s="30">
        <f t="shared" si="70"/>
        <v>0</v>
      </c>
      <c r="AC128" s="30">
        <f t="shared" si="71"/>
        <v>0</v>
      </c>
      <c r="AD128" s="30">
        <f t="shared" si="72"/>
        <v>0</v>
      </c>
      <c r="AE128" s="30">
        <f t="shared" si="73"/>
        <v>0</v>
      </c>
      <c r="AF128" s="30">
        <f t="shared" si="74"/>
        <v>0</v>
      </c>
      <c r="AG128" s="30">
        <f t="shared" si="75"/>
        <v>0</v>
      </c>
      <c r="AH128" s="30">
        <f t="shared" si="76"/>
        <v>0</v>
      </c>
      <c r="AI128" s="24" t="s">
        <v>1024</v>
      </c>
      <c r="AJ128" s="14">
        <f t="shared" si="77"/>
        <v>0</v>
      </c>
      <c r="AK128" s="14">
        <f t="shared" si="78"/>
        <v>0</v>
      </c>
      <c r="AL128" s="14">
        <f t="shared" si="79"/>
        <v>0</v>
      </c>
      <c r="AN128" s="30">
        <v>21</v>
      </c>
      <c r="AO128" s="30">
        <f>H128*0.108965507896512</f>
        <v>0</v>
      </c>
      <c r="AP128" s="30">
        <f>H128*(1-0.108965507896512)</f>
        <v>0</v>
      </c>
      <c r="AQ128" s="25" t="s">
        <v>7</v>
      </c>
      <c r="AV128" s="30">
        <f t="shared" si="80"/>
        <v>0</v>
      </c>
      <c r="AW128" s="30">
        <f t="shared" si="81"/>
        <v>0</v>
      </c>
      <c r="AX128" s="30">
        <f t="shared" si="82"/>
        <v>0</v>
      </c>
      <c r="AY128" s="31" t="s">
        <v>1043</v>
      </c>
      <c r="AZ128" s="31" t="s">
        <v>1067</v>
      </c>
      <c r="BA128" s="24" t="s">
        <v>1080</v>
      </c>
      <c r="BC128" s="30">
        <f t="shared" si="83"/>
        <v>0</v>
      </c>
      <c r="BD128" s="30">
        <f t="shared" si="84"/>
        <v>0</v>
      </c>
      <c r="BE128" s="30">
        <v>0</v>
      </c>
      <c r="BF128" s="30">
        <f>128</f>
        <v>128</v>
      </c>
      <c r="BH128" s="14">
        <f t="shared" si="85"/>
        <v>0</v>
      </c>
      <c r="BI128" s="14">
        <f t="shared" si="86"/>
        <v>0</v>
      </c>
      <c r="BJ128" s="14">
        <f t="shared" si="87"/>
        <v>0</v>
      </c>
    </row>
    <row r="129" spans="1:62" ht="12.75">
      <c r="A129" s="4" t="s">
        <v>104</v>
      </c>
      <c r="B129" s="4" t="s">
        <v>420</v>
      </c>
      <c r="C129" s="153" t="s">
        <v>758</v>
      </c>
      <c r="D129" s="154"/>
      <c r="E129" s="154"/>
      <c r="F129" s="4" t="s">
        <v>993</v>
      </c>
      <c r="G129" s="64">
        <v>1.592</v>
      </c>
      <c r="H129" s="82">
        <v>0</v>
      </c>
      <c r="I129" s="14">
        <f t="shared" si="66"/>
        <v>0</v>
      </c>
      <c r="J129" s="14">
        <f t="shared" si="67"/>
        <v>0</v>
      </c>
      <c r="K129" s="14">
        <f t="shared" si="68"/>
        <v>0</v>
      </c>
      <c r="L129" s="25" t="s">
        <v>1014</v>
      </c>
      <c r="Z129" s="30">
        <f t="shared" si="69"/>
        <v>0</v>
      </c>
      <c r="AB129" s="30">
        <f t="shared" si="70"/>
        <v>0</v>
      </c>
      <c r="AC129" s="30">
        <f t="shared" si="71"/>
        <v>0</v>
      </c>
      <c r="AD129" s="30">
        <f t="shared" si="72"/>
        <v>0</v>
      </c>
      <c r="AE129" s="30">
        <f t="shared" si="73"/>
        <v>0</v>
      </c>
      <c r="AF129" s="30">
        <f t="shared" si="74"/>
        <v>0</v>
      </c>
      <c r="AG129" s="30">
        <f t="shared" si="75"/>
        <v>0</v>
      </c>
      <c r="AH129" s="30">
        <f t="shared" si="76"/>
        <v>0</v>
      </c>
      <c r="AI129" s="24" t="s">
        <v>1024</v>
      </c>
      <c r="AJ129" s="14">
        <f t="shared" si="77"/>
        <v>0</v>
      </c>
      <c r="AK129" s="14">
        <f t="shared" si="78"/>
        <v>0</v>
      </c>
      <c r="AL129" s="14">
        <f t="shared" si="79"/>
        <v>0</v>
      </c>
      <c r="AN129" s="30">
        <v>21</v>
      </c>
      <c r="AO129" s="30">
        <f>H129*0</f>
        <v>0</v>
      </c>
      <c r="AP129" s="30">
        <f>H129*(1-0)</f>
        <v>0</v>
      </c>
      <c r="AQ129" s="25" t="s">
        <v>7</v>
      </c>
      <c r="AV129" s="30">
        <f t="shared" si="80"/>
        <v>0</v>
      </c>
      <c r="AW129" s="30">
        <f t="shared" si="81"/>
        <v>0</v>
      </c>
      <c r="AX129" s="30">
        <f t="shared" si="82"/>
        <v>0</v>
      </c>
      <c r="AY129" s="31" t="s">
        <v>1043</v>
      </c>
      <c r="AZ129" s="31" t="s">
        <v>1067</v>
      </c>
      <c r="BA129" s="24" t="s">
        <v>1080</v>
      </c>
      <c r="BC129" s="30">
        <f t="shared" si="83"/>
        <v>0</v>
      </c>
      <c r="BD129" s="30">
        <f t="shared" si="84"/>
        <v>0</v>
      </c>
      <c r="BE129" s="30">
        <v>0</v>
      </c>
      <c r="BF129" s="30">
        <f>129</f>
        <v>129</v>
      </c>
      <c r="BH129" s="14">
        <f t="shared" si="85"/>
        <v>0</v>
      </c>
      <c r="BI129" s="14">
        <f t="shared" si="86"/>
        <v>0</v>
      </c>
      <c r="BJ129" s="14">
        <f t="shared" si="87"/>
        <v>0</v>
      </c>
    </row>
    <row r="130" spans="1:62" ht="12.75">
      <c r="A130" s="4" t="s">
        <v>105</v>
      </c>
      <c r="B130" s="4" t="s">
        <v>421</v>
      </c>
      <c r="C130" s="153" t="s">
        <v>759</v>
      </c>
      <c r="D130" s="154"/>
      <c r="E130" s="154"/>
      <c r="F130" s="4" t="s">
        <v>993</v>
      </c>
      <c r="G130" s="64">
        <v>13.907</v>
      </c>
      <c r="H130" s="82">
        <v>0</v>
      </c>
      <c r="I130" s="14">
        <f t="shared" si="66"/>
        <v>0</v>
      </c>
      <c r="J130" s="14">
        <f t="shared" si="67"/>
        <v>0</v>
      </c>
      <c r="K130" s="14">
        <f t="shared" si="68"/>
        <v>0</v>
      </c>
      <c r="L130" s="25" t="s">
        <v>1014</v>
      </c>
      <c r="Z130" s="30">
        <f t="shared" si="69"/>
        <v>0</v>
      </c>
      <c r="AB130" s="30">
        <f t="shared" si="70"/>
        <v>0</v>
      </c>
      <c r="AC130" s="30">
        <f t="shared" si="71"/>
        <v>0</v>
      </c>
      <c r="AD130" s="30">
        <f t="shared" si="72"/>
        <v>0</v>
      </c>
      <c r="AE130" s="30">
        <f t="shared" si="73"/>
        <v>0</v>
      </c>
      <c r="AF130" s="30">
        <f t="shared" si="74"/>
        <v>0</v>
      </c>
      <c r="AG130" s="30">
        <f t="shared" si="75"/>
        <v>0</v>
      </c>
      <c r="AH130" s="30">
        <f t="shared" si="76"/>
        <v>0</v>
      </c>
      <c r="AI130" s="24" t="s">
        <v>1024</v>
      </c>
      <c r="AJ130" s="14">
        <f t="shared" si="77"/>
        <v>0</v>
      </c>
      <c r="AK130" s="14">
        <f t="shared" si="78"/>
        <v>0</v>
      </c>
      <c r="AL130" s="14">
        <f t="shared" si="79"/>
        <v>0</v>
      </c>
      <c r="AN130" s="30">
        <v>21</v>
      </c>
      <c r="AO130" s="30">
        <f>H130*0</f>
        <v>0</v>
      </c>
      <c r="AP130" s="30">
        <f>H130*(1-0)</f>
        <v>0</v>
      </c>
      <c r="AQ130" s="25" t="s">
        <v>7</v>
      </c>
      <c r="AV130" s="30">
        <f t="shared" si="80"/>
        <v>0</v>
      </c>
      <c r="AW130" s="30">
        <f t="shared" si="81"/>
        <v>0</v>
      </c>
      <c r="AX130" s="30">
        <f t="shared" si="82"/>
        <v>0</v>
      </c>
      <c r="AY130" s="31" t="s">
        <v>1043</v>
      </c>
      <c r="AZ130" s="31" t="s">
        <v>1067</v>
      </c>
      <c r="BA130" s="24" t="s">
        <v>1080</v>
      </c>
      <c r="BC130" s="30">
        <f t="shared" si="83"/>
        <v>0</v>
      </c>
      <c r="BD130" s="30">
        <f t="shared" si="84"/>
        <v>0</v>
      </c>
      <c r="BE130" s="30">
        <v>0</v>
      </c>
      <c r="BF130" s="30">
        <f>130</f>
        <v>130</v>
      </c>
      <c r="BH130" s="14">
        <f t="shared" si="85"/>
        <v>0</v>
      </c>
      <c r="BI130" s="14">
        <f t="shared" si="86"/>
        <v>0</v>
      </c>
      <c r="BJ130" s="14">
        <f t="shared" si="87"/>
        <v>0</v>
      </c>
    </row>
    <row r="131" spans="1:62" ht="12.75">
      <c r="A131" s="4" t="s">
        <v>106</v>
      </c>
      <c r="B131" s="4" t="s">
        <v>422</v>
      </c>
      <c r="C131" s="153" t="s">
        <v>759</v>
      </c>
      <c r="D131" s="154"/>
      <c r="E131" s="154"/>
      <c r="F131" s="4" t="s">
        <v>993</v>
      </c>
      <c r="G131" s="64">
        <v>6.76</v>
      </c>
      <c r="H131" s="82">
        <v>0</v>
      </c>
      <c r="I131" s="14">
        <f t="shared" si="66"/>
        <v>0</v>
      </c>
      <c r="J131" s="14">
        <f t="shared" si="67"/>
        <v>0</v>
      </c>
      <c r="K131" s="14">
        <f t="shared" si="68"/>
        <v>0</v>
      </c>
      <c r="L131" s="25" t="s">
        <v>1014</v>
      </c>
      <c r="Z131" s="30">
        <f t="shared" si="69"/>
        <v>0</v>
      </c>
      <c r="AB131" s="30">
        <f t="shared" si="70"/>
        <v>0</v>
      </c>
      <c r="AC131" s="30">
        <f t="shared" si="71"/>
        <v>0</v>
      </c>
      <c r="AD131" s="30">
        <f t="shared" si="72"/>
        <v>0</v>
      </c>
      <c r="AE131" s="30">
        <f t="shared" si="73"/>
        <v>0</v>
      </c>
      <c r="AF131" s="30">
        <f t="shared" si="74"/>
        <v>0</v>
      </c>
      <c r="AG131" s="30">
        <f t="shared" si="75"/>
        <v>0</v>
      </c>
      <c r="AH131" s="30">
        <f t="shared" si="76"/>
        <v>0</v>
      </c>
      <c r="AI131" s="24" t="s">
        <v>1024</v>
      </c>
      <c r="AJ131" s="14">
        <f t="shared" si="77"/>
        <v>0</v>
      </c>
      <c r="AK131" s="14">
        <f t="shared" si="78"/>
        <v>0</v>
      </c>
      <c r="AL131" s="14">
        <f t="shared" si="79"/>
        <v>0</v>
      </c>
      <c r="AN131" s="30">
        <v>21</v>
      </c>
      <c r="AO131" s="30">
        <f>H131*0</f>
        <v>0</v>
      </c>
      <c r="AP131" s="30">
        <f>H131*(1-0)</f>
        <v>0</v>
      </c>
      <c r="AQ131" s="25" t="s">
        <v>7</v>
      </c>
      <c r="AV131" s="30">
        <f t="shared" si="80"/>
        <v>0</v>
      </c>
      <c r="AW131" s="30">
        <f t="shared" si="81"/>
        <v>0</v>
      </c>
      <c r="AX131" s="30">
        <f t="shared" si="82"/>
        <v>0</v>
      </c>
      <c r="AY131" s="31" t="s">
        <v>1043</v>
      </c>
      <c r="AZ131" s="31" t="s">
        <v>1067</v>
      </c>
      <c r="BA131" s="24" t="s">
        <v>1080</v>
      </c>
      <c r="BC131" s="30">
        <f t="shared" si="83"/>
        <v>0</v>
      </c>
      <c r="BD131" s="30">
        <f t="shared" si="84"/>
        <v>0</v>
      </c>
      <c r="BE131" s="30">
        <v>0</v>
      </c>
      <c r="BF131" s="30">
        <f>131</f>
        <v>131</v>
      </c>
      <c r="BH131" s="14">
        <f t="shared" si="85"/>
        <v>0</v>
      </c>
      <c r="BI131" s="14">
        <f t="shared" si="86"/>
        <v>0</v>
      </c>
      <c r="BJ131" s="14">
        <f t="shared" si="87"/>
        <v>0</v>
      </c>
    </row>
    <row r="132" spans="1:62" ht="12.75">
      <c r="A132" s="4" t="s">
        <v>107</v>
      </c>
      <c r="B132" s="4" t="s">
        <v>423</v>
      </c>
      <c r="C132" s="153" t="s">
        <v>760</v>
      </c>
      <c r="D132" s="154"/>
      <c r="E132" s="154"/>
      <c r="F132" s="4" t="s">
        <v>993</v>
      </c>
      <c r="G132" s="64">
        <v>1</v>
      </c>
      <c r="H132" s="82">
        <v>0</v>
      </c>
      <c r="I132" s="14">
        <f t="shared" si="66"/>
        <v>0</v>
      </c>
      <c r="J132" s="14">
        <f t="shared" si="67"/>
        <v>0</v>
      </c>
      <c r="K132" s="14">
        <f t="shared" si="68"/>
        <v>0</v>
      </c>
      <c r="L132" s="25" t="s">
        <v>1014</v>
      </c>
      <c r="Z132" s="30">
        <f t="shared" si="69"/>
        <v>0</v>
      </c>
      <c r="AB132" s="30">
        <f t="shared" si="70"/>
        <v>0</v>
      </c>
      <c r="AC132" s="30">
        <f t="shared" si="71"/>
        <v>0</v>
      </c>
      <c r="AD132" s="30">
        <f t="shared" si="72"/>
        <v>0</v>
      </c>
      <c r="AE132" s="30">
        <f t="shared" si="73"/>
        <v>0</v>
      </c>
      <c r="AF132" s="30">
        <f t="shared" si="74"/>
        <v>0</v>
      </c>
      <c r="AG132" s="30">
        <f t="shared" si="75"/>
        <v>0</v>
      </c>
      <c r="AH132" s="30">
        <f t="shared" si="76"/>
        <v>0</v>
      </c>
      <c r="AI132" s="24" t="s">
        <v>1024</v>
      </c>
      <c r="AJ132" s="14">
        <f t="shared" si="77"/>
        <v>0</v>
      </c>
      <c r="AK132" s="14">
        <f t="shared" si="78"/>
        <v>0</v>
      </c>
      <c r="AL132" s="14">
        <f t="shared" si="79"/>
        <v>0</v>
      </c>
      <c r="AN132" s="30">
        <v>21</v>
      </c>
      <c r="AO132" s="30">
        <f>H132*0.119648847907752</f>
        <v>0</v>
      </c>
      <c r="AP132" s="30">
        <f>H132*(1-0.119648847907752)</f>
        <v>0</v>
      </c>
      <c r="AQ132" s="25" t="s">
        <v>7</v>
      </c>
      <c r="AV132" s="30">
        <f t="shared" si="80"/>
        <v>0</v>
      </c>
      <c r="AW132" s="30">
        <f t="shared" si="81"/>
        <v>0</v>
      </c>
      <c r="AX132" s="30">
        <f t="shared" si="82"/>
        <v>0</v>
      </c>
      <c r="AY132" s="31" t="s">
        <v>1043</v>
      </c>
      <c r="AZ132" s="31" t="s">
        <v>1067</v>
      </c>
      <c r="BA132" s="24" t="s">
        <v>1080</v>
      </c>
      <c r="BC132" s="30">
        <f t="shared" si="83"/>
        <v>0</v>
      </c>
      <c r="BD132" s="30">
        <f t="shared" si="84"/>
        <v>0</v>
      </c>
      <c r="BE132" s="30">
        <v>0</v>
      </c>
      <c r="BF132" s="30">
        <f>132</f>
        <v>132</v>
      </c>
      <c r="BH132" s="14">
        <f t="shared" si="85"/>
        <v>0</v>
      </c>
      <c r="BI132" s="14">
        <f t="shared" si="86"/>
        <v>0</v>
      </c>
      <c r="BJ132" s="14">
        <f t="shared" si="87"/>
        <v>0</v>
      </c>
    </row>
    <row r="133" spans="1:47" ht="12.75">
      <c r="A133" s="3"/>
      <c r="B133" s="11" t="s">
        <v>103</v>
      </c>
      <c r="C133" s="151" t="s">
        <v>761</v>
      </c>
      <c r="D133" s="152"/>
      <c r="E133" s="152"/>
      <c r="F133" s="3" t="s">
        <v>6</v>
      </c>
      <c r="G133" s="3" t="s">
        <v>6</v>
      </c>
      <c r="H133" s="3" t="s">
        <v>6</v>
      </c>
      <c r="I133" s="32">
        <f>SUM(I134:I138)</f>
        <v>0</v>
      </c>
      <c r="J133" s="32">
        <f>SUM(J134:J138)</f>
        <v>0</v>
      </c>
      <c r="K133" s="32">
        <f>SUM(K134:K138)</f>
        <v>0</v>
      </c>
      <c r="L133" s="24"/>
      <c r="AI133" s="24" t="s">
        <v>1024</v>
      </c>
      <c r="AS133" s="32">
        <f>SUM(AJ134:AJ138)</f>
        <v>0</v>
      </c>
      <c r="AT133" s="32">
        <f>SUM(AK134:AK138)</f>
        <v>0</v>
      </c>
      <c r="AU133" s="32">
        <f>SUM(AL134:AL138)</f>
        <v>0</v>
      </c>
    </row>
    <row r="134" spans="1:62" ht="12.75">
      <c r="A134" s="4" t="s">
        <v>108</v>
      </c>
      <c r="B134" s="4" t="s">
        <v>424</v>
      </c>
      <c r="C134" s="153" t="s">
        <v>762</v>
      </c>
      <c r="D134" s="154"/>
      <c r="E134" s="154"/>
      <c r="F134" s="4" t="s">
        <v>993</v>
      </c>
      <c r="G134" s="64">
        <v>618.757</v>
      </c>
      <c r="H134" s="82">
        <v>0</v>
      </c>
      <c r="I134" s="14">
        <f>G134*AO134</f>
        <v>0</v>
      </c>
      <c r="J134" s="14">
        <f>G134*AP134</f>
        <v>0</v>
      </c>
      <c r="K134" s="14">
        <f>G134*H134</f>
        <v>0</v>
      </c>
      <c r="L134" s="25" t="s">
        <v>1014</v>
      </c>
      <c r="Z134" s="30">
        <f>IF(AQ134="5",BJ134,0)</f>
        <v>0</v>
      </c>
      <c r="AB134" s="30">
        <f>IF(AQ134="1",BH134,0)</f>
        <v>0</v>
      </c>
      <c r="AC134" s="30">
        <f>IF(AQ134="1",BI134,0)</f>
        <v>0</v>
      </c>
      <c r="AD134" s="30">
        <f>IF(AQ134="7",BH134,0)</f>
        <v>0</v>
      </c>
      <c r="AE134" s="30">
        <f>IF(AQ134="7",BI134,0)</f>
        <v>0</v>
      </c>
      <c r="AF134" s="30">
        <f>IF(AQ134="2",BH134,0)</f>
        <v>0</v>
      </c>
      <c r="AG134" s="30">
        <f>IF(AQ134="2",BI134,0)</f>
        <v>0</v>
      </c>
      <c r="AH134" s="30">
        <f>IF(AQ134="0",BJ134,0)</f>
        <v>0</v>
      </c>
      <c r="AI134" s="24" t="s">
        <v>1024</v>
      </c>
      <c r="AJ134" s="14">
        <f>IF(AN134=0,K134,0)</f>
        <v>0</v>
      </c>
      <c r="AK134" s="14">
        <f>IF(AN134=15,K134,0)</f>
        <v>0</v>
      </c>
      <c r="AL134" s="14">
        <f>IF(AN134=21,K134,0)</f>
        <v>0</v>
      </c>
      <c r="AN134" s="30">
        <v>21</v>
      </c>
      <c r="AO134" s="30">
        <f>H134*0</f>
        <v>0</v>
      </c>
      <c r="AP134" s="30">
        <f>H134*(1-0)</f>
        <v>0</v>
      </c>
      <c r="AQ134" s="25" t="s">
        <v>7</v>
      </c>
      <c r="AV134" s="30">
        <f>AW134+AX134</f>
        <v>0</v>
      </c>
      <c r="AW134" s="30">
        <f>G134*AO134</f>
        <v>0</v>
      </c>
      <c r="AX134" s="30">
        <f>G134*AP134</f>
        <v>0</v>
      </c>
      <c r="AY134" s="31" t="s">
        <v>1044</v>
      </c>
      <c r="AZ134" s="31" t="s">
        <v>1067</v>
      </c>
      <c r="BA134" s="24" t="s">
        <v>1080</v>
      </c>
      <c r="BC134" s="30">
        <f>AW134+AX134</f>
        <v>0</v>
      </c>
      <c r="BD134" s="30">
        <f>H134/(100-BE134)*100</f>
        <v>0</v>
      </c>
      <c r="BE134" s="30">
        <v>0</v>
      </c>
      <c r="BF134" s="30">
        <f>134</f>
        <v>134</v>
      </c>
      <c r="BH134" s="14">
        <f>G134*AO134</f>
        <v>0</v>
      </c>
      <c r="BI134" s="14">
        <f>G134*AP134</f>
        <v>0</v>
      </c>
      <c r="BJ134" s="14">
        <f>G134*H134</f>
        <v>0</v>
      </c>
    </row>
    <row r="135" spans="1:62" ht="12.75">
      <c r="A135" s="4" t="s">
        <v>109</v>
      </c>
      <c r="B135" s="4" t="s">
        <v>425</v>
      </c>
      <c r="C135" s="153" t="s">
        <v>763</v>
      </c>
      <c r="D135" s="154"/>
      <c r="E135" s="154"/>
      <c r="F135" s="4" t="s">
        <v>993</v>
      </c>
      <c r="G135" s="64">
        <v>75.066</v>
      </c>
      <c r="H135" s="82">
        <v>0</v>
      </c>
      <c r="I135" s="14">
        <f>G135*AO135</f>
        <v>0</v>
      </c>
      <c r="J135" s="14">
        <f>G135*AP135</f>
        <v>0</v>
      </c>
      <c r="K135" s="14">
        <f>G135*H135</f>
        <v>0</v>
      </c>
      <c r="L135" s="25" t="s">
        <v>1014</v>
      </c>
      <c r="Z135" s="30">
        <f>IF(AQ135="5",BJ135,0)</f>
        <v>0</v>
      </c>
      <c r="AB135" s="30">
        <f>IF(AQ135="1",BH135,0)</f>
        <v>0</v>
      </c>
      <c r="AC135" s="30">
        <f>IF(AQ135="1",BI135,0)</f>
        <v>0</v>
      </c>
      <c r="AD135" s="30">
        <f>IF(AQ135="7",BH135,0)</f>
        <v>0</v>
      </c>
      <c r="AE135" s="30">
        <f>IF(AQ135="7",BI135,0)</f>
        <v>0</v>
      </c>
      <c r="AF135" s="30">
        <f>IF(AQ135="2",BH135,0)</f>
        <v>0</v>
      </c>
      <c r="AG135" s="30">
        <f>IF(AQ135="2",BI135,0)</f>
        <v>0</v>
      </c>
      <c r="AH135" s="30">
        <f>IF(AQ135="0",BJ135,0)</f>
        <v>0</v>
      </c>
      <c r="AI135" s="24" t="s">
        <v>1024</v>
      </c>
      <c r="AJ135" s="14">
        <f>IF(AN135=0,K135,0)</f>
        <v>0</v>
      </c>
      <c r="AK135" s="14">
        <f>IF(AN135=15,K135,0)</f>
        <v>0</v>
      </c>
      <c r="AL135" s="14">
        <f>IF(AN135=21,K135,0)</f>
        <v>0</v>
      </c>
      <c r="AN135" s="30">
        <v>21</v>
      </c>
      <c r="AO135" s="30">
        <f>H135*0</f>
        <v>0</v>
      </c>
      <c r="AP135" s="30">
        <f>H135*(1-0)</f>
        <v>0</v>
      </c>
      <c r="AQ135" s="25" t="s">
        <v>7</v>
      </c>
      <c r="AV135" s="30">
        <f>AW135+AX135</f>
        <v>0</v>
      </c>
      <c r="AW135" s="30">
        <f>G135*AO135</f>
        <v>0</v>
      </c>
      <c r="AX135" s="30">
        <f>G135*AP135</f>
        <v>0</v>
      </c>
      <c r="AY135" s="31" t="s">
        <v>1044</v>
      </c>
      <c r="AZ135" s="31" t="s">
        <v>1067</v>
      </c>
      <c r="BA135" s="24" t="s">
        <v>1080</v>
      </c>
      <c r="BC135" s="30">
        <f>AW135+AX135</f>
        <v>0</v>
      </c>
      <c r="BD135" s="30">
        <f>H135/(100-BE135)*100</f>
        <v>0</v>
      </c>
      <c r="BE135" s="30">
        <v>0</v>
      </c>
      <c r="BF135" s="30">
        <f>135</f>
        <v>135</v>
      </c>
      <c r="BH135" s="14">
        <f>G135*AO135</f>
        <v>0</v>
      </c>
      <c r="BI135" s="14">
        <f>G135*AP135</f>
        <v>0</v>
      </c>
      <c r="BJ135" s="14">
        <f>G135*H135</f>
        <v>0</v>
      </c>
    </row>
    <row r="136" spans="1:62" ht="12.75">
      <c r="A136" s="4" t="s">
        <v>110</v>
      </c>
      <c r="B136" s="4" t="s">
        <v>426</v>
      </c>
      <c r="C136" s="153" t="s">
        <v>764</v>
      </c>
      <c r="D136" s="154"/>
      <c r="E136" s="154"/>
      <c r="F136" s="4" t="s">
        <v>993</v>
      </c>
      <c r="G136" s="64">
        <v>769.746</v>
      </c>
      <c r="H136" s="82">
        <v>0</v>
      </c>
      <c r="I136" s="14">
        <f>G136*AO136</f>
        <v>0</v>
      </c>
      <c r="J136" s="14">
        <f>G136*AP136</f>
        <v>0</v>
      </c>
      <c r="K136" s="14">
        <f>G136*H136</f>
        <v>0</v>
      </c>
      <c r="L136" s="25" t="s">
        <v>1014</v>
      </c>
      <c r="Z136" s="30">
        <f>IF(AQ136="5",BJ136,0)</f>
        <v>0</v>
      </c>
      <c r="AB136" s="30">
        <f>IF(AQ136="1",BH136,0)</f>
        <v>0</v>
      </c>
      <c r="AC136" s="30">
        <f>IF(AQ136="1",BI136,0)</f>
        <v>0</v>
      </c>
      <c r="AD136" s="30">
        <f>IF(AQ136="7",BH136,0)</f>
        <v>0</v>
      </c>
      <c r="AE136" s="30">
        <f>IF(AQ136="7",BI136,0)</f>
        <v>0</v>
      </c>
      <c r="AF136" s="30">
        <f>IF(AQ136="2",BH136,0)</f>
        <v>0</v>
      </c>
      <c r="AG136" s="30">
        <f>IF(AQ136="2",BI136,0)</f>
        <v>0</v>
      </c>
      <c r="AH136" s="30">
        <f>IF(AQ136="0",BJ136,0)</f>
        <v>0</v>
      </c>
      <c r="AI136" s="24" t="s">
        <v>1024</v>
      </c>
      <c r="AJ136" s="14">
        <f>IF(AN136=0,K136,0)</f>
        <v>0</v>
      </c>
      <c r="AK136" s="14">
        <f>IF(AN136=15,K136,0)</f>
        <v>0</v>
      </c>
      <c r="AL136" s="14">
        <f>IF(AN136=21,K136,0)</f>
        <v>0</v>
      </c>
      <c r="AN136" s="30">
        <v>21</v>
      </c>
      <c r="AO136" s="30">
        <f>H136*0</f>
        <v>0</v>
      </c>
      <c r="AP136" s="30">
        <f>H136*(1-0)</f>
        <v>0</v>
      </c>
      <c r="AQ136" s="25" t="s">
        <v>7</v>
      </c>
      <c r="AV136" s="30">
        <f>AW136+AX136</f>
        <v>0</v>
      </c>
      <c r="AW136" s="30">
        <f>G136*AO136</f>
        <v>0</v>
      </c>
      <c r="AX136" s="30">
        <f>G136*AP136</f>
        <v>0</v>
      </c>
      <c r="AY136" s="31" t="s">
        <v>1044</v>
      </c>
      <c r="AZ136" s="31" t="s">
        <v>1067</v>
      </c>
      <c r="BA136" s="24" t="s">
        <v>1080</v>
      </c>
      <c r="BC136" s="30">
        <f>AW136+AX136</f>
        <v>0</v>
      </c>
      <c r="BD136" s="30">
        <f>H136/(100-BE136)*100</f>
        <v>0</v>
      </c>
      <c r="BE136" s="30">
        <v>0</v>
      </c>
      <c r="BF136" s="30">
        <f>136</f>
        <v>136</v>
      </c>
      <c r="BH136" s="14">
        <f>G136*AO136</f>
        <v>0</v>
      </c>
      <c r="BI136" s="14">
        <f>G136*AP136</f>
        <v>0</v>
      </c>
      <c r="BJ136" s="14">
        <f>G136*H136</f>
        <v>0</v>
      </c>
    </row>
    <row r="137" spans="1:62" ht="12.75">
      <c r="A137" s="4" t="s">
        <v>111</v>
      </c>
      <c r="B137" s="4" t="s">
        <v>427</v>
      </c>
      <c r="C137" s="153" t="s">
        <v>765</v>
      </c>
      <c r="D137" s="154"/>
      <c r="E137" s="154"/>
      <c r="F137" s="4" t="s">
        <v>993</v>
      </c>
      <c r="G137" s="64">
        <v>17.12</v>
      </c>
      <c r="H137" s="82">
        <v>0</v>
      </c>
      <c r="I137" s="14">
        <f>G137*AO137</f>
        <v>0</v>
      </c>
      <c r="J137" s="14">
        <f>G137*AP137</f>
        <v>0</v>
      </c>
      <c r="K137" s="14">
        <f>G137*H137</f>
        <v>0</v>
      </c>
      <c r="L137" s="25" t="s">
        <v>1014</v>
      </c>
      <c r="Z137" s="30">
        <f>IF(AQ137="5",BJ137,0)</f>
        <v>0</v>
      </c>
      <c r="AB137" s="30">
        <f>IF(AQ137="1",BH137,0)</f>
        <v>0</v>
      </c>
      <c r="AC137" s="30">
        <f>IF(AQ137="1",BI137,0)</f>
        <v>0</v>
      </c>
      <c r="AD137" s="30">
        <f>IF(AQ137="7",BH137,0)</f>
        <v>0</v>
      </c>
      <c r="AE137" s="30">
        <f>IF(AQ137="7",BI137,0)</f>
        <v>0</v>
      </c>
      <c r="AF137" s="30">
        <f>IF(AQ137="2",BH137,0)</f>
        <v>0</v>
      </c>
      <c r="AG137" s="30">
        <f>IF(AQ137="2",BI137,0)</f>
        <v>0</v>
      </c>
      <c r="AH137" s="30">
        <f>IF(AQ137="0",BJ137,0)</f>
        <v>0</v>
      </c>
      <c r="AI137" s="24" t="s">
        <v>1024</v>
      </c>
      <c r="AJ137" s="14">
        <f>IF(AN137=0,K137,0)</f>
        <v>0</v>
      </c>
      <c r="AK137" s="14">
        <f>IF(AN137=15,K137,0)</f>
        <v>0</v>
      </c>
      <c r="AL137" s="14">
        <f>IF(AN137=21,K137,0)</f>
        <v>0</v>
      </c>
      <c r="AN137" s="30">
        <v>21</v>
      </c>
      <c r="AO137" s="30">
        <f>H137*0</f>
        <v>0</v>
      </c>
      <c r="AP137" s="30">
        <f>H137*(1-0)</f>
        <v>0</v>
      </c>
      <c r="AQ137" s="25" t="s">
        <v>7</v>
      </c>
      <c r="AV137" s="30">
        <f>AW137+AX137</f>
        <v>0</v>
      </c>
      <c r="AW137" s="30">
        <f>G137*AO137</f>
        <v>0</v>
      </c>
      <c r="AX137" s="30">
        <f>G137*AP137</f>
        <v>0</v>
      </c>
      <c r="AY137" s="31" t="s">
        <v>1044</v>
      </c>
      <c r="AZ137" s="31" t="s">
        <v>1067</v>
      </c>
      <c r="BA137" s="24" t="s">
        <v>1080</v>
      </c>
      <c r="BC137" s="30">
        <f>AW137+AX137</f>
        <v>0</v>
      </c>
      <c r="BD137" s="30">
        <f>H137/(100-BE137)*100</f>
        <v>0</v>
      </c>
      <c r="BE137" s="30">
        <v>0</v>
      </c>
      <c r="BF137" s="30">
        <f>137</f>
        <v>137</v>
      </c>
      <c r="BH137" s="14">
        <f>G137*AO137</f>
        <v>0</v>
      </c>
      <c r="BI137" s="14">
        <f>G137*AP137</f>
        <v>0</v>
      </c>
      <c r="BJ137" s="14">
        <f>G137*H137</f>
        <v>0</v>
      </c>
    </row>
    <row r="138" spans="1:62" ht="12.75">
      <c r="A138" s="4" t="s">
        <v>112</v>
      </c>
      <c r="B138" s="4" t="s">
        <v>428</v>
      </c>
      <c r="C138" s="153" t="s">
        <v>766</v>
      </c>
      <c r="D138" s="154"/>
      <c r="E138" s="154"/>
      <c r="F138" s="4" t="s">
        <v>993</v>
      </c>
      <c r="G138" s="64">
        <v>189.747</v>
      </c>
      <c r="H138" s="82">
        <v>0</v>
      </c>
      <c r="I138" s="14">
        <f>G138*AO138</f>
        <v>0</v>
      </c>
      <c r="J138" s="14">
        <f>G138*AP138</f>
        <v>0</v>
      </c>
      <c r="K138" s="14">
        <f>G138*H138</f>
        <v>0</v>
      </c>
      <c r="L138" s="25" t="s">
        <v>1014</v>
      </c>
      <c r="Z138" s="30">
        <f>IF(AQ138="5",BJ138,0)</f>
        <v>0</v>
      </c>
      <c r="AB138" s="30">
        <f>IF(AQ138="1",BH138,0)</f>
        <v>0</v>
      </c>
      <c r="AC138" s="30">
        <f>IF(AQ138="1",BI138,0)</f>
        <v>0</v>
      </c>
      <c r="AD138" s="30">
        <f>IF(AQ138="7",BH138,0)</f>
        <v>0</v>
      </c>
      <c r="AE138" s="30">
        <f>IF(AQ138="7",BI138,0)</f>
        <v>0</v>
      </c>
      <c r="AF138" s="30">
        <f>IF(AQ138="2",BH138,0)</f>
        <v>0</v>
      </c>
      <c r="AG138" s="30">
        <f>IF(AQ138="2",BI138,0)</f>
        <v>0</v>
      </c>
      <c r="AH138" s="30">
        <f>IF(AQ138="0",BJ138,0)</f>
        <v>0</v>
      </c>
      <c r="AI138" s="24" t="s">
        <v>1024</v>
      </c>
      <c r="AJ138" s="14">
        <f>IF(AN138=0,K138,0)</f>
        <v>0</v>
      </c>
      <c r="AK138" s="14">
        <f>IF(AN138=15,K138,0)</f>
        <v>0</v>
      </c>
      <c r="AL138" s="14">
        <f>IF(AN138=21,K138,0)</f>
        <v>0</v>
      </c>
      <c r="AN138" s="30">
        <v>21</v>
      </c>
      <c r="AO138" s="30">
        <f>H138*0</f>
        <v>0</v>
      </c>
      <c r="AP138" s="30">
        <f>H138*(1-0)</f>
        <v>0</v>
      </c>
      <c r="AQ138" s="25" t="s">
        <v>7</v>
      </c>
      <c r="AV138" s="30">
        <f>AW138+AX138</f>
        <v>0</v>
      </c>
      <c r="AW138" s="30">
        <f>G138*AO138</f>
        <v>0</v>
      </c>
      <c r="AX138" s="30">
        <f>G138*AP138</f>
        <v>0</v>
      </c>
      <c r="AY138" s="31" t="s">
        <v>1044</v>
      </c>
      <c r="AZ138" s="31" t="s">
        <v>1067</v>
      </c>
      <c r="BA138" s="24" t="s">
        <v>1080</v>
      </c>
      <c r="BC138" s="30">
        <f>AW138+AX138</f>
        <v>0</v>
      </c>
      <c r="BD138" s="30">
        <f>H138/(100-BE138)*100</f>
        <v>0</v>
      </c>
      <c r="BE138" s="30">
        <v>0</v>
      </c>
      <c r="BF138" s="30">
        <f>138</f>
        <v>138</v>
      </c>
      <c r="BH138" s="14">
        <f>G138*AO138</f>
        <v>0</v>
      </c>
      <c r="BI138" s="14">
        <f>G138*AP138</f>
        <v>0</v>
      </c>
      <c r="BJ138" s="14">
        <f>G138*H138</f>
        <v>0</v>
      </c>
    </row>
    <row r="139" spans="1:47" ht="12.75">
      <c r="A139" s="3"/>
      <c r="B139" s="11" t="s">
        <v>429</v>
      </c>
      <c r="C139" s="151" t="s">
        <v>767</v>
      </c>
      <c r="D139" s="152"/>
      <c r="E139" s="152"/>
      <c r="F139" s="3" t="s">
        <v>6</v>
      </c>
      <c r="G139" s="3" t="s">
        <v>6</v>
      </c>
      <c r="H139" s="3" t="s">
        <v>6</v>
      </c>
      <c r="I139" s="32">
        <f>SUM(I140:I156)</f>
        <v>0</v>
      </c>
      <c r="J139" s="32">
        <f>SUM(J140:J156)</f>
        <v>0</v>
      </c>
      <c r="K139" s="32">
        <f>SUM(K140:K156)</f>
        <v>0</v>
      </c>
      <c r="L139" s="24"/>
      <c r="AI139" s="24" t="s">
        <v>1024</v>
      </c>
      <c r="AS139" s="32">
        <f>SUM(AJ140:AJ156)</f>
        <v>0</v>
      </c>
      <c r="AT139" s="32">
        <f>SUM(AK140:AK156)</f>
        <v>0</v>
      </c>
      <c r="AU139" s="32">
        <f>SUM(AL140:AL156)</f>
        <v>0</v>
      </c>
    </row>
    <row r="140" spans="1:62" ht="12.75">
      <c r="A140" s="4" t="s">
        <v>113</v>
      </c>
      <c r="B140" s="4" t="s">
        <v>430</v>
      </c>
      <c r="C140" s="153" t="s">
        <v>768</v>
      </c>
      <c r="D140" s="154"/>
      <c r="E140" s="154"/>
      <c r="F140" s="4" t="s">
        <v>994</v>
      </c>
      <c r="G140" s="64">
        <v>54.945</v>
      </c>
      <c r="H140" s="82">
        <v>0</v>
      </c>
      <c r="I140" s="14">
        <f aca="true" t="shared" si="88" ref="I140:I156">G140*AO140</f>
        <v>0</v>
      </c>
      <c r="J140" s="14">
        <f aca="true" t="shared" si="89" ref="J140:J156">G140*AP140</f>
        <v>0</v>
      </c>
      <c r="K140" s="14">
        <f aca="true" t="shared" si="90" ref="K140:K156">G140*H140</f>
        <v>0</v>
      </c>
      <c r="L140" s="25" t="s">
        <v>1014</v>
      </c>
      <c r="Z140" s="30">
        <f aca="true" t="shared" si="91" ref="Z140:Z156">IF(AQ140="5",BJ140,0)</f>
        <v>0</v>
      </c>
      <c r="AB140" s="30">
        <f aca="true" t="shared" si="92" ref="AB140:AB156">IF(AQ140="1",BH140,0)</f>
        <v>0</v>
      </c>
      <c r="AC140" s="30">
        <f aca="true" t="shared" si="93" ref="AC140:AC156">IF(AQ140="1",BI140,0)</f>
        <v>0</v>
      </c>
      <c r="AD140" s="30">
        <f aca="true" t="shared" si="94" ref="AD140:AD156">IF(AQ140="7",BH140,0)</f>
        <v>0</v>
      </c>
      <c r="AE140" s="30">
        <f aca="true" t="shared" si="95" ref="AE140:AE156">IF(AQ140="7",BI140,0)</f>
        <v>0</v>
      </c>
      <c r="AF140" s="30">
        <f aca="true" t="shared" si="96" ref="AF140:AF156">IF(AQ140="2",BH140,0)</f>
        <v>0</v>
      </c>
      <c r="AG140" s="30">
        <f aca="true" t="shared" si="97" ref="AG140:AG156">IF(AQ140="2",BI140,0)</f>
        <v>0</v>
      </c>
      <c r="AH140" s="30">
        <f aca="true" t="shared" si="98" ref="AH140:AH156">IF(AQ140="0",BJ140,0)</f>
        <v>0</v>
      </c>
      <c r="AI140" s="24" t="s">
        <v>1024</v>
      </c>
      <c r="AJ140" s="14">
        <f aca="true" t="shared" si="99" ref="AJ140:AJ156">IF(AN140=0,K140,0)</f>
        <v>0</v>
      </c>
      <c r="AK140" s="14">
        <f aca="true" t="shared" si="100" ref="AK140:AK156">IF(AN140=15,K140,0)</f>
        <v>0</v>
      </c>
      <c r="AL140" s="14">
        <f aca="true" t="shared" si="101" ref="AL140:AL156">IF(AN140=21,K140,0)</f>
        <v>0</v>
      </c>
      <c r="AN140" s="30">
        <v>21</v>
      </c>
      <c r="AO140" s="30">
        <f aca="true" t="shared" si="102" ref="AO140:AO156">H140*0</f>
        <v>0</v>
      </c>
      <c r="AP140" s="30">
        <f aca="true" t="shared" si="103" ref="AP140:AP156">H140*(1-0)</f>
        <v>0</v>
      </c>
      <c r="AQ140" s="25" t="s">
        <v>11</v>
      </c>
      <c r="AV140" s="30">
        <f aca="true" t="shared" si="104" ref="AV140:AV156">AW140+AX140</f>
        <v>0</v>
      </c>
      <c r="AW140" s="30">
        <f aca="true" t="shared" si="105" ref="AW140:AW156">G140*AO140</f>
        <v>0</v>
      </c>
      <c r="AX140" s="30">
        <f aca="true" t="shared" si="106" ref="AX140:AX156">G140*AP140</f>
        <v>0</v>
      </c>
      <c r="AY140" s="31" t="s">
        <v>1045</v>
      </c>
      <c r="AZ140" s="31" t="s">
        <v>1067</v>
      </c>
      <c r="BA140" s="24" t="s">
        <v>1080</v>
      </c>
      <c r="BC140" s="30">
        <f aca="true" t="shared" si="107" ref="BC140:BC156">AW140+AX140</f>
        <v>0</v>
      </c>
      <c r="BD140" s="30">
        <f aca="true" t="shared" si="108" ref="BD140:BD156">H140/(100-BE140)*100</f>
        <v>0</v>
      </c>
      <c r="BE140" s="30">
        <v>0</v>
      </c>
      <c r="BF140" s="30">
        <f>140</f>
        <v>140</v>
      </c>
      <c r="BH140" s="14">
        <f aca="true" t="shared" si="109" ref="BH140:BH156">G140*AO140</f>
        <v>0</v>
      </c>
      <c r="BI140" s="14">
        <f aca="true" t="shared" si="110" ref="BI140:BI156">G140*AP140</f>
        <v>0</v>
      </c>
      <c r="BJ140" s="14">
        <f aca="true" t="shared" si="111" ref="BJ140:BJ156">G140*H140</f>
        <v>0</v>
      </c>
    </row>
    <row r="141" spans="1:62" ht="12.75">
      <c r="A141" s="4" t="s">
        <v>114</v>
      </c>
      <c r="B141" s="4" t="s">
        <v>431</v>
      </c>
      <c r="C141" s="153" t="s">
        <v>769</v>
      </c>
      <c r="D141" s="154"/>
      <c r="E141" s="154"/>
      <c r="F141" s="4" t="s">
        <v>994</v>
      </c>
      <c r="G141" s="64">
        <v>42.455</v>
      </c>
      <c r="H141" s="82">
        <v>0</v>
      </c>
      <c r="I141" s="14">
        <f t="shared" si="88"/>
        <v>0</v>
      </c>
      <c r="J141" s="14">
        <f t="shared" si="89"/>
        <v>0</v>
      </c>
      <c r="K141" s="14">
        <f t="shared" si="90"/>
        <v>0</v>
      </c>
      <c r="L141" s="25" t="s">
        <v>1014</v>
      </c>
      <c r="Z141" s="30">
        <f t="shared" si="91"/>
        <v>0</v>
      </c>
      <c r="AB141" s="30">
        <f t="shared" si="92"/>
        <v>0</v>
      </c>
      <c r="AC141" s="30">
        <f t="shared" si="93"/>
        <v>0</v>
      </c>
      <c r="AD141" s="30">
        <f t="shared" si="94"/>
        <v>0</v>
      </c>
      <c r="AE141" s="30">
        <f t="shared" si="95"/>
        <v>0</v>
      </c>
      <c r="AF141" s="30">
        <f t="shared" si="96"/>
        <v>0</v>
      </c>
      <c r="AG141" s="30">
        <f t="shared" si="97"/>
        <v>0</v>
      </c>
      <c r="AH141" s="30">
        <f t="shared" si="98"/>
        <v>0</v>
      </c>
      <c r="AI141" s="24" t="s">
        <v>1024</v>
      </c>
      <c r="AJ141" s="14">
        <f t="shared" si="99"/>
        <v>0</v>
      </c>
      <c r="AK141" s="14">
        <f t="shared" si="100"/>
        <v>0</v>
      </c>
      <c r="AL141" s="14">
        <f t="shared" si="101"/>
        <v>0</v>
      </c>
      <c r="AN141" s="30">
        <v>21</v>
      </c>
      <c r="AO141" s="30">
        <f t="shared" si="102"/>
        <v>0</v>
      </c>
      <c r="AP141" s="30">
        <f t="shared" si="103"/>
        <v>0</v>
      </c>
      <c r="AQ141" s="25" t="s">
        <v>11</v>
      </c>
      <c r="AV141" s="30">
        <f t="shared" si="104"/>
        <v>0</v>
      </c>
      <c r="AW141" s="30">
        <f t="shared" si="105"/>
        <v>0</v>
      </c>
      <c r="AX141" s="30">
        <f t="shared" si="106"/>
        <v>0</v>
      </c>
      <c r="AY141" s="31" t="s">
        <v>1045</v>
      </c>
      <c r="AZ141" s="31" t="s">
        <v>1067</v>
      </c>
      <c r="BA141" s="24" t="s">
        <v>1080</v>
      </c>
      <c r="BC141" s="30">
        <f t="shared" si="107"/>
        <v>0</v>
      </c>
      <c r="BD141" s="30">
        <f t="shared" si="108"/>
        <v>0</v>
      </c>
      <c r="BE141" s="30">
        <v>0</v>
      </c>
      <c r="BF141" s="30">
        <f>141</f>
        <v>141</v>
      </c>
      <c r="BH141" s="14">
        <f t="shared" si="109"/>
        <v>0</v>
      </c>
      <c r="BI141" s="14">
        <f t="shared" si="110"/>
        <v>0</v>
      </c>
      <c r="BJ141" s="14">
        <f t="shared" si="111"/>
        <v>0</v>
      </c>
    </row>
    <row r="142" spans="1:62" ht="12.75">
      <c r="A142" s="4" t="s">
        <v>115</v>
      </c>
      <c r="B142" s="4" t="s">
        <v>432</v>
      </c>
      <c r="C142" s="153" t="s">
        <v>770</v>
      </c>
      <c r="D142" s="154"/>
      <c r="E142" s="154"/>
      <c r="F142" s="4" t="s">
        <v>994</v>
      </c>
      <c r="G142" s="64">
        <v>177.085</v>
      </c>
      <c r="H142" s="82">
        <v>0</v>
      </c>
      <c r="I142" s="14">
        <f t="shared" si="88"/>
        <v>0</v>
      </c>
      <c r="J142" s="14">
        <f t="shared" si="89"/>
        <v>0</v>
      </c>
      <c r="K142" s="14">
        <f t="shared" si="90"/>
        <v>0</v>
      </c>
      <c r="L142" s="25" t="s">
        <v>1014</v>
      </c>
      <c r="Z142" s="30">
        <f t="shared" si="91"/>
        <v>0</v>
      </c>
      <c r="AB142" s="30">
        <f t="shared" si="92"/>
        <v>0</v>
      </c>
      <c r="AC142" s="30">
        <f t="shared" si="93"/>
        <v>0</v>
      </c>
      <c r="AD142" s="30">
        <f t="shared" si="94"/>
        <v>0</v>
      </c>
      <c r="AE142" s="30">
        <f t="shared" si="95"/>
        <v>0</v>
      </c>
      <c r="AF142" s="30">
        <f t="shared" si="96"/>
        <v>0</v>
      </c>
      <c r="AG142" s="30">
        <f t="shared" si="97"/>
        <v>0</v>
      </c>
      <c r="AH142" s="30">
        <f t="shared" si="98"/>
        <v>0</v>
      </c>
      <c r="AI142" s="24" t="s">
        <v>1024</v>
      </c>
      <c r="AJ142" s="14">
        <f t="shared" si="99"/>
        <v>0</v>
      </c>
      <c r="AK142" s="14">
        <f t="shared" si="100"/>
        <v>0</v>
      </c>
      <c r="AL142" s="14">
        <f t="shared" si="101"/>
        <v>0</v>
      </c>
      <c r="AN142" s="30">
        <v>21</v>
      </c>
      <c r="AO142" s="30">
        <f t="shared" si="102"/>
        <v>0</v>
      </c>
      <c r="AP142" s="30">
        <f t="shared" si="103"/>
        <v>0</v>
      </c>
      <c r="AQ142" s="25" t="s">
        <v>11</v>
      </c>
      <c r="AV142" s="30">
        <f t="shared" si="104"/>
        <v>0</v>
      </c>
      <c r="AW142" s="30">
        <f t="shared" si="105"/>
        <v>0</v>
      </c>
      <c r="AX142" s="30">
        <f t="shared" si="106"/>
        <v>0</v>
      </c>
      <c r="AY142" s="31" t="s">
        <v>1045</v>
      </c>
      <c r="AZ142" s="31" t="s">
        <v>1067</v>
      </c>
      <c r="BA142" s="24" t="s">
        <v>1080</v>
      </c>
      <c r="BC142" s="30">
        <f t="shared" si="107"/>
        <v>0</v>
      </c>
      <c r="BD142" s="30">
        <f t="shared" si="108"/>
        <v>0</v>
      </c>
      <c r="BE142" s="30">
        <v>0</v>
      </c>
      <c r="BF142" s="30">
        <f>142</f>
        <v>142</v>
      </c>
      <c r="BH142" s="14">
        <f t="shared" si="109"/>
        <v>0</v>
      </c>
      <c r="BI142" s="14">
        <f t="shared" si="110"/>
        <v>0</v>
      </c>
      <c r="BJ142" s="14">
        <f t="shared" si="111"/>
        <v>0</v>
      </c>
    </row>
    <row r="143" spans="1:62" ht="12.75">
      <c r="A143" s="4" t="s">
        <v>116</v>
      </c>
      <c r="B143" s="4" t="s">
        <v>433</v>
      </c>
      <c r="C143" s="153" t="s">
        <v>771</v>
      </c>
      <c r="D143" s="154"/>
      <c r="E143" s="154"/>
      <c r="F143" s="4" t="s">
        <v>994</v>
      </c>
      <c r="G143" s="64">
        <v>2479.19</v>
      </c>
      <c r="H143" s="82">
        <v>0</v>
      </c>
      <c r="I143" s="14">
        <f t="shared" si="88"/>
        <v>0</v>
      </c>
      <c r="J143" s="14">
        <f t="shared" si="89"/>
        <v>0</v>
      </c>
      <c r="K143" s="14">
        <f t="shared" si="90"/>
        <v>0</v>
      </c>
      <c r="L143" s="25" t="s">
        <v>1014</v>
      </c>
      <c r="Z143" s="30">
        <f t="shared" si="91"/>
        <v>0</v>
      </c>
      <c r="AB143" s="30">
        <f t="shared" si="92"/>
        <v>0</v>
      </c>
      <c r="AC143" s="30">
        <f t="shared" si="93"/>
        <v>0</v>
      </c>
      <c r="AD143" s="30">
        <f t="shared" si="94"/>
        <v>0</v>
      </c>
      <c r="AE143" s="30">
        <f t="shared" si="95"/>
        <v>0</v>
      </c>
      <c r="AF143" s="30">
        <f t="shared" si="96"/>
        <v>0</v>
      </c>
      <c r="AG143" s="30">
        <f t="shared" si="97"/>
        <v>0</v>
      </c>
      <c r="AH143" s="30">
        <f t="shared" si="98"/>
        <v>0</v>
      </c>
      <c r="AI143" s="24" t="s">
        <v>1024</v>
      </c>
      <c r="AJ143" s="14">
        <f t="shared" si="99"/>
        <v>0</v>
      </c>
      <c r="AK143" s="14">
        <f t="shared" si="100"/>
        <v>0</v>
      </c>
      <c r="AL143" s="14">
        <f t="shared" si="101"/>
        <v>0</v>
      </c>
      <c r="AN143" s="30">
        <v>21</v>
      </c>
      <c r="AO143" s="30">
        <f t="shared" si="102"/>
        <v>0</v>
      </c>
      <c r="AP143" s="30">
        <f t="shared" si="103"/>
        <v>0</v>
      </c>
      <c r="AQ143" s="25" t="s">
        <v>11</v>
      </c>
      <c r="AV143" s="30">
        <f t="shared" si="104"/>
        <v>0</v>
      </c>
      <c r="AW143" s="30">
        <f t="shared" si="105"/>
        <v>0</v>
      </c>
      <c r="AX143" s="30">
        <f t="shared" si="106"/>
        <v>0</v>
      </c>
      <c r="AY143" s="31" t="s">
        <v>1045</v>
      </c>
      <c r="AZ143" s="31" t="s">
        <v>1067</v>
      </c>
      <c r="BA143" s="24" t="s">
        <v>1080</v>
      </c>
      <c r="BC143" s="30">
        <f t="shared" si="107"/>
        <v>0</v>
      </c>
      <c r="BD143" s="30">
        <f t="shared" si="108"/>
        <v>0</v>
      </c>
      <c r="BE143" s="30">
        <v>0</v>
      </c>
      <c r="BF143" s="30">
        <f>143</f>
        <v>143</v>
      </c>
      <c r="BH143" s="14">
        <f t="shared" si="109"/>
        <v>0</v>
      </c>
      <c r="BI143" s="14">
        <f t="shared" si="110"/>
        <v>0</v>
      </c>
      <c r="BJ143" s="14">
        <f t="shared" si="111"/>
        <v>0</v>
      </c>
    </row>
    <row r="144" spans="1:62" ht="12.75">
      <c r="A144" s="4" t="s">
        <v>117</v>
      </c>
      <c r="B144" s="4" t="s">
        <v>434</v>
      </c>
      <c r="C144" s="153" t="s">
        <v>772</v>
      </c>
      <c r="D144" s="154"/>
      <c r="E144" s="154"/>
      <c r="F144" s="4" t="s">
        <v>994</v>
      </c>
      <c r="G144" s="64">
        <v>177.085</v>
      </c>
      <c r="H144" s="82">
        <v>0</v>
      </c>
      <c r="I144" s="14">
        <f t="shared" si="88"/>
        <v>0</v>
      </c>
      <c r="J144" s="14">
        <f t="shared" si="89"/>
        <v>0</v>
      </c>
      <c r="K144" s="14">
        <f t="shared" si="90"/>
        <v>0</v>
      </c>
      <c r="L144" s="25" t="s">
        <v>1014</v>
      </c>
      <c r="Z144" s="30">
        <f t="shared" si="91"/>
        <v>0</v>
      </c>
      <c r="AB144" s="30">
        <f t="shared" si="92"/>
        <v>0</v>
      </c>
      <c r="AC144" s="30">
        <f t="shared" si="93"/>
        <v>0</v>
      </c>
      <c r="AD144" s="30">
        <f t="shared" si="94"/>
        <v>0</v>
      </c>
      <c r="AE144" s="30">
        <f t="shared" si="95"/>
        <v>0</v>
      </c>
      <c r="AF144" s="30">
        <f t="shared" si="96"/>
        <v>0</v>
      </c>
      <c r="AG144" s="30">
        <f t="shared" si="97"/>
        <v>0</v>
      </c>
      <c r="AH144" s="30">
        <f t="shared" si="98"/>
        <v>0</v>
      </c>
      <c r="AI144" s="24" t="s">
        <v>1024</v>
      </c>
      <c r="AJ144" s="14">
        <f t="shared" si="99"/>
        <v>0</v>
      </c>
      <c r="AK144" s="14">
        <f t="shared" si="100"/>
        <v>0</v>
      </c>
      <c r="AL144" s="14">
        <f t="shared" si="101"/>
        <v>0</v>
      </c>
      <c r="AN144" s="30">
        <v>21</v>
      </c>
      <c r="AO144" s="30">
        <f t="shared" si="102"/>
        <v>0</v>
      </c>
      <c r="AP144" s="30">
        <f t="shared" si="103"/>
        <v>0</v>
      </c>
      <c r="AQ144" s="25" t="s">
        <v>11</v>
      </c>
      <c r="AV144" s="30">
        <f t="shared" si="104"/>
        <v>0</v>
      </c>
      <c r="AW144" s="30">
        <f t="shared" si="105"/>
        <v>0</v>
      </c>
      <c r="AX144" s="30">
        <f t="shared" si="106"/>
        <v>0</v>
      </c>
      <c r="AY144" s="31" t="s">
        <v>1045</v>
      </c>
      <c r="AZ144" s="31" t="s">
        <v>1067</v>
      </c>
      <c r="BA144" s="24" t="s">
        <v>1080</v>
      </c>
      <c r="BC144" s="30">
        <f t="shared" si="107"/>
        <v>0</v>
      </c>
      <c r="BD144" s="30">
        <f t="shared" si="108"/>
        <v>0</v>
      </c>
      <c r="BE144" s="30">
        <v>0</v>
      </c>
      <c r="BF144" s="30">
        <f>144</f>
        <v>144</v>
      </c>
      <c r="BH144" s="14">
        <f t="shared" si="109"/>
        <v>0</v>
      </c>
      <c r="BI144" s="14">
        <f t="shared" si="110"/>
        <v>0</v>
      </c>
      <c r="BJ144" s="14">
        <f t="shared" si="111"/>
        <v>0</v>
      </c>
    </row>
    <row r="145" spans="1:62" ht="12.75">
      <c r="A145" s="4" t="s">
        <v>118</v>
      </c>
      <c r="B145" s="4" t="s">
        <v>435</v>
      </c>
      <c r="C145" s="153" t="s">
        <v>773</v>
      </c>
      <c r="D145" s="154"/>
      <c r="E145" s="154"/>
      <c r="F145" s="4" t="s">
        <v>994</v>
      </c>
      <c r="G145" s="64">
        <v>1062.51</v>
      </c>
      <c r="H145" s="82">
        <v>0</v>
      </c>
      <c r="I145" s="14">
        <f t="shared" si="88"/>
        <v>0</v>
      </c>
      <c r="J145" s="14">
        <f t="shared" si="89"/>
        <v>0</v>
      </c>
      <c r="K145" s="14">
        <f t="shared" si="90"/>
        <v>0</v>
      </c>
      <c r="L145" s="25" t="s">
        <v>1014</v>
      </c>
      <c r="Z145" s="30">
        <f t="shared" si="91"/>
        <v>0</v>
      </c>
      <c r="AB145" s="30">
        <f t="shared" si="92"/>
        <v>0</v>
      </c>
      <c r="AC145" s="30">
        <f t="shared" si="93"/>
        <v>0</v>
      </c>
      <c r="AD145" s="30">
        <f t="shared" si="94"/>
        <v>0</v>
      </c>
      <c r="AE145" s="30">
        <f t="shared" si="95"/>
        <v>0</v>
      </c>
      <c r="AF145" s="30">
        <f t="shared" si="96"/>
        <v>0</v>
      </c>
      <c r="AG145" s="30">
        <f t="shared" si="97"/>
        <v>0</v>
      </c>
      <c r="AH145" s="30">
        <f t="shared" si="98"/>
        <v>0</v>
      </c>
      <c r="AI145" s="24" t="s">
        <v>1024</v>
      </c>
      <c r="AJ145" s="14">
        <f t="shared" si="99"/>
        <v>0</v>
      </c>
      <c r="AK145" s="14">
        <f t="shared" si="100"/>
        <v>0</v>
      </c>
      <c r="AL145" s="14">
        <f t="shared" si="101"/>
        <v>0</v>
      </c>
      <c r="AN145" s="30">
        <v>21</v>
      </c>
      <c r="AO145" s="30">
        <f t="shared" si="102"/>
        <v>0</v>
      </c>
      <c r="AP145" s="30">
        <f t="shared" si="103"/>
        <v>0</v>
      </c>
      <c r="AQ145" s="25" t="s">
        <v>11</v>
      </c>
      <c r="AV145" s="30">
        <f t="shared" si="104"/>
        <v>0</v>
      </c>
      <c r="AW145" s="30">
        <f t="shared" si="105"/>
        <v>0</v>
      </c>
      <c r="AX145" s="30">
        <f t="shared" si="106"/>
        <v>0</v>
      </c>
      <c r="AY145" s="31" t="s">
        <v>1045</v>
      </c>
      <c r="AZ145" s="31" t="s">
        <v>1067</v>
      </c>
      <c r="BA145" s="24" t="s">
        <v>1080</v>
      </c>
      <c r="BC145" s="30">
        <f t="shared" si="107"/>
        <v>0</v>
      </c>
      <c r="BD145" s="30">
        <f t="shared" si="108"/>
        <v>0</v>
      </c>
      <c r="BE145" s="30">
        <v>0</v>
      </c>
      <c r="BF145" s="30">
        <f>145</f>
        <v>145</v>
      </c>
      <c r="BH145" s="14">
        <f t="shared" si="109"/>
        <v>0</v>
      </c>
      <c r="BI145" s="14">
        <f t="shared" si="110"/>
        <v>0</v>
      </c>
      <c r="BJ145" s="14">
        <f t="shared" si="111"/>
        <v>0</v>
      </c>
    </row>
    <row r="146" spans="1:62" ht="12.75">
      <c r="A146" s="4" t="s">
        <v>119</v>
      </c>
      <c r="B146" s="4" t="s">
        <v>436</v>
      </c>
      <c r="C146" s="153" t="s">
        <v>774</v>
      </c>
      <c r="D146" s="154"/>
      <c r="E146" s="154"/>
      <c r="F146" s="4" t="s">
        <v>994</v>
      </c>
      <c r="G146" s="64">
        <v>177.085</v>
      </c>
      <c r="H146" s="82">
        <v>0</v>
      </c>
      <c r="I146" s="14">
        <f t="shared" si="88"/>
        <v>0</v>
      </c>
      <c r="J146" s="14">
        <f t="shared" si="89"/>
        <v>0</v>
      </c>
      <c r="K146" s="14">
        <f t="shared" si="90"/>
        <v>0</v>
      </c>
      <c r="L146" s="25" t="s">
        <v>1014</v>
      </c>
      <c r="Z146" s="30">
        <f t="shared" si="91"/>
        <v>0</v>
      </c>
      <c r="AB146" s="30">
        <f t="shared" si="92"/>
        <v>0</v>
      </c>
      <c r="AC146" s="30">
        <f t="shared" si="93"/>
        <v>0</v>
      </c>
      <c r="AD146" s="30">
        <f t="shared" si="94"/>
        <v>0</v>
      </c>
      <c r="AE146" s="30">
        <f t="shared" si="95"/>
        <v>0</v>
      </c>
      <c r="AF146" s="30">
        <f t="shared" si="96"/>
        <v>0</v>
      </c>
      <c r="AG146" s="30">
        <f t="shared" si="97"/>
        <v>0</v>
      </c>
      <c r="AH146" s="30">
        <f t="shared" si="98"/>
        <v>0</v>
      </c>
      <c r="AI146" s="24" t="s">
        <v>1024</v>
      </c>
      <c r="AJ146" s="14">
        <f t="shared" si="99"/>
        <v>0</v>
      </c>
      <c r="AK146" s="14">
        <f t="shared" si="100"/>
        <v>0</v>
      </c>
      <c r="AL146" s="14">
        <f t="shared" si="101"/>
        <v>0</v>
      </c>
      <c r="AN146" s="30">
        <v>21</v>
      </c>
      <c r="AO146" s="30">
        <f t="shared" si="102"/>
        <v>0</v>
      </c>
      <c r="AP146" s="30">
        <f t="shared" si="103"/>
        <v>0</v>
      </c>
      <c r="AQ146" s="25" t="s">
        <v>11</v>
      </c>
      <c r="AV146" s="30">
        <f t="shared" si="104"/>
        <v>0</v>
      </c>
      <c r="AW146" s="30">
        <f t="shared" si="105"/>
        <v>0</v>
      </c>
      <c r="AX146" s="30">
        <f t="shared" si="106"/>
        <v>0</v>
      </c>
      <c r="AY146" s="31" t="s">
        <v>1045</v>
      </c>
      <c r="AZ146" s="31" t="s">
        <v>1067</v>
      </c>
      <c r="BA146" s="24" t="s">
        <v>1080</v>
      </c>
      <c r="BC146" s="30">
        <f t="shared" si="107"/>
        <v>0</v>
      </c>
      <c r="BD146" s="30">
        <f t="shared" si="108"/>
        <v>0</v>
      </c>
      <c r="BE146" s="30">
        <v>0</v>
      </c>
      <c r="BF146" s="30">
        <f>146</f>
        <v>146</v>
      </c>
      <c r="BH146" s="14">
        <f t="shared" si="109"/>
        <v>0</v>
      </c>
      <c r="BI146" s="14">
        <f t="shared" si="110"/>
        <v>0</v>
      </c>
      <c r="BJ146" s="14">
        <f t="shared" si="111"/>
        <v>0</v>
      </c>
    </row>
    <row r="147" spans="1:62" ht="12.75">
      <c r="A147" s="4" t="s">
        <v>120</v>
      </c>
      <c r="B147" s="4" t="s">
        <v>437</v>
      </c>
      <c r="C147" s="153" t="s">
        <v>775</v>
      </c>
      <c r="D147" s="154"/>
      <c r="E147" s="154"/>
      <c r="F147" s="4" t="s">
        <v>994</v>
      </c>
      <c r="G147" s="64">
        <v>177.085</v>
      </c>
      <c r="H147" s="82">
        <v>0</v>
      </c>
      <c r="I147" s="14">
        <f t="shared" si="88"/>
        <v>0</v>
      </c>
      <c r="J147" s="14">
        <f t="shared" si="89"/>
        <v>0</v>
      </c>
      <c r="K147" s="14">
        <f t="shared" si="90"/>
        <v>0</v>
      </c>
      <c r="L147" s="25" t="s">
        <v>1014</v>
      </c>
      <c r="Z147" s="30">
        <f t="shared" si="91"/>
        <v>0</v>
      </c>
      <c r="AB147" s="30">
        <f t="shared" si="92"/>
        <v>0</v>
      </c>
      <c r="AC147" s="30">
        <f t="shared" si="93"/>
        <v>0</v>
      </c>
      <c r="AD147" s="30">
        <f t="shared" si="94"/>
        <v>0</v>
      </c>
      <c r="AE147" s="30">
        <f t="shared" si="95"/>
        <v>0</v>
      </c>
      <c r="AF147" s="30">
        <f t="shared" si="96"/>
        <v>0</v>
      </c>
      <c r="AG147" s="30">
        <f t="shared" si="97"/>
        <v>0</v>
      </c>
      <c r="AH147" s="30">
        <f t="shared" si="98"/>
        <v>0</v>
      </c>
      <c r="AI147" s="24" t="s">
        <v>1024</v>
      </c>
      <c r="AJ147" s="14">
        <f t="shared" si="99"/>
        <v>0</v>
      </c>
      <c r="AK147" s="14">
        <f t="shared" si="100"/>
        <v>0</v>
      </c>
      <c r="AL147" s="14">
        <f t="shared" si="101"/>
        <v>0</v>
      </c>
      <c r="AN147" s="30">
        <v>21</v>
      </c>
      <c r="AO147" s="30">
        <f t="shared" si="102"/>
        <v>0</v>
      </c>
      <c r="AP147" s="30">
        <f t="shared" si="103"/>
        <v>0</v>
      </c>
      <c r="AQ147" s="25" t="s">
        <v>11</v>
      </c>
      <c r="AV147" s="30">
        <f t="shared" si="104"/>
        <v>0</v>
      </c>
      <c r="AW147" s="30">
        <f t="shared" si="105"/>
        <v>0</v>
      </c>
      <c r="AX147" s="30">
        <f t="shared" si="106"/>
        <v>0</v>
      </c>
      <c r="AY147" s="31" t="s">
        <v>1045</v>
      </c>
      <c r="AZ147" s="31" t="s">
        <v>1067</v>
      </c>
      <c r="BA147" s="24" t="s">
        <v>1080</v>
      </c>
      <c r="BC147" s="30">
        <f t="shared" si="107"/>
        <v>0</v>
      </c>
      <c r="BD147" s="30">
        <f t="shared" si="108"/>
        <v>0</v>
      </c>
      <c r="BE147" s="30">
        <v>0</v>
      </c>
      <c r="BF147" s="30">
        <f>147</f>
        <v>147</v>
      </c>
      <c r="BH147" s="14">
        <f t="shared" si="109"/>
        <v>0</v>
      </c>
      <c r="BI147" s="14">
        <f t="shared" si="110"/>
        <v>0</v>
      </c>
      <c r="BJ147" s="14">
        <f t="shared" si="111"/>
        <v>0</v>
      </c>
    </row>
    <row r="148" spans="1:62" ht="12.75">
      <c r="A148" s="4" t="s">
        <v>121</v>
      </c>
      <c r="B148" s="4" t="s">
        <v>438</v>
      </c>
      <c r="C148" s="153" t="s">
        <v>776</v>
      </c>
      <c r="D148" s="154"/>
      <c r="E148" s="154"/>
      <c r="F148" s="4" t="s">
        <v>994</v>
      </c>
      <c r="G148" s="64">
        <v>26.734</v>
      </c>
      <c r="H148" s="82">
        <v>0</v>
      </c>
      <c r="I148" s="14">
        <f t="shared" si="88"/>
        <v>0</v>
      </c>
      <c r="J148" s="14">
        <f t="shared" si="89"/>
        <v>0</v>
      </c>
      <c r="K148" s="14">
        <f t="shared" si="90"/>
        <v>0</v>
      </c>
      <c r="L148" s="25" t="s">
        <v>1014</v>
      </c>
      <c r="Z148" s="30">
        <f t="shared" si="91"/>
        <v>0</v>
      </c>
      <c r="AB148" s="30">
        <f t="shared" si="92"/>
        <v>0</v>
      </c>
      <c r="AC148" s="30">
        <f t="shared" si="93"/>
        <v>0</v>
      </c>
      <c r="AD148" s="30">
        <f t="shared" si="94"/>
        <v>0</v>
      </c>
      <c r="AE148" s="30">
        <f t="shared" si="95"/>
        <v>0</v>
      </c>
      <c r="AF148" s="30">
        <f t="shared" si="96"/>
        <v>0</v>
      </c>
      <c r="AG148" s="30">
        <f t="shared" si="97"/>
        <v>0</v>
      </c>
      <c r="AH148" s="30">
        <f t="shared" si="98"/>
        <v>0</v>
      </c>
      <c r="AI148" s="24" t="s">
        <v>1024</v>
      </c>
      <c r="AJ148" s="14">
        <f t="shared" si="99"/>
        <v>0</v>
      </c>
      <c r="AK148" s="14">
        <f t="shared" si="100"/>
        <v>0</v>
      </c>
      <c r="AL148" s="14">
        <f t="shared" si="101"/>
        <v>0</v>
      </c>
      <c r="AN148" s="30">
        <v>21</v>
      </c>
      <c r="AO148" s="30">
        <f t="shared" si="102"/>
        <v>0</v>
      </c>
      <c r="AP148" s="30">
        <f t="shared" si="103"/>
        <v>0</v>
      </c>
      <c r="AQ148" s="25" t="s">
        <v>11</v>
      </c>
      <c r="AV148" s="30">
        <f t="shared" si="104"/>
        <v>0</v>
      </c>
      <c r="AW148" s="30">
        <f t="shared" si="105"/>
        <v>0</v>
      </c>
      <c r="AX148" s="30">
        <f t="shared" si="106"/>
        <v>0</v>
      </c>
      <c r="AY148" s="31" t="s">
        <v>1045</v>
      </c>
      <c r="AZ148" s="31" t="s">
        <v>1067</v>
      </c>
      <c r="BA148" s="24" t="s">
        <v>1080</v>
      </c>
      <c r="BC148" s="30">
        <f t="shared" si="107"/>
        <v>0</v>
      </c>
      <c r="BD148" s="30">
        <f t="shared" si="108"/>
        <v>0</v>
      </c>
      <c r="BE148" s="30">
        <v>0</v>
      </c>
      <c r="BF148" s="30">
        <f>148</f>
        <v>148</v>
      </c>
      <c r="BH148" s="14">
        <f t="shared" si="109"/>
        <v>0</v>
      </c>
      <c r="BI148" s="14">
        <f t="shared" si="110"/>
        <v>0</v>
      </c>
      <c r="BJ148" s="14">
        <f t="shared" si="111"/>
        <v>0</v>
      </c>
    </row>
    <row r="149" spans="1:62" ht="12.75">
      <c r="A149" s="4" t="s">
        <v>122</v>
      </c>
      <c r="B149" s="4" t="s">
        <v>439</v>
      </c>
      <c r="C149" s="153" t="s">
        <v>777</v>
      </c>
      <c r="D149" s="154"/>
      <c r="E149" s="154"/>
      <c r="F149" s="4" t="s">
        <v>994</v>
      </c>
      <c r="G149" s="64">
        <v>47.126</v>
      </c>
      <c r="H149" s="82">
        <v>0</v>
      </c>
      <c r="I149" s="14">
        <f t="shared" si="88"/>
        <v>0</v>
      </c>
      <c r="J149" s="14">
        <f t="shared" si="89"/>
        <v>0</v>
      </c>
      <c r="K149" s="14">
        <f t="shared" si="90"/>
        <v>0</v>
      </c>
      <c r="L149" s="25" t="s">
        <v>1014</v>
      </c>
      <c r="Z149" s="30">
        <f t="shared" si="91"/>
        <v>0</v>
      </c>
      <c r="AB149" s="30">
        <f t="shared" si="92"/>
        <v>0</v>
      </c>
      <c r="AC149" s="30">
        <f t="shared" si="93"/>
        <v>0</v>
      </c>
      <c r="AD149" s="30">
        <f t="shared" si="94"/>
        <v>0</v>
      </c>
      <c r="AE149" s="30">
        <f t="shared" si="95"/>
        <v>0</v>
      </c>
      <c r="AF149" s="30">
        <f t="shared" si="96"/>
        <v>0</v>
      </c>
      <c r="AG149" s="30">
        <f t="shared" si="97"/>
        <v>0</v>
      </c>
      <c r="AH149" s="30">
        <f t="shared" si="98"/>
        <v>0</v>
      </c>
      <c r="AI149" s="24" t="s">
        <v>1024</v>
      </c>
      <c r="AJ149" s="14">
        <f t="shared" si="99"/>
        <v>0</v>
      </c>
      <c r="AK149" s="14">
        <f t="shared" si="100"/>
        <v>0</v>
      </c>
      <c r="AL149" s="14">
        <f t="shared" si="101"/>
        <v>0</v>
      </c>
      <c r="AN149" s="30">
        <v>21</v>
      </c>
      <c r="AO149" s="30">
        <f t="shared" si="102"/>
        <v>0</v>
      </c>
      <c r="AP149" s="30">
        <f t="shared" si="103"/>
        <v>0</v>
      </c>
      <c r="AQ149" s="25" t="s">
        <v>11</v>
      </c>
      <c r="AV149" s="30">
        <f t="shared" si="104"/>
        <v>0</v>
      </c>
      <c r="AW149" s="30">
        <f t="shared" si="105"/>
        <v>0</v>
      </c>
      <c r="AX149" s="30">
        <f t="shared" si="106"/>
        <v>0</v>
      </c>
      <c r="AY149" s="31" t="s">
        <v>1045</v>
      </c>
      <c r="AZ149" s="31" t="s">
        <v>1067</v>
      </c>
      <c r="BA149" s="24" t="s">
        <v>1080</v>
      </c>
      <c r="BC149" s="30">
        <f t="shared" si="107"/>
        <v>0</v>
      </c>
      <c r="BD149" s="30">
        <f t="shared" si="108"/>
        <v>0</v>
      </c>
      <c r="BE149" s="30">
        <v>0</v>
      </c>
      <c r="BF149" s="30">
        <f>149</f>
        <v>149</v>
      </c>
      <c r="BH149" s="14">
        <f t="shared" si="109"/>
        <v>0</v>
      </c>
      <c r="BI149" s="14">
        <f t="shared" si="110"/>
        <v>0</v>
      </c>
      <c r="BJ149" s="14">
        <f t="shared" si="111"/>
        <v>0</v>
      </c>
    </row>
    <row r="150" spans="1:62" ht="12.75">
      <c r="A150" s="4" t="s">
        <v>123</v>
      </c>
      <c r="B150" s="4" t="s">
        <v>440</v>
      </c>
      <c r="C150" s="153" t="s">
        <v>778</v>
      </c>
      <c r="D150" s="154"/>
      <c r="E150" s="154"/>
      <c r="F150" s="4" t="s">
        <v>994</v>
      </c>
      <c r="G150" s="64">
        <v>45.068</v>
      </c>
      <c r="H150" s="82">
        <v>0</v>
      </c>
      <c r="I150" s="14">
        <f t="shared" si="88"/>
        <v>0</v>
      </c>
      <c r="J150" s="14">
        <f t="shared" si="89"/>
        <v>0</v>
      </c>
      <c r="K150" s="14">
        <f t="shared" si="90"/>
        <v>0</v>
      </c>
      <c r="L150" s="25" t="s">
        <v>1014</v>
      </c>
      <c r="Z150" s="30">
        <f t="shared" si="91"/>
        <v>0</v>
      </c>
      <c r="AB150" s="30">
        <f t="shared" si="92"/>
        <v>0</v>
      </c>
      <c r="AC150" s="30">
        <f t="shared" si="93"/>
        <v>0</v>
      </c>
      <c r="AD150" s="30">
        <f t="shared" si="94"/>
        <v>0</v>
      </c>
      <c r="AE150" s="30">
        <f t="shared" si="95"/>
        <v>0</v>
      </c>
      <c r="AF150" s="30">
        <f t="shared" si="96"/>
        <v>0</v>
      </c>
      <c r="AG150" s="30">
        <f t="shared" si="97"/>
        <v>0</v>
      </c>
      <c r="AH150" s="30">
        <f t="shared" si="98"/>
        <v>0</v>
      </c>
      <c r="AI150" s="24" t="s">
        <v>1024</v>
      </c>
      <c r="AJ150" s="14">
        <f t="shared" si="99"/>
        <v>0</v>
      </c>
      <c r="AK150" s="14">
        <f t="shared" si="100"/>
        <v>0</v>
      </c>
      <c r="AL150" s="14">
        <f t="shared" si="101"/>
        <v>0</v>
      </c>
      <c r="AN150" s="30">
        <v>21</v>
      </c>
      <c r="AO150" s="30">
        <f t="shared" si="102"/>
        <v>0</v>
      </c>
      <c r="AP150" s="30">
        <f t="shared" si="103"/>
        <v>0</v>
      </c>
      <c r="AQ150" s="25" t="s">
        <v>11</v>
      </c>
      <c r="AV150" s="30">
        <f t="shared" si="104"/>
        <v>0</v>
      </c>
      <c r="AW150" s="30">
        <f t="shared" si="105"/>
        <v>0</v>
      </c>
      <c r="AX150" s="30">
        <f t="shared" si="106"/>
        <v>0</v>
      </c>
      <c r="AY150" s="31" t="s">
        <v>1045</v>
      </c>
      <c r="AZ150" s="31" t="s">
        <v>1067</v>
      </c>
      <c r="BA150" s="24" t="s">
        <v>1080</v>
      </c>
      <c r="BC150" s="30">
        <f t="shared" si="107"/>
        <v>0</v>
      </c>
      <c r="BD150" s="30">
        <f t="shared" si="108"/>
        <v>0</v>
      </c>
      <c r="BE150" s="30">
        <v>0</v>
      </c>
      <c r="BF150" s="30">
        <f>150</f>
        <v>150</v>
      </c>
      <c r="BH150" s="14">
        <f t="shared" si="109"/>
        <v>0</v>
      </c>
      <c r="BI150" s="14">
        <f t="shared" si="110"/>
        <v>0</v>
      </c>
      <c r="BJ150" s="14">
        <f t="shared" si="111"/>
        <v>0</v>
      </c>
    </row>
    <row r="151" spans="1:62" ht="12.75">
      <c r="A151" s="4" t="s">
        <v>124</v>
      </c>
      <c r="B151" s="4" t="s">
        <v>441</v>
      </c>
      <c r="C151" s="153" t="s">
        <v>779</v>
      </c>
      <c r="D151" s="154"/>
      <c r="E151" s="154"/>
      <c r="F151" s="4" t="s">
        <v>994</v>
      </c>
      <c r="G151" s="64">
        <v>18.411</v>
      </c>
      <c r="H151" s="82">
        <v>0</v>
      </c>
      <c r="I151" s="14">
        <f t="shared" si="88"/>
        <v>0</v>
      </c>
      <c r="J151" s="14">
        <f t="shared" si="89"/>
        <v>0</v>
      </c>
      <c r="K151" s="14">
        <f t="shared" si="90"/>
        <v>0</v>
      </c>
      <c r="L151" s="25" t="s">
        <v>1014</v>
      </c>
      <c r="Z151" s="30">
        <f t="shared" si="91"/>
        <v>0</v>
      </c>
      <c r="AB151" s="30">
        <f t="shared" si="92"/>
        <v>0</v>
      </c>
      <c r="AC151" s="30">
        <f t="shared" si="93"/>
        <v>0</v>
      </c>
      <c r="AD151" s="30">
        <f t="shared" si="94"/>
        <v>0</v>
      </c>
      <c r="AE151" s="30">
        <f t="shared" si="95"/>
        <v>0</v>
      </c>
      <c r="AF151" s="30">
        <f t="shared" si="96"/>
        <v>0</v>
      </c>
      <c r="AG151" s="30">
        <f t="shared" si="97"/>
        <v>0</v>
      </c>
      <c r="AH151" s="30">
        <f t="shared" si="98"/>
        <v>0</v>
      </c>
      <c r="AI151" s="24" t="s">
        <v>1024</v>
      </c>
      <c r="AJ151" s="14">
        <f t="shared" si="99"/>
        <v>0</v>
      </c>
      <c r="AK151" s="14">
        <f t="shared" si="100"/>
        <v>0</v>
      </c>
      <c r="AL151" s="14">
        <f t="shared" si="101"/>
        <v>0</v>
      </c>
      <c r="AN151" s="30">
        <v>21</v>
      </c>
      <c r="AO151" s="30">
        <f t="shared" si="102"/>
        <v>0</v>
      </c>
      <c r="AP151" s="30">
        <f t="shared" si="103"/>
        <v>0</v>
      </c>
      <c r="AQ151" s="25" t="s">
        <v>11</v>
      </c>
      <c r="AV151" s="30">
        <f t="shared" si="104"/>
        <v>0</v>
      </c>
      <c r="AW151" s="30">
        <f t="shared" si="105"/>
        <v>0</v>
      </c>
      <c r="AX151" s="30">
        <f t="shared" si="106"/>
        <v>0</v>
      </c>
      <c r="AY151" s="31" t="s">
        <v>1045</v>
      </c>
      <c r="AZ151" s="31" t="s">
        <v>1067</v>
      </c>
      <c r="BA151" s="24" t="s">
        <v>1080</v>
      </c>
      <c r="BC151" s="30">
        <f t="shared" si="107"/>
        <v>0</v>
      </c>
      <c r="BD151" s="30">
        <f t="shared" si="108"/>
        <v>0</v>
      </c>
      <c r="BE151" s="30">
        <v>0</v>
      </c>
      <c r="BF151" s="30">
        <f>151</f>
        <v>151</v>
      </c>
      <c r="BH151" s="14">
        <f t="shared" si="109"/>
        <v>0</v>
      </c>
      <c r="BI151" s="14">
        <f t="shared" si="110"/>
        <v>0</v>
      </c>
      <c r="BJ151" s="14">
        <f t="shared" si="111"/>
        <v>0</v>
      </c>
    </row>
    <row r="152" spans="1:62" ht="12.75">
      <c r="A152" s="4" t="s">
        <v>125</v>
      </c>
      <c r="B152" s="4" t="s">
        <v>442</v>
      </c>
      <c r="C152" s="153" t="s">
        <v>780</v>
      </c>
      <c r="D152" s="154"/>
      <c r="E152" s="154"/>
      <c r="F152" s="4" t="s">
        <v>994</v>
      </c>
      <c r="G152" s="64">
        <v>8.512</v>
      </c>
      <c r="H152" s="82">
        <v>0</v>
      </c>
      <c r="I152" s="14">
        <f t="shared" si="88"/>
        <v>0</v>
      </c>
      <c r="J152" s="14">
        <f t="shared" si="89"/>
        <v>0</v>
      </c>
      <c r="K152" s="14">
        <f t="shared" si="90"/>
        <v>0</v>
      </c>
      <c r="L152" s="25" t="s">
        <v>1014</v>
      </c>
      <c r="Z152" s="30">
        <f t="shared" si="91"/>
        <v>0</v>
      </c>
      <c r="AB152" s="30">
        <f t="shared" si="92"/>
        <v>0</v>
      </c>
      <c r="AC152" s="30">
        <f t="shared" si="93"/>
        <v>0</v>
      </c>
      <c r="AD152" s="30">
        <f t="shared" si="94"/>
        <v>0</v>
      </c>
      <c r="AE152" s="30">
        <f t="shared" si="95"/>
        <v>0</v>
      </c>
      <c r="AF152" s="30">
        <f t="shared" si="96"/>
        <v>0</v>
      </c>
      <c r="AG152" s="30">
        <f t="shared" si="97"/>
        <v>0</v>
      </c>
      <c r="AH152" s="30">
        <f t="shared" si="98"/>
        <v>0</v>
      </c>
      <c r="AI152" s="24" t="s">
        <v>1024</v>
      </c>
      <c r="AJ152" s="14">
        <f t="shared" si="99"/>
        <v>0</v>
      </c>
      <c r="AK152" s="14">
        <f t="shared" si="100"/>
        <v>0</v>
      </c>
      <c r="AL152" s="14">
        <f t="shared" si="101"/>
        <v>0</v>
      </c>
      <c r="AN152" s="30">
        <v>21</v>
      </c>
      <c r="AO152" s="30">
        <f t="shared" si="102"/>
        <v>0</v>
      </c>
      <c r="AP152" s="30">
        <f t="shared" si="103"/>
        <v>0</v>
      </c>
      <c r="AQ152" s="25" t="s">
        <v>11</v>
      </c>
      <c r="AV152" s="30">
        <f t="shared" si="104"/>
        <v>0</v>
      </c>
      <c r="AW152" s="30">
        <f t="shared" si="105"/>
        <v>0</v>
      </c>
      <c r="AX152" s="30">
        <f t="shared" si="106"/>
        <v>0</v>
      </c>
      <c r="AY152" s="31" t="s">
        <v>1045</v>
      </c>
      <c r="AZ152" s="31" t="s">
        <v>1067</v>
      </c>
      <c r="BA152" s="24" t="s">
        <v>1080</v>
      </c>
      <c r="BC152" s="30">
        <f t="shared" si="107"/>
        <v>0</v>
      </c>
      <c r="BD152" s="30">
        <f t="shared" si="108"/>
        <v>0</v>
      </c>
      <c r="BE152" s="30">
        <v>0</v>
      </c>
      <c r="BF152" s="30">
        <f>152</f>
        <v>152</v>
      </c>
      <c r="BH152" s="14">
        <f t="shared" si="109"/>
        <v>0</v>
      </c>
      <c r="BI152" s="14">
        <f t="shared" si="110"/>
        <v>0</v>
      </c>
      <c r="BJ152" s="14">
        <f t="shared" si="111"/>
        <v>0</v>
      </c>
    </row>
    <row r="153" spans="1:62" ht="12.75">
      <c r="A153" s="4" t="s">
        <v>126</v>
      </c>
      <c r="B153" s="4" t="s">
        <v>443</v>
      </c>
      <c r="C153" s="153" t="s">
        <v>781</v>
      </c>
      <c r="D153" s="154"/>
      <c r="E153" s="154"/>
      <c r="F153" s="4" t="s">
        <v>994</v>
      </c>
      <c r="G153" s="64">
        <v>11.35</v>
      </c>
      <c r="H153" s="82">
        <v>0</v>
      </c>
      <c r="I153" s="14">
        <f t="shared" si="88"/>
        <v>0</v>
      </c>
      <c r="J153" s="14">
        <f t="shared" si="89"/>
        <v>0</v>
      </c>
      <c r="K153" s="14">
        <f t="shared" si="90"/>
        <v>0</v>
      </c>
      <c r="L153" s="25" t="s">
        <v>1014</v>
      </c>
      <c r="Z153" s="30">
        <f t="shared" si="91"/>
        <v>0</v>
      </c>
      <c r="AB153" s="30">
        <f t="shared" si="92"/>
        <v>0</v>
      </c>
      <c r="AC153" s="30">
        <f t="shared" si="93"/>
        <v>0</v>
      </c>
      <c r="AD153" s="30">
        <f t="shared" si="94"/>
        <v>0</v>
      </c>
      <c r="AE153" s="30">
        <f t="shared" si="95"/>
        <v>0</v>
      </c>
      <c r="AF153" s="30">
        <f t="shared" si="96"/>
        <v>0</v>
      </c>
      <c r="AG153" s="30">
        <f t="shared" si="97"/>
        <v>0</v>
      </c>
      <c r="AH153" s="30">
        <f t="shared" si="98"/>
        <v>0</v>
      </c>
      <c r="AI153" s="24" t="s">
        <v>1024</v>
      </c>
      <c r="AJ153" s="14">
        <f t="shared" si="99"/>
        <v>0</v>
      </c>
      <c r="AK153" s="14">
        <f t="shared" si="100"/>
        <v>0</v>
      </c>
      <c r="AL153" s="14">
        <f t="shared" si="101"/>
        <v>0</v>
      </c>
      <c r="AN153" s="30">
        <v>21</v>
      </c>
      <c r="AO153" s="30">
        <f t="shared" si="102"/>
        <v>0</v>
      </c>
      <c r="AP153" s="30">
        <f t="shared" si="103"/>
        <v>0</v>
      </c>
      <c r="AQ153" s="25" t="s">
        <v>11</v>
      </c>
      <c r="AV153" s="30">
        <f t="shared" si="104"/>
        <v>0</v>
      </c>
      <c r="AW153" s="30">
        <f t="shared" si="105"/>
        <v>0</v>
      </c>
      <c r="AX153" s="30">
        <f t="shared" si="106"/>
        <v>0</v>
      </c>
      <c r="AY153" s="31" t="s">
        <v>1045</v>
      </c>
      <c r="AZ153" s="31" t="s">
        <v>1067</v>
      </c>
      <c r="BA153" s="24" t="s">
        <v>1080</v>
      </c>
      <c r="BC153" s="30">
        <f t="shared" si="107"/>
        <v>0</v>
      </c>
      <c r="BD153" s="30">
        <f t="shared" si="108"/>
        <v>0</v>
      </c>
      <c r="BE153" s="30">
        <v>0</v>
      </c>
      <c r="BF153" s="30">
        <f>153</f>
        <v>153</v>
      </c>
      <c r="BH153" s="14">
        <f t="shared" si="109"/>
        <v>0</v>
      </c>
      <c r="BI153" s="14">
        <f t="shared" si="110"/>
        <v>0</v>
      </c>
      <c r="BJ153" s="14">
        <f t="shared" si="111"/>
        <v>0</v>
      </c>
    </row>
    <row r="154" spans="1:62" ht="12.75">
      <c r="A154" s="4" t="s">
        <v>127</v>
      </c>
      <c r="B154" s="4" t="s">
        <v>444</v>
      </c>
      <c r="C154" s="153" t="s">
        <v>782</v>
      </c>
      <c r="D154" s="154"/>
      <c r="E154" s="154"/>
      <c r="F154" s="4" t="s">
        <v>994</v>
      </c>
      <c r="G154" s="64">
        <v>9.018</v>
      </c>
      <c r="H154" s="82">
        <v>0</v>
      </c>
      <c r="I154" s="14">
        <f t="shared" si="88"/>
        <v>0</v>
      </c>
      <c r="J154" s="14">
        <f t="shared" si="89"/>
        <v>0</v>
      </c>
      <c r="K154" s="14">
        <f t="shared" si="90"/>
        <v>0</v>
      </c>
      <c r="L154" s="25" t="s">
        <v>1014</v>
      </c>
      <c r="Z154" s="30">
        <f t="shared" si="91"/>
        <v>0</v>
      </c>
      <c r="AB154" s="30">
        <f t="shared" si="92"/>
        <v>0</v>
      </c>
      <c r="AC154" s="30">
        <f t="shared" si="93"/>
        <v>0</v>
      </c>
      <c r="AD154" s="30">
        <f t="shared" si="94"/>
        <v>0</v>
      </c>
      <c r="AE154" s="30">
        <f t="shared" si="95"/>
        <v>0</v>
      </c>
      <c r="AF154" s="30">
        <f t="shared" si="96"/>
        <v>0</v>
      </c>
      <c r="AG154" s="30">
        <f t="shared" si="97"/>
        <v>0</v>
      </c>
      <c r="AH154" s="30">
        <f t="shared" si="98"/>
        <v>0</v>
      </c>
      <c r="AI154" s="24" t="s">
        <v>1024</v>
      </c>
      <c r="AJ154" s="14">
        <f t="shared" si="99"/>
        <v>0</v>
      </c>
      <c r="AK154" s="14">
        <f t="shared" si="100"/>
        <v>0</v>
      </c>
      <c r="AL154" s="14">
        <f t="shared" si="101"/>
        <v>0</v>
      </c>
      <c r="AN154" s="30">
        <v>21</v>
      </c>
      <c r="AO154" s="30">
        <f t="shared" si="102"/>
        <v>0</v>
      </c>
      <c r="AP154" s="30">
        <f t="shared" si="103"/>
        <v>0</v>
      </c>
      <c r="AQ154" s="25" t="s">
        <v>11</v>
      </c>
      <c r="AV154" s="30">
        <f t="shared" si="104"/>
        <v>0</v>
      </c>
      <c r="AW154" s="30">
        <f t="shared" si="105"/>
        <v>0</v>
      </c>
      <c r="AX154" s="30">
        <f t="shared" si="106"/>
        <v>0</v>
      </c>
      <c r="AY154" s="31" t="s">
        <v>1045</v>
      </c>
      <c r="AZ154" s="31" t="s">
        <v>1067</v>
      </c>
      <c r="BA154" s="24" t="s">
        <v>1080</v>
      </c>
      <c r="BC154" s="30">
        <f t="shared" si="107"/>
        <v>0</v>
      </c>
      <c r="BD154" s="30">
        <f t="shared" si="108"/>
        <v>0</v>
      </c>
      <c r="BE154" s="30">
        <v>0</v>
      </c>
      <c r="BF154" s="30">
        <f>154</f>
        <v>154</v>
      </c>
      <c r="BH154" s="14">
        <f t="shared" si="109"/>
        <v>0</v>
      </c>
      <c r="BI154" s="14">
        <f t="shared" si="110"/>
        <v>0</v>
      </c>
      <c r="BJ154" s="14">
        <f t="shared" si="111"/>
        <v>0</v>
      </c>
    </row>
    <row r="155" spans="1:62" ht="12.75">
      <c r="A155" s="4" t="s">
        <v>128</v>
      </c>
      <c r="B155" s="4" t="s">
        <v>445</v>
      </c>
      <c r="C155" s="153" t="s">
        <v>783</v>
      </c>
      <c r="D155" s="154"/>
      <c r="E155" s="154"/>
      <c r="F155" s="4" t="s">
        <v>994</v>
      </c>
      <c r="G155" s="64">
        <v>10.058</v>
      </c>
      <c r="H155" s="82">
        <v>0</v>
      </c>
      <c r="I155" s="14">
        <f t="shared" si="88"/>
        <v>0</v>
      </c>
      <c r="J155" s="14">
        <f t="shared" si="89"/>
        <v>0</v>
      </c>
      <c r="K155" s="14">
        <f t="shared" si="90"/>
        <v>0</v>
      </c>
      <c r="L155" s="25" t="s">
        <v>1014</v>
      </c>
      <c r="Z155" s="30">
        <f t="shared" si="91"/>
        <v>0</v>
      </c>
      <c r="AB155" s="30">
        <f t="shared" si="92"/>
        <v>0</v>
      </c>
      <c r="AC155" s="30">
        <f t="shared" si="93"/>
        <v>0</v>
      </c>
      <c r="AD155" s="30">
        <f t="shared" si="94"/>
        <v>0</v>
      </c>
      <c r="AE155" s="30">
        <f t="shared" si="95"/>
        <v>0</v>
      </c>
      <c r="AF155" s="30">
        <f t="shared" si="96"/>
        <v>0</v>
      </c>
      <c r="AG155" s="30">
        <f t="shared" si="97"/>
        <v>0</v>
      </c>
      <c r="AH155" s="30">
        <f t="shared" si="98"/>
        <v>0</v>
      </c>
      <c r="AI155" s="24" t="s">
        <v>1024</v>
      </c>
      <c r="AJ155" s="14">
        <f t="shared" si="99"/>
        <v>0</v>
      </c>
      <c r="AK155" s="14">
        <f t="shared" si="100"/>
        <v>0</v>
      </c>
      <c r="AL155" s="14">
        <f t="shared" si="101"/>
        <v>0</v>
      </c>
      <c r="AN155" s="30">
        <v>21</v>
      </c>
      <c r="AO155" s="30">
        <f t="shared" si="102"/>
        <v>0</v>
      </c>
      <c r="AP155" s="30">
        <f t="shared" si="103"/>
        <v>0</v>
      </c>
      <c r="AQ155" s="25" t="s">
        <v>11</v>
      </c>
      <c r="AV155" s="30">
        <f t="shared" si="104"/>
        <v>0</v>
      </c>
      <c r="AW155" s="30">
        <f t="shared" si="105"/>
        <v>0</v>
      </c>
      <c r="AX155" s="30">
        <f t="shared" si="106"/>
        <v>0</v>
      </c>
      <c r="AY155" s="31" t="s">
        <v>1045</v>
      </c>
      <c r="AZ155" s="31" t="s">
        <v>1067</v>
      </c>
      <c r="BA155" s="24" t="s">
        <v>1080</v>
      </c>
      <c r="BC155" s="30">
        <f t="shared" si="107"/>
        <v>0</v>
      </c>
      <c r="BD155" s="30">
        <f t="shared" si="108"/>
        <v>0</v>
      </c>
      <c r="BE155" s="30">
        <v>0</v>
      </c>
      <c r="BF155" s="30">
        <f>155</f>
        <v>155</v>
      </c>
      <c r="BH155" s="14">
        <f t="shared" si="109"/>
        <v>0</v>
      </c>
      <c r="BI155" s="14">
        <f t="shared" si="110"/>
        <v>0</v>
      </c>
      <c r="BJ155" s="14">
        <f t="shared" si="111"/>
        <v>0</v>
      </c>
    </row>
    <row r="156" spans="1:62" ht="12.75">
      <c r="A156" s="4" t="s">
        <v>129</v>
      </c>
      <c r="B156" s="4" t="s">
        <v>446</v>
      </c>
      <c r="C156" s="153" t="s">
        <v>784</v>
      </c>
      <c r="D156" s="154"/>
      <c r="E156" s="154"/>
      <c r="F156" s="4" t="s">
        <v>994</v>
      </c>
      <c r="G156" s="64">
        <v>0.798</v>
      </c>
      <c r="H156" s="82">
        <v>0</v>
      </c>
      <c r="I156" s="14">
        <f t="shared" si="88"/>
        <v>0</v>
      </c>
      <c r="J156" s="14">
        <f t="shared" si="89"/>
        <v>0</v>
      </c>
      <c r="K156" s="14">
        <f t="shared" si="90"/>
        <v>0</v>
      </c>
      <c r="L156" s="25" t="s">
        <v>1014</v>
      </c>
      <c r="Z156" s="30">
        <f t="shared" si="91"/>
        <v>0</v>
      </c>
      <c r="AB156" s="30">
        <f t="shared" si="92"/>
        <v>0</v>
      </c>
      <c r="AC156" s="30">
        <f t="shared" si="93"/>
        <v>0</v>
      </c>
      <c r="AD156" s="30">
        <f t="shared" si="94"/>
        <v>0</v>
      </c>
      <c r="AE156" s="30">
        <f t="shared" si="95"/>
        <v>0</v>
      </c>
      <c r="AF156" s="30">
        <f t="shared" si="96"/>
        <v>0</v>
      </c>
      <c r="AG156" s="30">
        <f t="shared" si="97"/>
        <v>0</v>
      </c>
      <c r="AH156" s="30">
        <f t="shared" si="98"/>
        <v>0</v>
      </c>
      <c r="AI156" s="24" t="s">
        <v>1024</v>
      </c>
      <c r="AJ156" s="14">
        <f t="shared" si="99"/>
        <v>0</v>
      </c>
      <c r="AK156" s="14">
        <f t="shared" si="100"/>
        <v>0</v>
      </c>
      <c r="AL156" s="14">
        <f t="shared" si="101"/>
        <v>0</v>
      </c>
      <c r="AN156" s="30">
        <v>21</v>
      </c>
      <c r="AO156" s="30">
        <f t="shared" si="102"/>
        <v>0</v>
      </c>
      <c r="AP156" s="30">
        <f t="shared" si="103"/>
        <v>0</v>
      </c>
      <c r="AQ156" s="25" t="s">
        <v>11</v>
      </c>
      <c r="AV156" s="30">
        <f t="shared" si="104"/>
        <v>0</v>
      </c>
      <c r="AW156" s="30">
        <f t="shared" si="105"/>
        <v>0</v>
      </c>
      <c r="AX156" s="30">
        <f t="shared" si="106"/>
        <v>0</v>
      </c>
      <c r="AY156" s="31" t="s">
        <v>1045</v>
      </c>
      <c r="AZ156" s="31" t="s">
        <v>1067</v>
      </c>
      <c r="BA156" s="24" t="s">
        <v>1080</v>
      </c>
      <c r="BC156" s="30">
        <f t="shared" si="107"/>
        <v>0</v>
      </c>
      <c r="BD156" s="30">
        <f t="shared" si="108"/>
        <v>0</v>
      </c>
      <c r="BE156" s="30">
        <v>0</v>
      </c>
      <c r="BF156" s="30">
        <f>156</f>
        <v>156</v>
      </c>
      <c r="BH156" s="14">
        <f t="shared" si="109"/>
        <v>0</v>
      </c>
      <c r="BI156" s="14">
        <f t="shared" si="110"/>
        <v>0</v>
      </c>
      <c r="BJ156" s="14">
        <f t="shared" si="111"/>
        <v>0</v>
      </c>
    </row>
    <row r="157" spans="1:47" ht="12.75">
      <c r="A157" s="3"/>
      <c r="B157" s="11" t="s">
        <v>447</v>
      </c>
      <c r="C157" s="151" t="s">
        <v>785</v>
      </c>
      <c r="D157" s="152"/>
      <c r="E157" s="152"/>
      <c r="F157" s="3" t="s">
        <v>6</v>
      </c>
      <c r="G157" s="3" t="s">
        <v>6</v>
      </c>
      <c r="H157" s="3" t="s">
        <v>6</v>
      </c>
      <c r="I157" s="32">
        <f>SUM(I158:I158)</f>
        <v>0</v>
      </c>
      <c r="J157" s="32">
        <f>SUM(J158:J158)</f>
        <v>0</v>
      </c>
      <c r="K157" s="32">
        <f>SUM(K158:K158)</f>
        <v>0</v>
      </c>
      <c r="L157" s="24"/>
      <c r="AI157" s="24" t="s">
        <v>1024</v>
      </c>
      <c r="AS157" s="32">
        <f>SUM(AJ158:AJ158)</f>
        <v>0</v>
      </c>
      <c r="AT157" s="32">
        <f>SUM(AK158:AK158)</f>
        <v>0</v>
      </c>
      <c r="AU157" s="32">
        <f>SUM(AL158:AL158)</f>
        <v>0</v>
      </c>
    </row>
    <row r="158" spans="1:62" ht="12.75">
      <c r="A158" s="4" t="s">
        <v>130</v>
      </c>
      <c r="B158" s="4" t="s">
        <v>448</v>
      </c>
      <c r="C158" s="153" t="s">
        <v>786</v>
      </c>
      <c r="D158" s="154"/>
      <c r="E158" s="154"/>
      <c r="F158" s="4" t="s">
        <v>994</v>
      </c>
      <c r="G158" s="64">
        <v>164.286</v>
      </c>
      <c r="H158" s="82">
        <v>0</v>
      </c>
      <c r="I158" s="14">
        <f>G158*AO158</f>
        <v>0</v>
      </c>
      <c r="J158" s="14">
        <f>G158*AP158</f>
        <v>0</v>
      </c>
      <c r="K158" s="14">
        <f>G158*H158</f>
        <v>0</v>
      </c>
      <c r="L158" s="25" t="s">
        <v>1014</v>
      </c>
      <c r="Z158" s="30">
        <f>IF(AQ158="5",BJ158,0)</f>
        <v>0</v>
      </c>
      <c r="AB158" s="30">
        <f>IF(AQ158="1",BH158,0)</f>
        <v>0</v>
      </c>
      <c r="AC158" s="30">
        <f>IF(AQ158="1",BI158,0)</f>
        <v>0</v>
      </c>
      <c r="AD158" s="30">
        <f>IF(AQ158="7",BH158,0)</f>
        <v>0</v>
      </c>
      <c r="AE158" s="30">
        <f>IF(AQ158="7",BI158,0)</f>
        <v>0</v>
      </c>
      <c r="AF158" s="30">
        <f>IF(AQ158="2",BH158,0)</f>
        <v>0</v>
      </c>
      <c r="AG158" s="30">
        <f>IF(AQ158="2",BI158,0)</f>
        <v>0</v>
      </c>
      <c r="AH158" s="30">
        <f>IF(AQ158="0",BJ158,0)</f>
        <v>0</v>
      </c>
      <c r="AI158" s="24" t="s">
        <v>1024</v>
      </c>
      <c r="AJ158" s="14">
        <f>IF(AN158=0,K158,0)</f>
        <v>0</v>
      </c>
      <c r="AK158" s="14">
        <f>IF(AN158=15,K158,0)</f>
        <v>0</v>
      </c>
      <c r="AL158" s="14">
        <f>IF(AN158=21,K158,0)</f>
        <v>0</v>
      </c>
      <c r="AN158" s="30">
        <v>21</v>
      </c>
      <c r="AO158" s="30">
        <f>H158*0</f>
        <v>0</v>
      </c>
      <c r="AP158" s="30">
        <f>H158*(1-0)</f>
        <v>0</v>
      </c>
      <c r="AQ158" s="25" t="s">
        <v>11</v>
      </c>
      <c r="AV158" s="30">
        <f>AW158+AX158</f>
        <v>0</v>
      </c>
      <c r="AW158" s="30">
        <f>G158*AO158</f>
        <v>0</v>
      </c>
      <c r="AX158" s="30">
        <f>G158*AP158</f>
        <v>0</v>
      </c>
      <c r="AY158" s="31" t="s">
        <v>1046</v>
      </c>
      <c r="AZ158" s="31" t="s">
        <v>1067</v>
      </c>
      <c r="BA158" s="24" t="s">
        <v>1080</v>
      </c>
      <c r="BC158" s="30">
        <f>AW158+AX158</f>
        <v>0</v>
      </c>
      <c r="BD158" s="30">
        <f>H158/(100-BE158)*100</f>
        <v>0</v>
      </c>
      <c r="BE158" s="30">
        <v>0</v>
      </c>
      <c r="BF158" s="30">
        <f>158</f>
        <v>158</v>
      </c>
      <c r="BH158" s="14">
        <f>G158*AO158</f>
        <v>0</v>
      </c>
      <c r="BI158" s="14">
        <f>G158*AP158</f>
        <v>0</v>
      </c>
      <c r="BJ158" s="14">
        <f>G158*H158</f>
        <v>0</v>
      </c>
    </row>
    <row r="159" spans="1:47" ht="12.75">
      <c r="A159" s="3"/>
      <c r="B159" s="11" t="s">
        <v>449</v>
      </c>
      <c r="C159" s="151" t="s">
        <v>787</v>
      </c>
      <c r="D159" s="152"/>
      <c r="E159" s="152"/>
      <c r="F159" s="3" t="s">
        <v>6</v>
      </c>
      <c r="G159" s="3" t="s">
        <v>6</v>
      </c>
      <c r="H159" s="3" t="s">
        <v>6</v>
      </c>
      <c r="I159" s="32">
        <f>SUM(I160:I170)</f>
        <v>0</v>
      </c>
      <c r="J159" s="32">
        <f>SUM(J160:J170)</f>
        <v>0</v>
      </c>
      <c r="K159" s="32">
        <f>SUM(K160:K170)</f>
        <v>0</v>
      </c>
      <c r="L159" s="24"/>
      <c r="AI159" s="24" t="s">
        <v>1024</v>
      </c>
      <c r="AS159" s="32">
        <f>SUM(AJ160:AJ170)</f>
        <v>0</v>
      </c>
      <c r="AT159" s="32">
        <f>SUM(AK160:AK170)</f>
        <v>0</v>
      </c>
      <c r="AU159" s="32">
        <f>SUM(AL160:AL170)</f>
        <v>0</v>
      </c>
    </row>
    <row r="160" spans="1:62" ht="12.75">
      <c r="A160" s="4" t="s">
        <v>131</v>
      </c>
      <c r="B160" s="4" t="s">
        <v>450</v>
      </c>
      <c r="C160" s="153" t="s">
        <v>788</v>
      </c>
      <c r="D160" s="154"/>
      <c r="E160" s="154"/>
      <c r="F160" s="4" t="s">
        <v>993</v>
      </c>
      <c r="G160" s="64">
        <v>945.798</v>
      </c>
      <c r="H160" s="82">
        <v>0</v>
      </c>
      <c r="I160" s="14">
        <f>G160*AO160</f>
        <v>0</v>
      </c>
      <c r="J160" s="14">
        <f>G160*AP160</f>
        <v>0</v>
      </c>
      <c r="K160" s="14">
        <f>G160*H160</f>
        <v>0</v>
      </c>
      <c r="L160" s="25" t="s">
        <v>1014</v>
      </c>
      <c r="Z160" s="30">
        <f>IF(AQ160="5",BJ160,0)</f>
        <v>0</v>
      </c>
      <c r="AB160" s="30">
        <f>IF(AQ160="1",BH160,0)</f>
        <v>0</v>
      </c>
      <c r="AC160" s="30">
        <f>IF(AQ160="1",BI160,0)</f>
        <v>0</v>
      </c>
      <c r="AD160" s="30">
        <f>IF(AQ160="7",BH160,0)</f>
        <v>0</v>
      </c>
      <c r="AE160" s="30">
        <f>IF(AQ160="7",BI160,0)</f>
        <v>0</v>
      </c>
      <c r="AF160" s="30">
        <f>IF(AQ160="2",BH160,0)</f>
        <v>0</v>
      </c>
      <c r="AG160" s="30">
        <f>IF(AQ160="2",BI160,0)</f>
        <v>0</v>
      </c>
      <c r="AH160" s="30">
        <f>IF(AQ160="0",BJ160,0)</f>
        <v>0</v>
      </c>
      <c r="AI160" s="24" t="s">
        <v>1024</v>
      </c>
      <c r="AJ160" s="14">
        <f>IF(AN160=0,K160,0)</f>
        <v>0</v>
      </c>
      <c r="AK160" s="14">
        <f>IF(AN160=15,K160,0)</f>
        <v>0</v>
      </c>
      <c r="AL160" s="14">
        <f>IF(AN160=21,K160,0)</f>
        <v>0</v>
      </c>
      <c r="AN160" s="30">
        <v>21</v>
      </c>
      <c r="AO160" s="30">
        <f>H160*0</f>
        <v>0</v>
      </c>
      <c r="AP160" s="30">
        <f>H160*(1-0)</f>
        <v>0</v>
      </c>
      <c r="AQ160" s="25" t="s">
        <v>13</v>
      </c>
      <c r="AV160" s="30">
        <f>AW160+AX160</f>
        <v>0</v>
      </c>
      <c r="AW160" s="30">
        <f>G160*AO160</f>
        <v>0</v>
      </c>
      <c r="AX160" s="30">
        <f>G160*AP160</f>
        <v>0</v>
      </c>
      <c r="AY160" s="31" t="s">
        <v>1047</v>
      </c>
      <c r="AZ160" s="31" t="s">
        <v>1068</v>
      </c>
      <c r="BA160" s="24" t="s">
        <v>1080</v>
      </c>
      <c r="BC160" s="30">
        <f>AW160+AX160</f>
        <v>0</v>
      </c>
      <c r="BD160" s="30">
        <f>H160/(100-BE160)*100</f>
        <v>0</v>
      </c>
      <c r="BE160" s="30">
        <v>0</v>
      </c>
      <c r="BF160" s="30">
        <f>160</f>
        <v>160</v>
      </c>
      <c r="BH160" s="14">
        <f>G160*AO160</f>
        <v>0</v>
      </c>
      <c r="BI160" s="14">
        <f>G160*AP160</f>
        <v>0</v>
      </c>
      <c r="BJ160" s="14">
        <f>G160*H160</f>
        <v>0</v>
      </c>
    </row>
    <row r="161" spans="1:62" ht="12.75">
      <c r="A161" s="4" t="s">
        <v>132</v>
      </c>
      <c r="B161" s="4" t="s">
        <v>450</v>
      </c>
      <c r="C161" s="153" t="s">
        <v>789</v>
      </c>
      <c r="D161" s="154"/>
      <c r="E161" s="154"/>
      <c r="F161" s="4" t="s">
        <v>993</v>
      </c>
      <c r="G161" s="64">
        <v>472.899</v>
      </c>
      <c r="H161" s="82">
        <v>0</v>
      </c>
      <c r="I161" s="14">
        <f>G161*AO161</f>
        <v>0</v>
      </c>
      <c r="J161" s="14">
        <f>G161*AP161</f>
        <v>0</v>
      </c>
      <c r="K161" s="14">
        <f>G161*H161</f>
        <v>0</v>
      </c>
      <c r="L161" s="25" t="s">
        <v>1014</v>
      </c>
      <c r="Z161" s="30">
        <f>IF(AQ161="5",BJ161,0)</f>
        <v>0</v>
      </c>
      <c r="AB161" s="30">
        <f>IF(AQ161="1",BH161,0)</f>
        <v>0</v>
      </c>
      <c r="AC161" s="30">
        <f>IF(AQ161="1",BI161,0)</f>
        <v>0</v>
      </c>
      <c r="AD161" s="30">
        <f>IF(AQ161="7",BH161,0)</f>
        <v>0</v>
      </c>
      <c r="AE161" s="30">
        <f>IF(AQ161="7",BI161,0)</f>
        <v>0</v>
      </c>
      <c r="AF161" s="30">
        <f>IF(AQ161="2",BH161,0)</f>
        <v>0</v>
      </c>
      <c r="AG161" s="30">
        <f>IF(AQ161="2",BI161,0)</f>
        <v>0</v>
      </c>
      <c r="AH161" s="30">
        <f>IF(AQ161="0",BJ161,0)</f>
        <v>0</v>
      </c>
      <c r="AI161" s="24" t="s">
        <v>1024</v>
      </c>
      <c r="AJ161" s="14">
        <f>IF(AN161=0,K161,0)</f>
        <v>0</v>
      </c>
      <c r="AK161" s="14">
        <f>IF(AN161=15,K161,0)</f>
        <v>0</v>
      </c>
      <c r="AL161" s="14">
        <f>IF(AN161=21,K161,0)</f>
        <v>0</v>
      </c>
      <c r="AN161" s="30">
        <v>21</v>
      </c>
      <c r="AO161" s="30">
        <f>H161*0</f>
        <v>0</v>
      </c>
      <c r="AP161" s="30">
        <f>H161*(1-0)</f>
        <v>0</v>
      </c>
      <c r="AQ161" s="25" t="s">
        <v>13</v>
      </c>
      <c r="AV161" s="30">
        <f>AW161+AX161</f>
        <v>0</v>
      </c>
      <c r="AW161" s="30">
        <f>G161*AO161</f>
        <v>0</v>
      </c>
      <c r="AX161" s="30">
        <f>G161*AP161</f>
        <v>0</v>
      </c>
      <c r="AY161" s="31" t="s">
        <v>1047</v>
      </c>
      <c r="AZ161" s="31" t="s">
        <v>1068</v>
      </c>
      <c r="BA161" s="24" t="s">
        <v>1080</v>
      </c>
      <c r="BC161" s="30">
        <f>AW161+AX161</f>
        <v>0</v>
      </c>
      <c r="BD161" s="30">
        <f>H161/(100-BE161)*100</f>
        <v>0</v>
      </c>
      <c r="BE161" s="30">
        <v>0</v>
      </c>
      <c r="BF161" s="30">
        <f>161</f>
        <v>161</v>
      </c>
      <c r="BH161" s="14">
        <f>G161*AO161</f>
        <v>0</v>
      </c>
      <c r="BI161" s="14">
        <f>G161*AP161</f>
        <v>0</v>
      </c>
      <c r="BJ161" s="14">
        <f>G161*H161</f>
        <v>0</v>
      </c>
    </row>
    <row r="162" spans="1:62" ht="12.75">
      <c r="A162" s="4" t="s">
        <v>133</v>
      </c>
      <c r="B162" s="4" t="s">
        <v>451</v>
      </c>
      <c r="C162" s="153" t="s">
        <v>790</v>
      </c>
      <c r="D162" s="154"/>
      <c r="E162" s="154"/>
      <c r="F162" s="4" t="s">
        <v>993</v>
      </c>
      <c r="G162" s="64">
        <v>2.46</v>
      </c>
      <c r="H162" s="82">
        <v>0</v>
      </c>
      <c r="I162" s="14">
        <f>G162*AO162</f>
        <v>0</v>
      </c>
      <c r="J162" s="14">
        <f>G162*AP162</f>
        <v>0</v>
      </c>
      <c r="K162" s="14">
        <f>G162*H162</f>
        <v>0</v>
      </c>
      <c r="L162" s="25" t="s">
        <v>1014</v>
      </c>
      <c r="Z162" s="30">
        <f>IF(AQ162="5",BJ162,0)</f>
        <v>0</v>
      </c>
      <c r="AB162" s="30">
        <f>IF(AQ162="1",BH162,0)</f>
        <v>0</v>
      </c>
      <c r="AC162" s="30">
        <f>IF(AQ162="1",BI162,0)</f>
        <v>0</v>
      </c>
      <c r="AD162" s="30">
        <f>IF(AQ162="7",BH162,0)</f>
        <v>0</v>
      </c>
      <c r="AE162" s="30">
        <f>IF(AQ162="7",BI162,0)</f>
        <v>0</v>
      </c>
      <c r="AF162" s="30">
        <f>IF(AQ162="2",BH162,0)</f>
        <v>0</v>
      </c>
      <c r="AG162" s="30">
        <f>IF(AQ162="2",BI162,0)</f>
        <v>0</v>
      </c>
      <c r="AH162" s="30">
        <f>IF(AQ162="0",BJ162,0)</f>
        <v>0</v>
      </c>
      <c r="AI162" s="24" t="s">
        <v>1024</v>
      </c>
      <c r="AJ162" s="14">
        <f>IF(AN162=0,K162,0)</f>
        <v>0</v>
      </c>
      <c r="AK162" s="14">
        <f>IF(AN162=15,K162,0)</f>
        <v>0</v>
      </c>
      <c r="AL162" s="14">
        <f>IF(AN162=21,K162,0)</f>
        <v>0</v>
      </c>
      <c r="AN162" s="30">
        <v>21</v>
      </c>
      <c r="AO162" s="30">
        <f>H162*0.445057803468208</f>
        <v>0</v>
      </c>
      <c r="AP162" s="30">
        <f>H162*(1-0.445057803468208)</f>
        <v>0</v>
      </c>
      <c r="AQ162" s="25" t="s">
        <v>13</v>
      </c>
      <c r="AV162" s="30">
        <f>AW162+AX162</f>
        <v>0</v>
      </c>
      <c r="AW162" s="30">
        <f>G162*AO162</f>
        <v>0</v>
      </c>
      <c r="AX162" s="30">
        <f>G162*AP162</f>
        <v>0</v>
      </c>
      <c r="AY162" s="31" t="s">
        <v>1047</v>
      </c>
      <c r="AZ162" s="31" t="s">
        <v>1068</v>
      </c>
      <c r="BA162" s="24" t="s">
        <v>1080</v>
      </c>
      <c r="BC162" s="30">
        <f>AW162+AX162</f>
        <v>0</v>
      </c>
      <c r="BD162" s="30">
        <f>H162/(100-BE162)*100</f>
        <v>0</v>
      </c>
      <c r="BE162" s="30">
        <v>0</v>
      </c>
      <c r="BF162" s="30">
        <f>162</f>
        <v>162</v>
      </c>
      <c r="BH162" s="14">
        <f>G162*AO162</f>
        <v>0</v>
      </c>
      <c r="BI162" s="14">
        <f>G162*AP162</f>
        <v>0</v>
      </c>
      <c r="BJ162" s="14">
        <f>G162*H162</f>
        <v>0</v>
      </c>
    </row>
    <row r="163" spans="1:62" ht="12.75">
      <c r="A163" s="4" t="s">
        <v>134</v>
      </c>
      <c r="B163" s="4" t="s">
        <v>452</v>
      </c>
      <c r="C163" s="153" t="s">
        <v>1335</v>
      </c>
      <c r="D163" s="154"/>
      <c r="E163" s="154"/>
      <c r="F163" s="4" t="s">
        <v>993</v>
      </c>
      <c r="G163" s="64">
        <v>472.899</v>
      </c>
      <c r="H163" s="82">
        <v>0</v>
      </c>
      <c r="I163" s="14">
        <f>G163*AO163</f>
        <v>0</v>
      </c>
      <c r="J163" s="14">
        <f>G163*AP163</f>
        <v>0</v>
      </c>
      <c r="K163" s="14">
        <f>G163*H163</f>
        <v>0</v>
      </c>
      <c r="L163" s="25" t="s">
        <v>1014</v>
      </c>
      <c r="Z163" s="30">
        <f>IF(AQ163="5",BJ163,0)</f>
        <v>0</v>
      </c>
      <c r="AB163" s="30">
        <f>IF(AQ163="1",BH163,0)</f>
        <v>0</v>
      </c>
      <c r="AC163" s="30">
        <f>IF(AQ163="1",BI163,0)</f>
        <v>0</v>
      </c>
      <c r="AD163" s="30">
        <f>IF(AQ163="7",BH163,0)</f>
        <v>0</v>
      </c>
      <c r="AE163" s="30">
        <f>IF(AQ163="7",BI163,0)</f>
        <v>0</v>
      </c>
      <c r="AF163" s="30">
        <f>IF(AQ163="2",BH163,0)</f>
        <v>0</v>
      </c>
      <c r="AG163" s="30">
        <f>IF(AQ163="2",BI163,0)</f>
        <v>0</v>
      </c>
      <c r="AH163" s="30">
        <f>IF(AQ163="0",BJ163,0)</f>
        <v>0</v>
      </c>
      <c r="AI163" s="24" t="s">
        <v>1024</v>
      </c>
      <c r="AJ163" s="14">
        <f>IF(AN163=0,K163,0)</f>
        <v>0</v>
      </c>
      <c r="AK163" s="14">
        <f>IF(AN163=15,K163,0)</f>
        <v>0</v>
      </c>
      <c r="AL163" s="14">
        <f>IF(AN163=21,K163,0)</f>
        <v>0</v>
      </c>
      <c r="AN163" s="30">
        <v>21</v>
      </c>
      <c r="AO163" s="30">
        <f>H163*0.458041542068662</f>
        <v>0</v>
      </c>
      <c r="AP163" s="30">
        <f>H163*(1-0.458041542068662)</f>
        <v>0</v>
      </c>
      <c r="AQ163" s="25" t="s">
        <v>13</v>
      </c>
      <c r="AV163" s="30">
        <f>AW163+AX163</f>
        <v>0</v>
      </c>
      <c r="AW163" s="30">
        <f>G163*AO163</f>
        <v>0</v>
      </c>
      <c r="AX163" s="30">
        <f>G163*AP163</f>
        <v>0</v>
      </c>
      <c r="AY163" s="31" t="s">
        <v>1047</v>
      </c>
      <c r="AZ163" s="31" t="s">
        <v>1068</v>
      </c>
      <c r="BA163" s="24" t="s">
        <v>1080</v>
      </c>
      <c r="BC163" s="30">
        <f>AW163+AX163</f>
        <v>0</v>
      </c>
      <c r="BD163" s="30">
        <f>H163/(100-BE163)*100</f>
        <v>0</v>
      </c>
      <c r="BE163" s="30">
        <v>0</v>
      </c>
      <c r="BF163" s="30">
        <f>163</f>
        <v>163</v>
      </c>
      <c r="BH163" s="14">
        <f>G163*AO163</f>
        <v>0</v>
      </c>
      <c r="BI163" s="14">
        <f>G163*AP163</f>
        <v>0</v>
      </c>
      <c r="BJ163" s="14">
        <f>G163*H163</f>
        <v>0</v>
      </c>
    </row>
    <row r="164" spans="3:8" ht="12.75">
      <c r="C164" s="155" t="s">
        <v>792</v>
      </c>
      <c r="D164" s="156"/>
      <c r="E164" s="156"/>
      <c r="H164" s="83"/>
    </row>
    <row r="165" spans="1:62" ht="12.75">
      <c r="A165" s="4" t="s">
        <v>135</v>
      </c>
      <c r="B165" s="4" t="s">
        <v>453</v>
      </c>
      <c r="C165" s="153" t="s">
        <v>793</v>
      </c>
      <c r="D165" s="154"/>
      <c r="E165" s="154"/>
      <c r="F165" s="4" t="s">
        <v>993</v>
      </c>
      <c r="G165" s="64">
        <v>16.632</v>
      </c>
      <c r="H165" s="82">
        <v>0</v>
      </c>
      <c r="I165" s="14">
        <f>G165*AO165</f>
        <v>0</v>
      </c>
      <c r="J165" s="14">
        <f>G165*AP165</f>
        <v>0</v>
      </c>
      <c r="K165" s="14">
        <f>G165*H165</f>
        <v>0</v>
      </c>
      <c r="L165" s="25" t="s">
        <v>1014</v>
      </c>
      <c r="Z165" s="30">
        <f>IF(AQ165="5",BJ165,0)</f>
        <v>0</v>
      </c>
      <c r="AB165" s="30">
        <f>IF(AQ165="1",BH165,0)</f>
        <v>0</v>
      </c>
      <c r="AC165" s="30">
        <f>IF(AQ165="1",BI165,0)</f>
        <v>0</v>
      </c>
      <c r="AD165" s="30">
        <f>IF(AQ165="7",BH165,0)</f>
        <v>0</v>
      </c>
      <c r="AE165" s="30">
        <f>IF(AQ165="7",BI165,0)</f>
        <v>0</v>
      </c>
      <c r="AF165" s="30">
        <f>IF(AQ165="2",BH165,0)</f>
        <v>0</v>
      </c>
      <c r="AG165" s="30">
        <f>IF(AQ165="2",BI165,0)</f>
        <v>0</v>
      </c>
      <c r="AH165" s="30">
        <f>IF(AQ165="0",BJ165,0)</f>
        <v>0</v>
      </c>
      <c r="AI165" s="24" t="s">
        <v>1024</v>
      </c>
      <c r="AJ165" s="14">
        <f>IF(AN165=0,K165,0)</f>
        <v>0</v>
      </c>
      <c r="AK165" s="14">
        <f>IF(AN165=15,K165,0)</f>
        <v>0</v>
      </c>
      <c r="AL165" s="14">
        <f>IF(AN165=21,K165,0)</f>
        <v>0</v>
      </c>
      <c r="AN165" s="30">
        <v>21</v>
      </c>
      <c r="AO165" s="30">
        <f>H165*0.458031819176085</f>
        <v>0</v>
      </c>
      <c r="AP165" s="30">
        <f>H165*(1-0.458031819176085)</f>
        <v>0</v>
      </c>
      <c r="AQ165" s="25" t="s">
        <v>13</v>
      </c>
      <c r="AV165" s="30">
        <f>AW165+AX165</f>
        <v>0</v>
      </c>
      <c r="AW165" s="30">
        <f>G165*AO165</f>
        <v>0</v>
      </c>
      <c r="AX165" s="30">
        <f>G165*AP165</f>
        <v>0</v>
      </c>
      <c r="AY165" s="31" t="s">
        <v>1047</v>
      </c>
      <c r="AZ165" s="31" t="s">
        <v>1068</v>
      </c>
      <c r="BA165" s="24" t="s">
        <v>1080</v>
      </c>
      <c r="BC165" s="30">
        <f>AW165+AX165</f>
        <v>0</v>
      </c>
      <c r="BD165" s="30">
        <f>H165/(100-BE165)*100</f>
        <v>0</v>
      </c>
      <c r="BE165" s="30">
        <v>0</v>
      </c>
      <c r="BF165" s="30">
        <f>165</f>
        <v>165</v>
      </c>
      <c r="BH165" s="14">
        <f>G165*AO165</f>
        <v>0</v>
      </c>
      <c r="BI165" s="14">
        <f>G165*AP165</f>
        <v>0</v>
      </c>
      <c r="BJ165" s="14">
        <f>G165*H165</f>
        <v>0</v>
      </c>
    </row>
    <row r="166" spans="3:8" ht="12.75">
      <c r="C166" s="155" t="s">
        <v>792</v>
      </c>
      <c r="D166" s="156"/>
      <c r="E166" s="156"/>
      <c r="H166" s="83"/>
    </row>
    <row r="167" spans="1:62" ht="12.75">
      <c r="A167" s="4" t="s">
        <v>136</v>
      </c>
      <c r="B167" s="4" t="s">
        <v>454</v>
      </c>
      <c r="C167" s="153" t="s">
        <v>794</v>
      </c>
      <c r="D167" s="154"/>
      <c r="E167" s="154"/>
      <c r="F167" s="4" t="s">
        <v>991</v>
      </c>
      <c r="G167" s="64">
        <v>4</v>
      </c>
      <c r="H167" s="82">
        <v>0</v>
      </c>
      <c r="I167" s="14">
        <f>G167*AO167</f>
        <v>0</v>
      </c>
      <c r="J167" s="14">
        <f>G167*AP167</f>
        <v>0</v>
      </c>
      <c r="K167" s="14">
        <f>G167*H167</f>
        <v>0</v>
      </c>
      <c r="L167" s="25" t="s">
        <v>1014</v>
      </c>
      <c r="Z167" s="30">
        <f>IF(AQ167="5",BJ167,0)</f>
        <v>0</v>
      </c>
      <c r="AB167" s="30">
        <f>IF(AQ167="1",BH167,0)</f>
        <v>0</v>
      </c>
      <c r="AC167" s="30">
        <f>IF(AQ167="1",BI167,0)</f>
        <v>0</v>
      </c>
      <c r="AD167" s="30">
        <f>IF(AQ167="7",BH167,0)</f>
        <v>0</v>
      </c>
      <c r="AE167" s="30">
        <f>IF(AQ167="7",BI167,0)</f>
        <v>0</v>
      </c>
      <c r="AF167" s="30">
        <f>IF(AQ167="2",BH167,0)</f>
        <v>0</v>
      </c>
      <c r="AG167" s="30">
        <f>IF(AQ167="2",BI167,0)</f>
        <v>0</v>
      </c>
      <c r="AH167" s="30">
        <f>IF(AQ167="0",BJ167,0)</f>
        <v>0</v>
      </c>
      <c r="AI167" s="24" t="s">
        <v>1024</v>
      </c>
      <c r="AJ167" s="14">
        <f>IF(AN167=0,K167,0)</f>
        <v>0</v>
      </c>
      <c r="AK167" s="14">
        <f>IF(AN167=15,K167,0)</f>
        <v>0</v>
      </c>
      <c r="AL167" s="14">
        <f>IF(AN167=21,K167,0)</f>
        <v>0</v>
      </c>
      <c r="AN167" s="30">
        <v>21</v>
      </c>
      <c r="AO167" s="30">
        <f>H167*0.78806533286998</f>
        <v>0</v>
      </c>
      <c r="AP167" s="30">
        <f>H167*(1-0.78806533286998)</f>
        <v>0</v>
      </c>
      <c r="AQ167" s="25" t="s">
        <v>13</v>
      </c>
      <c r="AV167" s="30">
        <f>AW167+AX167</f>
        <v>0</v>
      </c>
      <c r="AW167" s="30">
        <f>G167*AO167</f>
        <v>0</v>
      </c>
      <c r="AX167" s="30">
        <f>G167*AP167</f>
        <v>0</v>
      </c>
      <c r="AY167" s="31" t="s">
        <v>1047</v>
      </c>
      <c r="AZ167" s="31" t="s">
        <v>1068</v>
      </c>
      <c r="BA167" s="24" t="s">
        <v>1080</v>
      </c>
      <c r="BC167" s="30">
        <f>AW167+AX167</f>
        <v>0</v>
      </c>
      <c r="BD167" s="30">
        <f>H167/(100-BE167)*100</f>
        <v>0</v>
      </c>
      <c r="BE167" s="30">
        <v>0</v>
      </c>
      <c r="BF167" s="30">
        <f>167</f>
        <v>167</v>
      </c>
      <c r="BH167" s="14">
        <f>G167*AO167</f>
        <v>0</v>
      </c>
      <c r="BI167" s="14">
        <f>G167*AP167</f>
        <v>0</v>
      </c>
      <c r="BJ167" s="14">
        <f>G167*H167</f>
        <v>0</v>
      </c>
    </row>
    <row r="168" spans="1:62" ht="12.75">
      <c r="A168" s="4" t="s">
        <v>137</v>
      </c>
      <c r="B168" s="4" t="s">
        <v>455</v>
      </c>
      <c r="C168" s="153" t="s">
        <v>795</v>
      </c>
      <c r="D168" s="154"/>
      <c r="E168" s="154"/>
      <c r="F168" s="4" t="s">
        <v>993</v>
      </c>
      <c r="G168" s="64">
        <v>2.46</v>
      </c>
      <c r="H168" s="82">
        <v>0</v>
      </c>
      <c r="I168" s="14">
        <f>G168*AO168</f>
        <v>0</v>
      </c>
      <c r="J168" s="14">
        <f>G168*AP168</f>
        <v>0</v>
      </c>
      <c r="K168" s="14">
        <f>G168*H168</f>
        <v>0</v>
      </c>
      <c r="L168" s="25" t="s">
        <v>1014</v>
      </c>
      <c r="Z168" s="30">
        <f>IF(AQ168="5",BJ168,0)</f>
        <v>0</v>
      </c>
      <c r="AB168" s="30">
        <f>IF(AQ168="1",BH168,0)</f>
        <v>0</v>
      </c>
      <c r="AC168" s="30">
        <f>IF(AQ168="1",BI168,0)</f>
        <v>0</v>
      </c>
      <c r="AD168" s="30">
        <f>IF(AQ168="7",BH168,0)</f>
        <v>0</v>
      </c>
      <c r="AE168" s="30">
        <f>IF(AQ168="7",BI168,0)</f>
        <v>0</v>
      </c>
      <c r="AF168" s="30">
        <f>IF(AQ168="2",BH168,0)</f>
        <v>0</v>
      </c>
      <c r="AG168" s="30">
        <f>IF(AQ168="2",BI168,0)</f>
        <v>0</v>
      </c>
      <c r="AH168" s="30">
        <f>IF(AQ168="0",BJ168,0)</f>
        <v>0</v>
      </c>
      <c r="AI168" s="24" t="s">
        <v>1024</v>
      </c>
      <c r="AJ168" s="14">
        <f>IF(AN168=0,K168,0)</f>
        <v>0</v>
      </c>
      <c r="AK168" s="14">
        <f>IF(AN168=15,K168,0)</f>
        <v>0</v>
      </c>
      <c r="AL168" s="14">
        <f>IF(AN168=21,K168,0)</f>
        <v>0</v>
      </c>
      <c r="AN168" s="30">
        <v>21</v>
      </c>
      <c r="AO168" s="30">
        <f>H168*0.361866666666667</f>
        <v>0</v>
      </c>
      <c r="AP168" s="30">
        <f>H168*(1-0.361866666666667)</f>
        <v>0</v>
      </c>
      <c r="AQ168" s="25" t="s">
        <v>13</v>
      </c>
      <c r="AV168" s="30">
        <f>AW168+AX168</f>
        <v>0</v>
      </c>
      <c r="AW168" s="30">
        <f>G168*AO168</f>
        <v>0</v>
      </c>
      <c r="AX168" s="30">
        <f>G168*AP168</f>
        <v>0</v>
      </c>
      <c r="AY168" s="31" t="s">
        <v>1047</v>
      </c>
      <c r="AZ168" s="31" t="s">
        <v>1068</v>
      </c>
      <c r="BA168" s="24" t="s">
        <v>1080</v>
      </c>
      <c r="BC168" s="30">
        <f>AW168+AX168</f>
        <v>0</v>
      </c>
      <c r="BD168" s="30">
        <f>H168/(100-BE168)*100</f>
        <v>0</v>
      </c>
      <c r="BE168" s="30">
        <v>0</v>
      </c>
      <c r="BF168" s="30">
        <f>168</f>
        <v>168</v>
      </c>
      <c r="BH168" s="14">
        <f>G168*AO168</f>
        <v>0</v>
      </c>
      <c r="BI168" s="14">
        <f>G168*AP168</f>
        <v>0</v>
      </c>
      <c r="BJ168" s="14">
        <f>G168*H168</f>
        <v>0</v>
      </c>
    </row>
    <row r="169" spans="1:62" ht="12.75">
      <c r="A169" s="4" t="s">
        <v>138</v>
      </c>
      <c r="B169" s="4" t="s">
        <v>455</v>
      </c>
      <c r="C169" s="153" t="s">
        <v>1336</v>
      </c>
      <c r="D169" s="154"/>
      <c r="E169" s="154"/>
      <c r="F169" s="4" t="s">
        <v>993</v>
      </c>
      <c r="G169" s="64">
        <v>472.899</v>
      </c>
      <c r="H169" s="82">
        <v>0</v>
      </c>
      <c r="I169" s="14">
        <f>G169*AO169</f>
        <v>0</v>
      </c>
      <c r="J169" s="14">
        <f>G169*AP169</f>
        <v>0</v>
      </c>
      <c r="K169" s="14">
        <f>G169*H169</f>
        <v>0</v>
      </c>
      <c r="L169" s="25" t="s">
        <v>1014</v>
      </c>
      <c r="Z169" s="30">
        <f>IF(AQ169="5",BJ169,0)</f>
        <v>0</v>
      </c>
      <c r="AB169" s="30">
        <f>IF(AQ169="1",BH169,0)</f>
        <v>0</v>
      </c>
      <c r="AC169" s="30">
        <f>IF(AQ169="1",BI169,0)</f>
        <v>0</v>
      </c>
      <c r="AD169" s="30">
        <f>IF(AQ169="7",BH169,0)</f>
        <v>0</v>
      </c>
      <c r="AE169" s="30">
        <f>IF(AQ169="7",BI169,0)</f>
        <v>0</v>
      </c>
      <c r="AF169" s="30">
        <f>IF(AQ169="2",BH169,0)</f>
        <v>0</v>
      </c>
      <c r="AG169" s="30">
        <f>IF(AQ169="2",BI169,0)</f>
        <v>0</v>
      </c>
      <c r="AH169" s="30">
        <f>IF(AQ169="0",BJ169,0)</f>
        <v>0</v>
      </c>
      <c r="AI169" s="24" t="s">
        <v>1024</v>
      </c>
      <c r="AJ169" s="14">
        <f>IF(AN169=0,K169,0)</f>
        <v>0</v>
      </c>
      <c r="AK169" s="14">
        <f>IF(AN169=15,K169,0)</f>
        <v>0</v>
      </c>
      <c r="AL169" s="14">
        <f>IF(AN169=21,K169,0)</f>
        <v>0</v>
      </c>
      <c r="AN169" s="30">
        <v>21</v>
      </c>
      <c r="AO169" s="30">
        <f>H169*0.361866615652727</f>
        <v>0</v>
      </c>
      <c r="AP169" s="30">
        <f>H169*(1-0.361866615652727)</f>
        <v>0</v>
      </c>
      <c r="AQ169" s="25" t="s">
        <v>13</v>
      </c>
      <c r="AV169" s="30">
        <f>AW169+AX169</f>
        <v>0</v>
      </c>
      <c r="AW169" s="30">
        <f>G169*AO169</f>
        <v>0</v>
      </c>
      <c r="AX169" s="30">
        <f>G169*AP169</f>
        <v>0</v>
      </c>
      <c r="AY169" s="31" t="s">
        <v>1047</v>
      </c>
      <c r="AZ169" s="31" t="s">
        <v>1068</v>
      </c>
      <c r="BA169" s="24" t="s">
        <v>1080</v>
      </c>
      <c r="BC169" s="30">
        <f>AW169+AX169</f>
        <v>0</v>
      </c>
      <c r="BD169" s="30">
        <f>H169/(100-BE169)*100</f>
        <v>0</v>
      </c>
      <c r="BE169" s="30">
        <v>0</v>
      </c>
      <c r="BF169" s="30">
        <f>169</f>
        <v>169</v>
      </c>
      <c r="BH169" s="14">
        <f>G169*AO169</f>
        <v>0</v>
      </c>
      <c r="BI169" s="14">
        <f>G169*AP169</f>
        <v>0</v>
      </c>
      <c r="BJ169" s="14">
        <f>G169*H169</f>
        <v>0</v>
      </c>
    </row>
    <row r="170" spans="1:62" ht="12.75">
      <c r="A170" s="4" t="s">
        <v>139</v>
      </c>
      <c r="B170" s="4" t="s">
        <v>456</v>
      </c>
      <c r="C170" s="153" t="s">
        <v>797</v>
      </c>
      <c r="D170" s="154"/>
      <c r="E170" s="154"/>
      <c r="F170" s="4" t="s">
        <v>994</v>
      </c>
      <c r="G170" s="64">
        <v>9.752</v>
      </c>
      <c r="H170" s="82">
        <v>0</v>
      </c>
      <c r="I170" s="14">
        <f>G170*AO170</f>
        <v>0</v>
      </c>
      <c r="J170" s="14">
        <f>G170*AP170</f>
        <v>0</v>
      </c>
      <c r="K170" s="14">
        <f>G170*H170</f>
        <v>0</v>
      </c>
      <c r="L170" s="25" t="s">
        <v>1014</v>
      </c>
      <c r="Z170" s="30">
        <f>IF(AQ170="5",BJ170,0)</f>
        <v>0</v>
      </c>
      <c r="AB170" s="30">
        <f>IF(AQ170="1",BH170,0)</f>
        <v>0</v>
      </c>
      <c r="AC170" s="30">
        <f>IF(AQ170="1",BI170,0)</f>
        <v>0</v>
      </c>
      <c r="AD170" s="30">
        <f>IF(AQ170="7",BH170,0)</f>
        <v>0</v>
      </c>
      <c r="AE170" s="30">
        <f>IF(AQ170="7",BI170,0)</f>
        <v>0</v>
      </c>
      <c r="AF170" s="30">
        <f>IF(AQ170="2",BH170,0)</f>
        <v>0</v>
      </c>
      <c r="AG170" s="30">
        <f>IF(AQ170="2",BI170,0)</f>
        <v>0</v>
      </c>
      <c r="AH170" s="30">
        <f>IF(AQ170="0",BJ170,0)</f>
        <v>0</v>
      </c>
      <c r="AI170" s="24" t="s">
        <v>1024</v>
      </c>
      <c r="AJ170" s="14">
        <f>IF(AN170=0,K170,0)</f>
        <v>0</v>
      </c>
      <c r="AK170" s="14">
        <f>IF(AN170=15,K170,0)</f>
        <v>0</v>
      </c>
      <c r="AL170" s="14">
        <f>IF(AN170=21,K170,0)</f>
        <v>0</v>
      </c>
      <c r="AN170" s="30">
        <v>21</v>
      </c>
      <c r="AO170" s="30">
        <f>H170*0</f>
        <v>0</v>
      </c>
      <c r="AP170" s="30">
        <f>H170*(1-0)</f>
        <v>0</v>
      </c>
      <c r="AQ170" s="25" t="s">
        <v>11</v>
      </c>
      <c r="AV170" s="30">
        <f>AW170+AX170</f>
        <v>0</v>
      </c>
      <c r="AW170" s="30">
        <f>G170*AO170</f>
        <v>0</v>
      </c>
      <c r="AX170" s="30">
        <f>G170*AP170</f>
        <v>0</v>
      </c>
      <c r="AY170" s="31" t="s">
        <v>1047</v>
      </c>
      <c r="AZ170" s="31" t="s">
        <v>1068</v>
      </c>
      <c r="BA170" s="24" t="s">
        <v>1080</v>
      </c>
      <c r="BC170" s="30">
        <f>AW170+AX170</f>
        <v>0</v>
      </c>
      <c r="BD170" s="30">
        <f>H170/(100-BE170)*100</f>
        <v>0</v>
      </c>
      <c r="BE170" s="30">
        <v>0</v>
      </c>
      <c r="BF170" s="30">
        <f>170</f>
        <v>170</v>
      </c>
      <c r="BH170" s="14">
        <f>G170*AO170</f>
        <v>0</v>
      </c>
      <c r="BI170" s="14">
        <f>G170*AP170</f>
        <v>0</v>
      </c>
      <c r="BJ170" s="14">
        <f>G170*H170</f>
        <v>0</v>
      </c>
    </row>
    <row r="171" spans="1:47" ht="12.75">
      <c r="A171" s="3"/>
      <c r="B171" s="11" t="s">
        <v>457</v>
      </c>
      <c r="C171" s="151" t="s">
        <v>798</v>
      </c>
      <c r="D171" s="152"/>
      <c r="E171" s="152"/>
      <c r="F171" s="3" t="s">
        <v>6</v>
      </c>
      <c r="G171" s="3" t="s">
        <v>6</v>
      </c>
      <c r="H171" s="3" t="s">
        <v>6</v>
      </c>
      <c r="I171" s="32">
        <f>SUM(I172:I178)</f>
        <v>0</v>
      </c>
      <c r="J171" s="32">
        <f>SUM(J172:J178)</f>
        <v>0</v>
      </c>
      <c r="K171" s="32">
        <f>SUM(K172:K178)</f>
        <v>0</v>
      </c>
      <c r="L171" s="24"/>
      <c r="AI171" s="24" t="s">
        <v>1024</v>
      </c>
      <c r="AS171" s="32">
        <f>SUM(AJ172:AJ178)</f>
        <v>0</v>
      </c>
      <c r="AT171" s="32">
        <f>SUM(AK172:AK178)</f>
        <v>0</v>
      </c>
      <c r="AU171" s="32">
        <f>SUM(AL172:AL178)</f>
        <v>0</v>
      </c>
    </row>
    <row r="172" spans="1:62" ht="12.75">
      <c r="A172" s="4" t="s">
        <v>140</v>
      </c>
      <c r="B172" s="4" t="s">
        <v>458</v>
      </c>
      <c r="C172" s="153" t="s">
        <v>799</v>
      </c>
      <c r="D172" s="154"/>
      <c r="E172" s="154"/>
      <c r="F172" s="4" t="s">
        <v>993</v>
      </c>
      <c r="G172" s="64">
        <v>472.899</v>
      </c>
      <c r="H172" s="82">
        <v>0</v>
      </c>
      <c r="I172" s="14">
        <f aca="true" t="shared" si="112" ref="I172:I178">G172*AO172</f>
        <v>0</v>
      </c>
      <c r="J172" s="14">
        <f aca="true" t="shared" si="113" ref="J172:J178">G172*AP172</f>
        <v>0</v>
      </c>
      <c r="K172" s="14">
        <f aca="true" t="shared" si="114" ref="K172:K178">G172*H172</f>
        <v>0</v>
      </c>
      <c r="L172" s="25" t="s">
        <v>1014</v>
      </c>
      <c r="Z172" s="30">
        <f aca="true" t="shared" si="115" ref="Z172:Z178">IF(AQ172="5",BJ172,0)</f>
        <v>0</v>
      </c>
      <c r="AB172" s="30">
        <f aca="true" t="shared" si="116" ref="AB172:AB178">IF(AQ172="1",BH172,0)</f>
        <v>0</v>
      </c>
      <c r="AC172" s="30">
        <f aca="true" t="shared" si="117" ref="AC172:AC178">IF(AQ172="1",BI172,0)</f>
        <v>0</v>
      </c>
      <c r="AD172" s="30">
        <f aca="true" t="shared" si="118" ref="AD172:AD178">IF(AQ172="7",BH172,0)</f>
        <v>0</v>
      </c>
      <c r="AE172" s="30">
        <f aca="true" t="shared" si="119" ref="AE172:AE178">IF(AQ172="7",BI172,0)</f>
        <v>0</v>
      </c>
      <c r="AF172" s="30">
        <f aca="true" t="shared" si="120" ref="AF172:AF178">IF(AQ172="2",BH172,0)</f>
        <v>0</v>
      </c>
      <c r="AG172" s="30">
        <f aca="true" t="shared" si="121" ref="AG172:AG178">IF(AQ172="2",BI172,0)</f>
        <v>0</v>
      </c>
      <c r="AH172" s="30">
        <f aca="true" t="shared" si="122" ref="AH172:AH178">IF(AQ172="0",BJ172,0)</f>
        <v>0</v>
      </c>
      <c r="AI172" s="24" t="s">
        <v>1024</v>
      </c>
      <c r="AJ172" s="14">
        <f aca="true" t="shared" si="123" ref="AJ172:AJ178">IF(AN172=0,K172,0)</f>
        <v>0</v>
      </c>
      <c r="AK172" s="14">
        <f aca="true" t="shared" si="124" ref="AK172:AK178">IF(AN172=15,K172,0)</f>
        <v>0</v>
      </c>
      <c r="AL172" s="14">
        <f aca="true" t="shared" si="125" ref="AL172:AL178">IF(AN172=21,K172,0)</f>
        <v>0</v>
      </c>
      <c r="AN172" s="30">
        <v>21</v>
      </c>
      <c r="AO172" s="30">
        <f>H172*0</f>
        <v>0</v>
      </c>
      <c r="AP172" s="30">
        <f>H172*(1-0)</f>
        <v>0</v>
      </c>
      <c r="AQ172" s="25" t="s">
        <v>13</v>
      </c>
      <c r="AV172" s="30">
        <f aca="true" t="shared" si="126" ref="AV172:AV178">AW172+AX172</f>
        <v>0</v>
      </c>
      <c r="AW172" s="30">
        <f aca="true" t="shared" si="127" ref="AW172:AW178">G172*AO172</f>
        <v>0</v>
      </c>
      <c r="AX172" s="30">
        <f aca="true" t="shared" si="128" ref="AX172:AX178">G172*AP172</f>
        <v>0</v>
      </c>
      <c r="AY172" s="31" t="s">
        <v>1048</v>
      </c>
      <c r="AZ172" s="31" t="s">
        <v>1068</v>
      </c>
      <c r="BA172" s="24" t="s">
        <v>1080</v>
      </c>
      <c r="BC172" s="30">
        <f aca="true" t="shared" si="129" ref="BC172:BC178">AW172+AX172</f>
        <v>0</v>
      </c>
      <c r="BD172" s="30">
        <f aca="true" t="shared" si="130" ref="BD172:BD178">H172/(100-BE172)*100</f>
        <v>0</v>
      </c>
      <c r="BE172" s="30">
        <v>0</v>
      </c>
      <c r="BF172" s="30">
        <f>172</f>
        <v>172</v>
      </c>
      <c r="BH172" s="14">
        <f aca="true" t="shared" si="131" ref="BH172:BH178">G172*AO172</f>
        <v>0</v>
      </c>
      <c r="BI172" s="14">
        <f aca="true" t="shared" si="132" ref="BI172:BI178">G172*AP172</f>
        <v>0</v>
      </c>
      <c r="BJ172" s="14">
        <f aca="true" t="shared" si="133" ref="BJ172:BJ178">G172*H172</f>
        <v>0</v>
      </c>
    </row>
    <row r="173" spans="1:62" ht="12.75">
      <c r="A173" s="4" t="s">
        <v>141</v>
      </c>
      <c r="B173" s="4" t="s">
        <v>459</v>
      </c>
      <c r="C173" s="153" t="s">
        <v>1338</v>
      </c>
      <c r="D173" s="154"/>
      <c r="E173" s="154"/>
      <c r="F173" s="4" t="s">
        <v>993</v>
      </c>
      <c r="G173" s="64">
        <v>46.035</v>
      </c>
      <c r="H173" s="82">
        <v>0</v>
      </c>
      <c r="I173" s="14">
        <f t="shared" si="112"/>
        <v>0</v>
      </c>
      <c r="J173" s="14">
        <f t="shared" si="113"/>
        <v>0</v>
      </c>
      <c r="K173" s="14">
        <f t="shared" si="114"/>
        <v>0</v>
      </c>
      <c r="L173" s="25" t="s">
        <v>1014</v>
      </c>
      <c r="Z173" s="30">
        <f t="shared" si="115"/>
        <v>0</v>
      </c>
      <c r="AB173" s="30">
        <f t="shared" si="116"/>
        <v>0</v>
      </c>
      <c r="AC173" s="30">
        <f t="shared" si="117"/>
        <v>0</v>
      </c>
      <c r="AD173" s="30">
        <f t="shared" si="118"/>
        <v>0</v>
      </c>
      <c r="AE173" s="30">
        <f t="shared" si="119"/>
        <v>0</v>
      </c>
      <c r="AF173" s="30">
        <f t="shared" si="120"/>
        <v>0</v>
      </c>
      <c r="AG173" s="30">
        <f t="shared" si="121"/>
        <v>0</v>
      </c>
      <c r="AH173" s="30">
        <f t="shared" si="122"/>
        <v>0</v>
      </c>
      <c r="AI173" s="24" t="s">
        <v>1024</v>
      </c>
      <c r="AJ173" s="14">
        <f t="shared" si="123"/>
        <v>0</v>
      </c>
      <c r="AK173" s="14">
        <f t="shared" si="124"/>
        <v>0</v>
      </c>
      <c r="AL173" s="14">
        <f t="shared" si="125"/>
        <v>0</v>
      </c>
      <c r="AN173" s="30">
        <v>21</v>
      </c>
      <c r="AO173" s="30">
        <f>H173*0</f>
        <v>0</v>
      </c>
      <c r="AP173" s="30">
        <f>H173*(1-0)</f>
        <v>0</v>
      </c>
      <c r="AQ173" s="25" t="s">
        <v>13</v>
      </c>
      <c r="AV173" s="30">
        <f t="shared" si="126"/>
        <v>0</v>
      </c>
      <c r="AW173" s="30">
        <f t="shared" si="127"/>
        <v>0</v>
      </c>
      <c r="AX173" s="30">
        <f t="shared" si="128"/>
        <v>0</v>
      </c>
      <c r="AY173" s="31" t="s">
        <v>1048</v>
      </c>
      <c r="AZ173" s="31" t="s">
        <v>1068</v>
      </c>
      <c r="BA173" s="24" t="s">
        <v>1080</v>
      </c>
      <c r="BC173" s="30">
        <f t="shared" si="129"/>
        <v>0</v>
      </c>
      <c r="BD173" s="30">
        <f t="shared" si="130"/>
        <v>0</v>
      </c>
      <c r="BE173" s="30">
        <v>0</v>
      </c>
      <c r="BF173" s="30">
        <f>173</f>
        <v>173</v>
      </c>
      <c r="BH173" s="14">
        <f t="shared" si="131"/>
        <v>0</v>
      </c>
      <c r="BI173" s="14">
        <f t="shared" si="132"/>
        <v>0</v>
      </c>
      <c r="BJ173" s="14">
        <f t="shared" si="133"/>
        <v>0</v>
      </c>
    </row>
    <row r="174" spans="1:62" ht="12.75">
      <c r="A174" s="5" t="s">
        <v>142</v>
      </c>
      <c r="B174" s="5" t="s">
        <v>460</v>
      </c>
      <c r="C174" s="157" t="s">
        <v>1339</v>
      </c>
      <c r="D174" s="157"/>
      <c r="E174" s="157"/>
      <c r="F174" s="5" t="s">
        <v>993</v>
      </c>
      <c r="G174" s="67">
        <v>48.337</v>
      </c>
      <c r="H174" s="84">
        <v>0</v>
      </c>
      <c r="I174" s="15">
        <f t="shared" si="112"/>
        <v>0</v>
      </c>
      <c r="J174" s="15">
        <f t="shared" si="113"/>
        <v>0</v>
      </c>
      <c r="K174" s="15">
        <f t="shared" si="114"/>
        <v>0</v>
      </c>
      <c r="L174" s="26" t="s">
        <v>1014</v>
      </c>
      <c r="Z174" s="30">
        <f t="shared" si="115"/>
        <v>0</v>
      </c>
      <c r="AB174" s="30">
        <f t="shared" si="116"/>
        <v>0</v>
      </c>
      <c r="AC174" s="30">
        <f t="shared" si="117"/>
        <v>0</v>
      </c>
      <c r="AD174" s="30">
        <f t="shared" si="118"/>
        <v>0</v>
      </c>
      <c r="AE174" s="30">
        <f t="shared" si="119"/>
        <v>0</v>
      </c>
      <c r="AF174" s="30">
        <f t="shared" si="120"/>
        <v>0</v>
      </c>
      <c r="AG174" s="30">
        <f t="shared" si="121"/>
        <v>0</v>
      </c>
      <c r="AH174" s="30">
        <f t="shared" si="122"/>
        <v>0</v>
      </c>
      <c r="AI174" s="24" t="s">
        <v>1024</v>
      </c>
      <c r="AJ174" s="15">
        <f t="shared" si="123"/>
        <v>0</v>
      </c>
      <c r="AK174" s="15">
        <f t="shared" si="124"/>
        <v>0</v>
      </c>
      <c r="AL174" s="15">
        <f t="shared" si="125"/>
        <v>0</v>
      </c>
      <c r="AN174" s="30">
        <v>21</v>
      </c>
      <c r="AO174" s="30">
        <f>H174*1</f>
        <v>0</v>
      </c>
      <c r="AP174" s="30">
        <f>H174*(1-1)</f>
        <v>0</v>
      </c>
      <c r="AQ174" s="26" t="s">
        <v>13</v>
      </c>
      <c r="AV174" s="30">
        <f t="shared" si="126"/>
        <v>0</v>
      </c>
      <c r="AW174" s="30">
        <f t="shared" si="127"/>
        <v>0</v>
      </c>
      <c r="AX174" s="30">
        <f t="shared" si="128"/>
        <v>0</v>
      </c>
      <c r="AY174" s="31" t="s">
        <v>1048</v>
      </c>
      <c r="AZ174" s="31" t="s">
        <v>1068</v>
      </c>
      <c r="BA174" s="24" t="s">
        <v>1080</v>
      </c>
      <c r="BC174" s="30">
        <f t="shared" si="129"/>
        <v>0</v>
      </c>
      <c r="BD174" s="30">
        <f t="shared" si="130"/>
        <v>0</v>
      </c>
      <c r="BE174" s="30">
        <v>0</v>
      </c>
      <c r="BF174" s="30">
        <f>174</f>
        <v>174</v>
      </c>
      <c r="BH174" s="15">
        <f t="shared" si="131"/>
        <v>0</v>
      </c>
      <c r="BI174" s="15">
        <f t="shared" si="132"/>
        <v>0</v>
      </c>
      <c r="BJ174" s="15">
        <f t="shared" si="133"/>
        <v>0</v>
      </c>
    </row>
    <row r="175" spans="1:62" ht="12.75">
      <c r="A175" s="4" t="s">
        <v>143</v>
      </c>
      <c r="B175" s="4" t="s">
        <v>461</v>
      </c>
      <c r="C175" s="153" t="s">
        <v>802</v>
      </c>
      <c r="D175" s="153"/>
      <c r="E175" s="153"/>
      <c r="F175" s="4" t="s">
        <v>993</v>
      </c>
      <c r="G175" s="64">
        <v>472.899</v>
      </c>
      <c r="H175" s="82">
        <v>0</v>
      </c>
      <c r="I175" s="14">
        <f t="shared" si="112"/>
        <v>0</v>
      </c>
      <c r="J175" s="14">
        <f t="shared" si="113"/>
        <v>0</v>
      </c>
      <c r="K175" s="14">
        <f t="shared" si="114"/>
        <v>0</v>
      </c>
      <c r="L175" s="25" t="s">
        <v>1014</v>
      </c>
      <c r="Z175" s="30">
        <f t="shared" si="115"/>
        <v>0</v>
      </c>
      <c r="AB175" s="30">
        <f t="shared" si="116"/>
        <v>0</v>
      </c>
      <c r="AC175" s="30">
        <f t="shared" si="117"/>
        <v>0</v>
      </c>
      <c r="AD175" s="30">
        <f t="shared" si="118"/>
        <v>0</v>
      </c>
      <c r="AE175" s="30">
        <f t="shared" si="119"/>
        <v>0</v>
      </c>
      <c r="AF175" s="30">
        <f t="shared" si="120"/>
        <v>0</v>
      </c>
      <c r="AG175" s="30">
        <f t="shared" si="121"/>
        <v>0</v>
      </c>
      <c r="AH175" s="30">
        <f t="shared" si="122"/>
        <v>0</v>
      </c>
      <c r="AI175" s="24" t="s">
        <v>1024</v>
      </c>
      <c r="AJ175" s="14">
        <f t="shared" si="123"/>
        <v>0</v>
      </c>
      <c r="AK175" s="14">
        <f t="shared" si="124"/>
        <v>0</v>
      </c>
      <c r="AL175" s="14">
        <f t="shared" si="125"/>
        <v>0</v>
      </c>
      <c r="AN175" s="30">
        <v>21</v>
      </c>
      <c r="AO175" s="30">
        <f>H175*0.383690959266637</f>
        <v>0</v>
      </c>
      <c r="AP175" s="30">
        <f>H175*(1-0.383690959266637)</f>
        <v>0</v>
      </c>
      <c r="AQ175" s="25" t="s">
        <v>13</v>
      </c>
      <c r="AV175" s="30">
        <f t="shared" si="126"/>
        <v>0</v>
      </c>
      <c r="AW175" s="30">
        <f t="shared" si="127"/>
        <v>0</v>
      </c>
      <c r="AX175" s="30">
        <f t="shared" si="128"/>
        <v>0</v>
      </c>
      <c r="AY175" s="31" t="s">
        <v>1048</v>
      </c>
      <c r="AZ175" s="31" t="s">
        <v>1068</v>
      </c>
      <c r="BA175" s="24" t="s">
        <v>1080</v>
      </c>
      <c r="BC175" s="30">
        <f t="shared" si="129"/>
        <v>0</v>
      </c>
      <c r="BD175" s="30">
        <f t="shared" si="130"/>
        <v>0</v>
      </c>
      <c r="BE175" s="30">
        <v>0</v>
      </c>
      <c r="BF175" s="30">
        <f>175</f>
        <v>175</v>
      </c>
      <c r="BH175" s="14">
        <f t="shared" si="131"/>
        <v>0</v>
      </c>
      <c r="BI175" s="14">
        <f t="shared" si="132"/>
        <v>0</v>
      </c>
      <c r="BJ175" s="14">
        <f t="shared" si="133"/>
        <v>0</v>
      </c>
    </row>
    <row r="176" spans="1:62" ht="12.75">
      <c r="A176" s="4" t="s">
        <v>144</v>
      </c>
      <c r="B176" s="4" t="s">
        <v>462</v>
      </c>
      <c r="C176" s="153" t="s">
        <v>1337</v>
      </c>
      <c r="D176" s="154"/>
      <c r="E176" s="154"/>
      <c r="F176" s="4" t="s">
        <v>993</v>
      </c>
      <c r="G176" s="64">
        <v>472.899</v>
      </c>
      <c r="H176" s="82">
        <v>0</v>
      </c>
      <c r="I176" s="14">
        <f t="shared" si="112"/>
        <v>0</v>
      </c>
      <c r="J176" s="14">
        <f t="shared" si="113"/>
        <v>0</v>
      </c>
      <c r="K176" s="14">
        <f t="shared" si="114"/>
        <v>0</v>
      </c>
      <c r="L176" s="25" t="s">
        <v>1014</v>
      </c>
      <c r="Z176" s="30">
        <f t="shared" si="115"/>
        <v>0</v>
      </c>
      <c r="AB176" s="30">
        <f t="shared" si="116"/>
        <v>0</v>
      </c>
      <c r="AC176" s="30">
        <f t="shared" si="117"/>
        <v>0</v>
      </c>
      <c r="AD176" s="30">
        <f t="shared" si="118"/>
        <v>0</v>
      </c>
      <c r="AE176" s="30">
        <f t="shared" si="119"/>
        <v>0</v>
      </c>
      <c r="AF176" s="30">
        <f t="shared" si="120"/>
        <v>0</v>
      </c>
      <c r="AG176" s="30">
        <f t="shared" si="121"/>
        <v>0</v>
      </c>
      <c r="AH176" s="30">
        <f t="shared" si="122"/>
        <v>0</v>
      </c>
      <c r="AI176" s="24" t="s">
        <v>1024</v>
      </c>
      <c r="AJ176" s="14">
        <f t="shared" si="123"/>
        <v>0</v>
      </c>
      <c r="AK176" s="14">
        <f t="shared" si="124"/>
        <v>0</v>
      </c>
      <c r="AL176" s="14">
        <f t="shared" si="125"/>
        <v>0</v>
      </c>
      <c r="AN176" s="30">
        <v>21</v>
      </c>
      <c r="AO176" s="30">
        <f>H176*0.306309518668832</f>
        <v>0</v>
      </c>
      <c r="AP176" s="30">
        <f>H176*(1-0.306309518668832)</f>
        <v>0</v>
      </c>
      <c r="AQ176" s="25" t="s">
        <v>13</v>
      </c>
      <c r="AV176" s="30">
        <f t="shared" si="126"/>
        <v>0</v>
      </c>
      <c r="AW176" s="30">
        <f t="shared" si="127"/>
        <v>0</v>
      </c>
      <c r="AX176" s="30">
        <f t="shared" si="128"/>
        <v>0</v>
      </c>
      <c r="AY176" s="31" t="s">
        <v>1048</v>
      </c>
      <c r="AZ176" s="31" t="s">
        <v>1068</v>
      </c>
      <c r="BA176" s="24" t="s">
        <v>1080</v>
      </c>
      <c r="BC176" s="30">
        <f t="shared" si="129"/>
        <v>0</v>
      </c>
      <c r="BD176" s="30">
        <f t="shared" si="130"/>
        <v>0</v>
      </c>
      <c r="BE176" s="30">
        <v>0</v>
      </c>
      <c r="BF176" s="30">
        <f>176</f>
        <v>176</v>
      </c>
      <c r="BH176" s="14">
        <f t="shared" si="131"/>
        <v>0</v>
      </c>
      <c r="BI176" s="14">
        <f t="shared" si="132"/>
        <v>0</v>
      </c>
      <c r="BJ176" s="14">
        <f t="shared" si="133"/>
        <v>0</v>
      </c>
    </row>
    <row r="177" spans="1:62" ht="12.75">
      <c r="A177" s="5" t="s">
        <v>145</v>
      </c>
      <c r="B177" s="5" t="s">
        <v>460</v>
      </c>
      <c r="C177" s="157" t="s">
        <v>801</v>
      </c>
      <c r="D177" s="158"/>
      <c r="E177" s="158"/>
      <c r="F177" s="5" t="s">
        <v>993</v>
      </c>
      <c r="G177" s="67">
        <v>496.544</v>
      </c>
      <c r="H177" s="84">
        <v>0</v>
      </c>
      <c r="I177" s="15">
        <f t="shared" si="112"/>
        <v>0</v>
      </c>
      <c r="J177" s="15">
        <f t="shared" si="113"/>
        <v>0</v>
      </c>
      <c r="K177" s="15">
        <f t="shared" si="114"/>
        <v>0</v>
      </c>
      <c r="L177" s="26" t="s">
        <v>1014</v>
      </c>
      <c r="Z177" s="30">
        <f t="shared" si="115"/>
        <v>0</v>
      </c>
      <c r="AB177" s="30">
        <f t="shared" si="116"/>
        <v>0</v>
      </c>
      <c r="AC177" s="30">
        <f t="shared" si="117"/>
        <v>0</v>
      </c>
      <c r="AD177" s="30">
        <f t="shared" si="118"/>
        <v>0</v>
      </c>
      <c r="AE177" s="30">
        <f t="shared" si="119"/>
        <v>0</v>
      </c>
      <c r="AF177" s="30">
        <f t="shared" si="120"/>
        <v>0</v>
      </c>
      <c r="AG177" s="30">
        <f t="shared" si="121"/>
        <v>0</v>
      </c>
      <c r="AH177" s="30">
        <f t="shared" si="122"/>
        <v>0</v>
      </c>
      <c r="AI177" s="24" t="s">
        <v>1024</v>
      </c>
      <c r="AJ177" s="15">
        <f t="shared" si="123"/>
        <v>0</v>
      </c>
      <c r="AK177" s="15">
        <f t="shared" si="124"/>
        <v>0</v>
      </c>
      <c r="AL177" s="15">
        <f t="shared" si="125"/>
        <v>0</v>
      </c>
      <c r="AN177" s="30">
        <v>21</v>
      </c>
      <c r="AO177" s="30">
        <f>H177*1</f>
        <v>0</v>
      </c>
      <c r="AP177" s="30">
        <f>H177*(1-1)</f>
        <v>0</v>
      </c>
      <c r="AQ177" s="26" t="s">
        <v>13</v>
      </c>
      <c r="AV177" s="30">
        <f t="shared" si="126"/>
        <v>0</v>
      </c>
      <c r="AW177" s="30">
        <f t="shared" si="127"/>
        <v>0</v>
      </c>
      <c r="AX177" s="30">
        <f t="shared" si="128"/>
        <v>0</v>
      </c>
      <c r="AY177" s="31" t="s">
        <v>1048</v>
      </c>
      <c r="AZ177" s="31" t="s">
        <v>1068</v>
      </c>
      <c r="BA177" s="24" t="s">
        <v>1080</v>
      </c>
      <c r="BC177" s="30">
        <f t="shared" si="129"/>
        <v>0</v>
      </c>
      <c r="BD177" s="30">
        <f t="shared" si="130"/>
        <v>0</v>
      </c>
      <c r="BE177" s="30">
        <v>0</v>
      </c>
      <c r="BF177" s="30">
        <f>177</f>
        <v>177</v>
      </c>
      <c r="BH177" s="15">
        <f t="shared" si="131"/>
        <v>0</v>
      </c>
      <c r="BI177" s="15">
        <f t="shared" si="132"/>
        <v>0</v>
      </c>
      <c r="BJ177" s="15">
        <f t="shared" si="133"/>
        <v>0</v>
      </c>
    </row>
    <row r="178" spans="1:62" ht="12.75">
      <c r="A178" s="4" t="s">
        <v>146</v>
      </c>
      <c r="B178" s="4" t="s">
        <v>463</v>
      </c>
      <c r="C178" s="153" t="s">
        <v>804</v>
      </c>
      <c r="D178" s="154"/>
      <c r="E178" s="154"/>
      <c r="F178" s="4" t="s">
        <v>994</v>
      </c>
      <c r="G178" s="64">
        <v>14.05</v>
      </c>
      <c r="H178" s="82">
        <v>0</v>
      </c>
      <c r="I178" s="14">
        <f t="shared" si="112"/>
        <v>0</v>
      </c>
      <c r="J178" s="14">
        <f t="shared" si="113"/>
        <v>0</v>
      </c>
      <c r="K178" s="14">
        <f t="shared" si="114"/>
        <v>0</v>
      </c>
      <c r="L178" s="25" t="s">
        <v>1014</v>
      </c>
      <c r="Z178" s="30">
        <f t="shared" si="115"/>
        <v>0</v>
      </c>
      <c r="AB178" s="30">
        <f t="shared" si="116"/>
        <v>0</v>
      </c>
      <c r="AC178" s="30">
        <f t="shared" si="117"/>
        <v>0</v>
      </c>
      <c r="AD178" s="30">
        <f t="shared" si="118"/>
        <v>0</v>
      </c>
      <c r="AE178" s="30">
        <f t="shared" si="119"/>
        <v>0</v>
      </c>
      <c r="AF178" s="30">
        <f t="shared" si="120"/>
        <v>0</v>
      </c>
      <c r="AG178" s="30">
        <f t="shared" si="121"/>
        <v>0</v>
      </c>
      <c r="AH178" s="30">
        <f t="shared" si="122"/>
        <v>0</v>
      </c>
      <c r="AI178" s="24" t="s">
        <v>1024</v>
      </c>
      <c r="AJ178" s="14">
        <f t="shared" si="123"/>
        <v>0</v>
      </c>
      <c r="AK178" s="14">
        <f t="shared" si="124"/>
        <v>0</v>
      </c>
      <c r="AL178" s="14">
        <f t="shared" si="125"/>
        <v>0</v>
      </c>
      <c r="AN178" s="30">
        <v>21</v>
      </c>
      <c r="AO178" s="30">
        <f>H178*0</f>
        <v>0</v>
      </c>
      <c r="AP178" s="30">
        <f>H178*(1-0)</f>
        <v>0</v>
      </c>
      <c r="AQ178" s="25" t="s">
        <v>11</v>
      </c>
      <c r="AV178" s="30">
        <f t="shared" si="126"/>
        <v>0</v>
      </c>
      <c r="AW178" s="30">
        <f t="shared" si="127"/>
        <v>0</v>
      </c>
      <c r="AX178" s="30">
        <f t="shared" si="128"/>
        <v>0</v>
      </c>
      <c r="AY178" s="31" t="s">
        <v>1048</v>
      </c>
      <c r="AZ178" s="31" t="s">
        <v>1068</v>
      </c>
      <c r="BA178" s="24" t="s">
        <v>1080</v>
      </c>
      <c r="BC178" s="30">
        <f t="shared" si="129"/>
        <v>0</v>
      </c>
      <c r="BD178" s="30">
        <f t="shared" si="130"/>
        <v>0</v>
      </c>
      <c r="BE178" s="30">
        <v>0</v>
      </c>
      <c r="BF178" s="30">
        <f>178</f>
        <v>178</v>
      </c>
      <c r="BH178" s="14">
        <f t="shared" si="131"/>
        <v>0</v>
      </c>
      <c r="BI178" s="14">
        <f t="shared" si="132"/>
        <v>0</v>
      </c>
      <c r="BJ178" s="14">
        <f t="shared" si="133"/>
        <v>0</v>
      </c>
    </row>
    <row r="179" spans="1:47" ht="12.75">
      <c r="A179" s="3"/>
      <c r="B179" s="11" t="s">
        <v>464</v>
      </c>
      <c r="C179" s="151" t="s">
        <v>805</v>
      </c>
      <c r="D179" s="152"/>
      <c r="E179" s="152"/>
      <c r="F179" s="3" t="s">
        <v>6</v>
      </c>
      <c r="G179" s="3" t="s">
        <v>6</v>
      </c>
      <c r="H179" s="3" t="s">
        <v>6</v>
      </c>
      <c r="I179" s="32">
        <f>SUM(I180:I184)</f>
        <v>0</v>
      </c>
      <c r="J179" s="32">
        <f>SUM(J180:J184)</f>
        <v>0</v>
      </c>
      <c r="K179" s="32">
        <f>SUM(K180:K184)</f>
        <v>0</v>
      </c>
      <c r="L179" s="24"/>
      <c r="AI179" s="24" t="s">
        <v>1024</v>
      </c>
      <c r="AS179" s="32">
        <f>SUM(AJ180:AJ184)</f>
        <v>0</v>
      </c>
      <c r="AT179" s="32">
        <f>SUM(AK180:AK184)</f>
        <v>0</v>
      </c>
      <c r="AU179" s="32">
        <f>SUM(AL180:AL184)</f>
        <v>0</v>
      </c>
    </row>
    <row r="180" spans="1:62" ht="12.75">
      <c r="A180" s="4" t="s">
        <v>147</v>
      </c>
      <c r="B180" s="4" t="s">
        <v>465</v>
      </c>
      <c r="C180" s="153" t="s">
        <v>806</v>
      </c>
      <c r="D180" s="154"/>
      <c r="E180" s="154"/>
      <c r="F180" s="4" t="s">
        <v>996</v>
      </c>
      <c r="G180" s="64">
        <v>30</v>
      </c>
      <c r="H180" s="82">
        <v>0</v>
      </c>
      <c r="I180" s="14">
        <f>G180*AO180</f>
        <v>0</v>
      </c>
      <c r="J180" s="14">
        <f>G180*AP180</f>
        <v>0</v>
      </c>
      <c r="K180" s="14">
        <f>G180*H180</f>
        <v>0</v>
      </c>
      <c r="L180" s="25" t="s">
        <v>1014</v>
      </c>
      <c r="Z180" s="30">
        <f>IF(AQ180="5",BJ180,0)</f>
        <v>0</v>
      </c>
      <c r="AB180" s="30">
        <f>IF(AQ180="1",BH180,0)</f>
        <v>0</v>
      </c>
      <c r="AC180" s="30">
        <f>IF(AQ180="1",BI180,0)</f>
        <v>0</v>
      </c>
      <c r="AD180" s="30">
        <f>IF(AQ180="7",BH180,0)</f>
        <v>0</v>
      </c>
      <c r="AE180" s="30">
        <f>IF(AQ180="7",BI180,0)</f>
        <v>0</v>
      </c>
      <c r="AF180" s="30">
        <f>IF(AQ180="2",BH180,0)</f>
        <v>0</v>
      </c>
      <c r="AG180" s="30">
        <f>IF(AQ180="2",BI180,0)</f>
        <v>0</v>
      </c>
      <c r="AH180" s="30">
        <f>IF(AQ180="0",BJ180,0)</f>
        <v>0</v>
      </c>
      <c r="AI180" s="24" t="s">
        <v>1024</v>
      </c>
      <c r="AJ180" s="14">
        <f>IF(AN180=0,K180,0)</f>
        <v>0</v>
      </c>
      <c r="AK180" s="14">
        <f>IF(AN180=15,K180,0)</f>
        <v>0</v>
      </c>
      <c r="AL180" s="14">
        <f>IF(AN180=21,K180,0)</f>
        <v>0</v>
      </c>
      <c r="AN180" s="30">
        <v>21</v>
      </c>
      <c r="AO180" s="30">
        <f>H180*0</f>
        <v>0</v>
      </c>
      <c r="AP180" s="30">
        <f>H180*(1-0)</f>
        <v>0</v>
      </c>
      <c r="AQ180" s="25" t="s">
        <v>13</v>
      </c>
      <c r="AV180" s="30">
        <f>AW180+AX180</f>
        <v>0</v>
      </c>
      <c r="AW180" s="30">
        <f>G180*AO180</f>
        <v>0</v>
      </c>
      <c r="AX180" s="30">
        <f>G180*AP180</f>
        <v>0</v>
      </c>
      <c r="AY180" s="31" t="s">
        <v>1049</v>
      </c>
      <c r="AZ180" s="31" t="s">
        <v>1069</v>
      </c>
      <c r="BA180" s="24" t="s">
        <v>1080</v>
      </c>
      <c r="BC180" s="30">
        <f>AW180+AX180</f>
        <v>0</v>
      </c>
      <c r="BD180" s="30">
        <f>H180/(100-BE180)*100</f>
        <v>0</v>
      </c>
      <c r="BE180" s="30">
        <v>0</v>
      </c>
      <c r="BF180" s="30">
        <f>180</f>
        <v>180</v>
      </c>
      <c r="BH180" s="14">
        <f>G180*AO180</f>
        <v>0</v>
      </c>
      <c r="BI180" s="14">
        <f>G180*AP180</f>
        <v>0</v>
      </c>
      <c r="BJ180" s="14">
        <f>G180*H180</f>
        <v>0</v>
      </c>
    </row>
    <row r="181" spans="1:62" ht="12.75">
      <c r="A181" s="4" t="s">
        <v>148</v>
      </c>
      <c r="B181" s="4" t="s">
        <v>466</v>
      </c>
      <c r="C181" s="153" t="s">
        <v>807</v>
      </c>
      <c r="D181" s="154"/>
      <c r="E181" s="154"/>
      <c r="F181" s="4" t="s">
        <v>996</v>
      </c>
      <c r="G181" s="64">
        <v>30</v>
      </c>
      <c r="H181" s="82">
        <v>0</v>
      </c>
      <c r="I181" s="14">
        <f>G181*AO181</f>
        <v>0</v>
      </c>
      <c r="J181" s="14">
        <f>G181*AP181</f>
        <v>0</v>
      </c>
      <c r="K181" s="14">
        <f>G181*H181</f>
        <v>0</v>
      </c>
      <c r="L181" s="25" t="s">
        <v>1014</v>
      </c>
      <c r="Z181" s="30">
        <f>IF(AQ181="5",BJ181,0)</f>
        <v>0</v>
      </c>
      <c r="AB181" s="30">
        <f>IF(AQ181="1",BH181,0)</f>
        <v>0</v>
      </c>
      <c r="AC181" s="30">
        <f>IF(AQ181="1",BI181,0)</f>
        <v>0</v>
      </c>
      <c r="AD181" s="30">
        <f>IF(AQ181="7",BH181,0)</f>
        <v>0</v>
      </c>
      <c r="AE181" s="30">
        <f>IF(AQ181="7",BI181,0)</f>
        <v>0</v>
      </c>
      <c r="AF181" s="30">
        <f>IF(AQ181="2",BH181,0)</f>
        <v>0</v>
      </c>
      <c r="AG181" s="30">
        <f>IF(AQ181="2",BI181,0)</f>
        <v>0</v>
      </c>
      <c r="AH181" s="30">
        <f>IF(AQ181="0",BJ181,0)</f>
        <v>0</v>
      </c>
      <c r="AI181" s="24" t="s">
        <v>1024</v>
      </c>
      <c r="AJ181" s="14">
        <f>IF(AN181=0,K181,0)</f>
        <v>0</v>
      </c>
      <c r="AK181" s="14">
        <f>IF(AN181=15,K181,0)</f>
        <v>0</v>
      </c>
      <c r="AL181" s="14">
        <f>IF(AN181=21,K181,0)</f>
        <v>0</v>
      </c>
      <c r="AN181" s="30">
        <v>21</v>
      </c>
      <c r="AO181" s="30">
        <f>H181*0</f>
        <v>0</v>
      </c>
      <c r="AP181" s="30">
        <f>H181*(1-0)</f>
        <v>0</v>
      </c>
      <c r="AQ181" s="25" t="s">
        <v>13</v>
      </c>
      <c r="AV181" s="30">
        <f>AW181+AX181</f>
        <v>0</v>
      </c>
      <c r="AW181" s="30">
        <f>G181*AO181</f>
        <v>0</v>
      </c>
      <c r="AX181" s="30">
        <f>G181*AP181</f>
        <v>0</v>
      </c>
      <c r="AY181" s="31" t="s">
        <v>1049</v>
      </c>
      <c r="AZ181" s="31" t="s">
        <v>1069</v>
      </c>
      <c r="BA181" s="24" t="s">
        <v>1080</v>
      </c>
      <c r="BC181" s="30">
        <f>AW181+AX181</f>
        <v>0</v>
      </c>
      <c r="BD181" s="30">
        <f>H181/(100-BE181)*100</f>
        <v>0</v>
      </c>
      <c r="BE181" s="30">
        <v>0</v>
      </c>
      <c r="BF181" s="30">
        <f>181</f>
        <v>181</v>
      </c>
      <c r="BH181" s="14">
        <f>G181*AO181</f>
        <v>0</v>
      </c>
      <c r="BI181" s="14">
        <f>G181*AP181</f>
        <v>0</v>
      </c>
      <c r="BJ181" s="14">
        <f>G181*H181</f>
        <v>0</v>
      </c>
    </row>
    <row r="182" spans="1:62" ht="12.75">
      <c r="A182" s="4" t="s">
        <v>149</v>
      </c>
      <c r="B182" s="4" t="s">
        <v>467</v>
      </c>
      <c r="C182" s="153" t="s">
        <v>808</v>
      </c>
      <c r="D182" s="154"/>
      <c r="E182" s="154"/>
      <c r="F182" s="4" t="s">
        <v>991</v>
      </c>
      <c r="G182" s="64">
        <v>1</v>
      </c>
      <c r="H182" s="82">
        <v>0</v>
      </c>
      <c r="I182" s="14">
        <f>G182*AO182</f>
        <v>0</v>
      </c>
      <c r="J182" s="14">
        <f>G182*AP182</f>
        <v>0</v>
      </c>
      <c r="K182" s="14">
        <f>G182*H182</f>
        <v>0</v>
      </c>
      <c r="L182" s="25" t="s">
        <v>1014</v>
      </c>
      <c r="Z182" s="30">
        <f>IF(AQ182="5",BJ182,0)</f>
        <v>0</v>
      </c>
      <c r="AB182" s="30">
        <f>IF(AQ182="1",BH182,0)</f>
        <v>0</v>
      </c>
      <c r="AC182" s="30">
        <f>IF(AQ182="1",BI182,0)</f>
        <v>0</v>
      </c>
      <c r="AD182" s="30">
        <f>IF(AQ182="7",BH182,0)</f>
        <v>0</v>
      </c>
      <c r="AE182" s="30">
        <f>IF(AQ182="7",BI182,0)</f>
        <v>0</v>
      </c>
      <c r="AF182" s="30">
        <f>IF(AQ182="2",BH182,0)</f>
        <v>0</v>
      </c>
      <c r="AG182" s="30">
        <f>IF(AQ182="2",BI182,0)</f>
        <v>0</v>
      </c>
      <c r="AH182" s="30">
        <f>IF(AQ182="0",BJ182,0)</f>
        <v>0</v>
      </c>
      <c r="AI182" s="24" t="s">
        <v>1024</v>
      </c>
      <c r="AJ182" s="14">
        <f>IF(AN182=0,K182,0)</f>
        <v>0</v>
      </c>
      <c r="AK182" s="14">
        <f>IF(AN182=15,K182,0)</f>
        <v>0</v>
      </c>
      <c r="AL182" s="14">
        <f>IF(AN182=21,K182,0)</f>
        <v>0</v>
      </c>
      <c r="AN182" s="30">
        <v>21</v>
      </c>
      <c r="AO182" s="30">
        <f>H182*0</f>
        <v>0</v>
      </c>
      <c r="AP182" s="30">
        <f>H182*(1-0)</f>
        <v>0</v>
      </c>
      <c r="AQ182" s="25" t="s">
        <v>13</v>
      </c>
      <c r="AV182" s="30">
        <f>AW182+AX182</f>
        <v>0</v>
      </c>
      <c r="AW182" s="30">
        <f>G182*AO182</f>
        <v>0</v>
      </c>
      <c r="AX182" s="30">
        <f>G182*AP182</f>
        <v>0</v>
      </c>
      <c r="AY182" s="31" t="s">
        <v>1049</v>
      </c>
      <c r="AZ182" s="31" t="s">
        <v>1069</v>
      </c>
      <c r="BA182" s="24" t="s">
        <v>1080</v>
      </c>
      <c r="BC182" s="30">
        <f>AW182+AX182</f>
        <v>0</v>
      </c>
      <c r="BD182" s="30">
        <f>H182/(100-BE182)*100</f>
        <v>0</v>
      </c>
      <c r="BE182" s="30">
        <v>0</v>
      </c>
      <c r="BF182" s="30">
        <f>182</f>
        <v>182</v>
      </c>
      <c r="BH182" s="14">
        <f>G182*AO182</f>
        <v>0</v>
      </c>
      <c r="BI182" s="14">
        <f>G182*AP182</f>
        <v>0</v>
      </c>
      <c r="BJ182" s="14">
        <f>G182*H182</f>
        <v>0</v>
      </c>
    </row>
    <row r="183" spans="1:62" ht="12.75">
      <c r="A183" s="4" t="s">
        <v>150</v>
      </c>
      <c r="B183" s="4" t="s">
        <v>468</v>
      </c>
      <c r="C183" s="153" t="s">
        <v>809</v>
      </c>
      <c r="D183" s="154"/>
      <c r="E183" s="154"/>
      <c r="F183" s="4" t="s">
        <v>991</v>
      </c>
      <c r="G183" s="64">
        <v>1</v>
      </c>
      <c r="H183" s="82">
        <v>0</v>
      </c>
      <c r="I183" s="14">
        <f>G183*AO183</f>
        <v>0</v>
      </c>
      <c r="J183" s="14">
        <f>G183*AP183</f>
        <v>0</v>
      </c>
      <c r="K183" s="14">
        <f>G183*H183</f>
        <v>0</v>
      </c>
      <c r="L183" s="25" t="s">
        <v>1014</v>
      </c>
      <c r="Z183" s="30">
        <f>IF(AQ183="5",BJ183,0)</f>
        <v>0</v>
      </c>
      <c r="AB183" s="30">
        <f>IF(AQ183="1",BH183,0)</f>
        <v>0</v>
      </c>
      <c r="AC183" s="30">
        <f>IF(AQ183="1",BI183,0)</f>
        <v>0</v>
      </c>
      <c r="AD183" s="30">
        <f>IF(AQ183="7",BH183,0)</f>
        <v>0</v>
      </c>
      <c r="AE183" s="30">
        <f>IF(AQ183="7",BI183,0)</f>
        <v>0</v>
      </c>
      <c r="AF183" s="30">
        <f>IF(AQ183="2",BH183,0)</f>
        <v>0</v>
      </c>
      <c r="AG183" s="30">
        <f>IF(AQ183="2",BI183,0)</f>
        <v>0</v>
      </c>
      <c r="AH183" s="30">
        <f>IF(AQ183="0",BJ183,0)</f>
        <v>0</v>
      </c>
      <c r="AI183" s="24" t="s">
        <v>1024</v>
      </c>
      <c r="AJ183" s="14">
        <f>IF(AN183=0,K183,0)</f>
        <v>0</v>
      </c>
      <c r="AK183" s="14">
        <f>IF(AN183=15,K183,0)</f>
        <v>0</v>
      </c>
      <c r="AL183" s="14">
        <f>IF(AN183=21,K183,0)</f>
        <v>0</v>
      </c>
      <c r="AN183" s="30">
        <v>21</v>
      </c>
      <c r="AO183" s="30">
        <f>H183*0</f>
        <v>0</v>
      </c>
      <c r="AP183" s="30">
        <f>H183*(1-0)</f>
        <v>0</v>
      </c>
      <c r="AQ183" s="25" t="s">
        <v>13</v>
      </c>
      <c r="AV183" s="30">
        <f>AW183+AX183</f>
        <v>0</v>
      </c>
      <c r="AW183" s="30">
        <f>G183*AO183</f>
        <v>0</v>
      </c>
      <c r="AX183" s="30">
        <f>G183*AP183</f>
        <v>0</v>
      </c>
      <c r="AY183" s="31" t="s">
        <v>1049</v>
      </c>
      <c r="AZ183" s="31" t="s">
        <v>1069</v>
      </c>
      <c r="BA183" s="24" t="s">
        <v>1080</v>
      </c>
      <c r="BC183" s="30">
        <f>AW183+AX183</f>
        <v>0</v>
      </c>
      <c r="BD183" s="30">
        <f>H183/(100-BE183)*100</f>
        <v>0</v>
      </c>
      <c r="BE183" s="30">
        <v>0</v>
      </c>
      <c r="BF183" s="30">
        <f>183</f>
        <v>183</v>
      </c>
      <c r="BH183" s="14">
        <f>G183*AO183</f>
        <v>0</v>
      </c>
      <c r="BI183" s="14">
        <f>G183*AP183</f>
        <v>0</v>
      </c>
      <c r="BJ183" s="14">
        <f>G183*H183</f>
        <v>0</v>
      </c>
    </row>
    <row r="184" spans="1:62" ht="12.75">
      <c r="A184" s="4" t="s">
        <v>151</v>
      </c>
      <c r="B184" s="4" t="s">
        <v>469</v>
      </c>
      <c r="C184" s="153" t="s">
        <v>810</v>
      </c>
      <c r="D184" s="154"/>
      <c r="E184" s="154"/>
      <c r="F184" s="4" t="s">
        <v>991</v>
      </c>
      <c r="G184" s="64">
        <v>1</v>
      </c>
      <c r="H184" s="82">
        <v>0</v>
      </c>
      <c r="I184" s="14">
        <f>G184*AO184</f>
        <v>0</v>
      </c>
      <c r="J184" s="14">
        <f>G184*AP184</f>
        <v>0</v>
      </c>
      <c r="K184" s="14">
        <f>G184*H184</f>
        <v>0</v>
      </c>
      <c r="L184" s="25" t="s">
        <v>1014</v>
      </c>
      <c r="Z184" s="30">
        <f>IF(AQ184="5",BJ184,0)</f>
        <v>0</v>
      </c>
      <c r="AB184" s="30">
        <f>IF(AQ184="1",BH184,0)</f>
        <v>0</v>
      </c>
      <c r="AC184" s="30">
        <f>IF(AQ184="1",BI184,0)</f>
        <v>0</v>
      </c>
      <c r="AD184" s="30">
        <f>IF(AQ184="7",BH184,0)</f>
        <v>0</v>
      </c>
      <c r="AE184" s="30">
        <f>IF(AQ184="7",BI184,0)</f>
        <v>0</v>
      </c>
      <c r="AF184" s="30">
        <f>IF(AQ184="2",BH184,0)</f>
        <v>0</v>
      </c>
      <c r="AG184" s="30">
        <f>IF(AQ184="2",BI184,0)</f>
        <v>0</v>
      </c>
      <c r="AH184" s="30">
        <f>IF(AQ184="0",BJ184,0)</f>
        <v>0</v>
      </c>
      <c r="AI184" s="24" t="s">
        <v>1024</v>
      </c>
      <c r="AJ184" s="14">
        <f>IF(AN184=0,K184,0)</f>
        <v>0</v>
      </c>
      <c r="AK184" s="14">
        <f>IF(AN184=15,K184,0)</f>
        <v>0</v>
      </c>
      <c r="AL184" s="14">
        <f>IF(AN184=21,K184,0)</f>
        <v>0</v>
      </c>
      <c r="AN184" s="30">
        <v>21</v>
      </c>
      <c r="AO184" s="30">
        <f>H184*0</f>
        <v>0</v>
      </c>
      <c r="AP184" s="30">
        <f>H184*(1-0)</f>
        <v>0</v>
      </c>
      <c r="AQ184" s="25" t="s">
        <v>13</v>
      </c>
      <c r="AV184" s="30">
        <f>AW184+AX184</f>
        <v>0</v>
      </c>
      <c r="AW184" s="30">
        <f>G184*AO184</f>
        <v>0</v>
      </c>
      <c r="AX184" s="30">
        <f>G184*AP184</f>
        <v>0</v>
      </c>
      <c r="AY184" s="31" t="s">
        <v>1049</v>
      </c>
      <c r="AZ184" s="31" t="s">
        <v>1069</v>
      </c>
      <c r="BA184" s="24" t="s">
        <v>1080</v>
      </c>
      <c r="BC184" s="30">
        <f>AW184+AX184</f>
        <v>0</v>
      </c>
      <c r="BD184" s="30">
        <f>H184/(100-BE184)*100</f>
        <v>0</v>
      </c>
      <c r="BE184" s="30">
        <v>0</v>
      </c>
      <c r="BF184" s="30">
        <f>184</f>
        <v>184</v>
      </c>
      <c r="BH184" s="14">
        <f>G184*AO184</f>
        <v>0</v>
      </c>
      <c r="BI184" s="14">
        <f>G184*AP184</f>
        <v>0</v>
      </c>
      <c r="BJ184" s="14">
        <f>G184*H184</f>
        <v>0</v>
      </c>
    </row>
    <row r="185" spans="1:47" ht="12.75">
      <c r="A185" s="3"/>
      <c r="B185" s="11" t="s">
        <v>470</v>
      </c>
      <c r="C185" s="151" t="s">
        <v>811</v>
      </c>
      <c r="D185" s="152"/>
      <c r="E185" s="152"/>
      <c r="F185" s="3" t="s">
        <v>6</v>
      </c>
      <c r="G185" s="3" t="s">
        <v>6</v>
      </c>
      <c r="H185" s="3" t="s">
        <v>6</v>
      </c>
      <c r="I185" s="32">
        <f>SUM(I186:I194)</f>
        <v>0</v>
      </c>
      <c r="J185" s="32">
        <f>SUM(J186:J194)</f>
        <v>0</v>
      </c>
      <c r="K185" s="32">
        <f>SUM(K186:K194)</f>
        <v>0</v>
      </c>
      <c r="L185" s="24"/>
      <c r="AI185" s="24" t="s">
        <v>1024</v>
      </c>
      <c r="AS185" s="32">
        <f>SUM(AJ186:AJ194)</f>
        <v>0</v>
      </c>
      <c r="AT185" s="32">
        <f>SUM(AK186:AK194)</f>
        <v>0</v>
      </c>
      <c r="AU185" s="32">
        <f>SUM(AL186:AL194)</f>
        <v>0</v>
      </c>
    </row>
    <row r="186" spans="1:62" ht="12.75">
      <c r="A186" s="4" t="s">
        <v>152</v>
      </c>
      <c r="B186" s="4" t="s">
        <v>471</v>
      </c>
      <c r="C186" s="153" t="s">
        <v>812</v>
      </c>
      <c r="D186" s="154"/>
      <c r="E186" s="154"/>
      <c r="F186" s="4" t="s">
        <v>991</v>
      </c>
      <c r="G186" s="64">
        <v>1</v>
      </c>
      <c r="H186" s="82">
        <v>0</v>
      </c>
      <c r="I186" s="14">
        <f>G186*AO186</f>
        <v>0</v>
      </c>
      <c r="J186" s="14">
        <f>G186*AP186</f>
        <v>0</v>
      </c>
      <c r="K186" s="14">
        <f>G186*H186</f>
        <v>0</v>
      </c>
      <c r="L186" s="25" t="s">
        <v>1014</v>
      </c>
      <c r="Z186" s="30">
        <f>IF(AQ186="5",BJ186,0)</f>
        <v>0</v>
      </c>
      <c r="AB186" s="30">
        <f>IF(AQ186="1",BH186,0)</f>
        <v>0</v>
      </c>
      <c r="AC186" s="30">
        <f>IF(AQ186="1",BI186,0)</f>
        <v>0</v>
      </c>
      <c r="AD186" s="30">
        <f>IF(AQ186="7",BH186,0)</f>
        <v>0</v>
      </c>
      <c r="AE186" s="30">
        <f>IF(AQ186="7",BI186,0)</f>
        <v>0</v>
      </c>
      <c r="AF186" s="30">
        <f>IF(AQ186="2",BH186,0)</f>
        <v>0</v>
      </c>
      <c r="AG186" s="30">
        <f>IF(AQ186="2",BI186,0)</f>
        <v>0</v>
      </c>
      <c r="AH186" s="30">
        <f>IF(AQ186="0",BJ186,0)</f>
        <v>0</v>
      </c>
      <c r="AI186" s="24" t="s">
        <v>1024</v>
      </c>
      <c r="AJ186" s="14">
        <f>IF(AN186=0,K186,0)</f>
        <v>0</v>
      </c>
      <c r="AK186" s="14">
        <f>IF(AN186=15,K186,0)</f>
        <v>0</v>
      </c>
      <c r="AL186" s="14">
        <f>IF(AN186=21,K186,0)</f>
        <v>0</v>
      </c>
      <c r="AN186" s="30">
        <v>21</v>
      </c>
      <c r="AO186" s="30">
        <f>H186*0.0748846447669977</f>
        <v>0</v>
      </c>
      <c r="AP186" s="30">
        <f>H186*(1-0.0748846447669977)</f>
        <v>0</v>
      </c>
      <c r="AQ186" s="25" t="s">
        <v>13</v>
      </c>
      <c r="AV186" s="30">
        <f>AW186+AX186</f>
        <v>0</v>
      </c>
      <c r="AW186" s="30">
        <f>G186*AO186</f>
        <v>0</v>
      </c>
      <c r="AX186" s="30">
        <f>G186*AP186</f>
        <v>0</v>
      </c>
      <c r="AY186" s="31" t="s">
        <v>1050</v>
      </c>
      <c r="AZ186" s="31" t="s">
        <v>1070</v>
      </c>
      <c r="BA186" s="24" t="s">
        <v>1080</v>
      </c>
      <c r="BC186" s="30">
        <f>AW186+AX186</f>
        <v>0</v>
      </c>
      <c r="BD186" s="30">
        <f>H186/(100-BE186)*100</f>
        <v>0</v>
      </c>
      <c r="BE186" s="30">
        <v>0</v>
      </c>
      <c r="BF186" s="30">
        <f>186</f>
        <v>186</v>
      </c>
      <c r="BH186" s="14">
        <f>G186*AO186</f>
        <v>0</v>
      </c>
      <c r="BI186" s="14">
        <f>G186*AP186</f>
        <v>0</v>
      </c>
      <c r="BJ186" s="14">
        <f>G186*H186</f>
        <v>0</v>
      </c>
    </row>
    <row r="187" spans="1:62" ht="12.75">
      <c r="A187" s="4" t="s">
        <v>153</v>
      </c>
      <c r="B187" s="4" t="s">
        <v>472</v>
      </c>
      <c r="C187" s="153" t="s">
        <v>813</v>
      </c>
      <c r="D187" s="154"/>
      <c r="E187" s="154"/>
      <c r="F187" s="4" t="s">
        <v>991</v>
      </c>
      <c r="G187" s="64">
        <v>2</v>
      </c>
      <c r="H187" s="82">
        <v>0</v>
      </c>
      <c r="I187" s="14">
        <f>G187*AO187</f>
        <v>0</v>
      </c>
      <c r="J187" s="14">
        <f>G187*AP187</f>
        <v>0</v>
      </c>
      <c r="K187" s="14">
        <f>G187*H187</f>
        <v>0</v>
      </c>
      <c r="L187" s="25" t="s">
        <v>1014</v>
      </c>
      <c r="Z187" s="30">
        <f>IF(AQ187="5",BJ187,0)</f>
        <v>0</v>
      </c>
      <c r="AB187" s="30">
        <f>IF(AQ187="1",BH187,0)</f>
        <v>0</v>
      </c>
      <c r="AC187" s="30">
        <f>IF(AQ187="1",BI187,0)</f>
        <v>0</v>
      </c>
      <c r="AD187" s="30">
        <f>IF(AQ187="7",BH187,0)</f>
        <v>0</v>
      </c>
      <c r="AE187" s="30">
        <f>IF(AQ187="7",BI187,0)</f>
        <v>0</v>
      </c>
      <c r="AF187" s="30">
        <f>IF(AQ187="2",BH187,0)</f>
        <v>0</v>
      </c>
      <c r="AG187" s="30">
        <f>IF(AQ187="2",BI187,0)</f>
        <v>0</v>
      </c>
      <c r="AH187" s="30">
        <f>IF(AQ187="0",BJ187,0)</f>
        <v>0</v>
      </c>
      <c r="AI187" s="24" t="s">
        <v>1024</v>
      </c>
      <c r="AJ187" s="14">
        <f>IF(AN187=0,K187,0)</f>
        <v>0</v>
      </c>
      <c r="AK187" s="14">
        <f>IF(AN187=15,K187,0)</f>
        <v>0</v>
      </c>
      <c r="AL187" s="14">
        <f>IF(AN187=21,K187,0)</f>
        <v>0</v>
      </c>
      <c r="AN187" s="30">
        <v>21</v>
      </c>
      <c r="AO187" s="30">
        <f>H187*0.106067246364201</f>
        <v>0</v>
      </c>
      <c r="AP187" s="30">
        <f>H187*(1-0.106067246364201)</f>
        <v>0</v>
      </c>
      <c r="AQ187" s="25" t="s">
        <v>13</v>
      </c>
      <c r="AV187" s="30">
        <f>AW187+AX187</f>
        <v>0</v>
      </c>
      <c r="AW187" s="30">
        <f>G187*AO187</f>
        <v>0</v>
      </c>
      <c r="AX187" s="30">
        <f>G187*AP187</f>
        <v>0</v>
      </c>
      <c r="AY187" s="31" t="s">
        <v>1050</v>
      </c>
      <c r="AZ187" s="31" t="s">
        <v>1070</v>
      </c>
      <c r="BA187" s="24" t="s">
        <v>1080</v>
      </c>
      <c r="BC187" s="30">
        <f>AW187+AX187</f>
        <v>0</v>
      </c>
      <c r="BD187" s="30">
        <f>H187/(100-BE187)*100</f>
        <v>0</v>
      </c>
      <c r="BE187" s="30">
        <v>0</v>
      </c>
      <c r="BF187" s="30">
        <f>187</f>
        <v>187</v>
      </c>
      <c r="BH187" s="14">
        <f>G187*AO187</f>
        <v>0</v>
      </c>
      <c r="BI187" s="14">
        <f>G187*AP187</f>
        <v>0</v>
      </c>
      <c r="BJ187" s="14">
        <f>G187*H187</f>
        <v>0</v>
      </c>
    </row>
    <row r="188" spans="1:62" ht="12.75">
      <c r="A188" s="4" t="s">
        <v>154</v>
      </c>
      <c r="B188" s="4" t="s">
        <v>473</v>
      </c>
      <c r="C188" s="153" t="s">
        <v>814</v>
      </c>
      <c r="D188" s="154"/>
      <c r="E188" s="154"/>
      <c r="F188" s="4" t="s">
        <v>993</v>
      </c>
      <c r="G188" s="64">
        <v>472.899</v>
      </c>
      <c r="H188" s="82">
        <v>0</v>
      </c>
      <c r="I188" s="14">
        <f>G188*AO188</f>
        <v>0</v>
      </c>
      <c r="J188" s="14">
        <f>G188*AP188</f>
        <v>0</v>
      </c>
      <c r="K188" s="14">
        <f>G188*H188</f>
        <v>0</v>
      </c>
      <c r="L188" s="25" t="s">
        <v>1014</v>
      </c>
      <c r="Z188" s="30">
        <f>IF(AQ188="5",BJ188,0)</f>
        <v>0</v>
      </c>
      <c r="AB188" s="30">
        <f>IF(AQ188="1",BH188,0)</f>
        <v>0</v>
      </c>
      <c r="AC188" s="30">
        <f>IF(AQ188="1",BI188,0)</f>
        <v>0</v>
      </c>
      <c r="AD188" s="30">
        <f>IF(AQ188="7",BH188,0)</f>
        <v>0</v>
      </c>
      <c r="AE188" s="30">
        <f>IF(AQ188="7",BI188,0)</f>
        <v>0</v>
      </c>
      <c r="AF188" s="30">
        <f>IF(AQ188="2",BH188,0)</f>
        <v>0</v>
      </c>
      <c r="AG188" s="30">
        <f>IF(AQ188="2",BI188,0)</f>
        <v>0</v>
      </c>
      <c r="AH188" s="30">
        <f>IF(AQ188="0",BJ188,0)</f>
        <v>0</v>
      </c>
      <c r="AI188" s="24" t="s">
        <v>1024</v>
      </c>
      <c r="AJ188" s="14">
        <f>IF(AN188=0,K188,0)</f>
        <v>0</v>
      </c>
      <c r="AK188" s="14">
        <f>IF(AN188=15,K188,0)</f>
        <v>0</v>
      </c>
      <c r="AL188" s="14">
        <f>IF(AN188=21,K188,0)</f>
        <v>0</v>
      </c>
      <c r="AN188" s="30">
        <v>21</v>
      </c>
      <c r="AO188" s="30">
        <f>H188*0.469677404178798</f>
        <v>0</v>
      </c>
      <c r="AP188" s="30">
        <f>H188*(1-0.469677404178798)</f>
        <v>0</v>
      </c>
      <c r="AQ188" s="25" t="s">
        <v>13</v>
      </c>
      <c r="AV188" s="30">
        <f>AW188+AX188</f>
        <v>0</v>
      </c>
      <c r="AW188" s="30">
        <f>G188*AO188</f>
        <v>0</v>
      </c>
      <c r="AX188" s="30">
        <f>G188*AP188</f>
        <v>0</v>
      </c>
      <c r="AY188" s="31" t="s">
        <v>1050</v>
      </c>
      <c r="AZ188" s="31" t="s">
        <v>1070</v>
      </c>
      <c r="BA188" s="24" t="s">
        <v>1080</v>
      </c>
      <c r="BC188" s="30">
        <f>AW188+AX188</f>
        <v>0</v>
      </c>
      <c r="BD188" s="30">
        <f>H188/(100-BE188)*100</f>
        <v>0</v>
      </c>
      <c r="BE188" s="30">
        <v>0</v>
      </c>
      <c r="BF188" s="30">
        <f>188</f>
        <v>188</v>
      </c>
      <c r="BH188" s="14">
        <f>G188*AO188</f>
        <v>0</v>
      </c>
      <c r="BI188" s="14">
        <f>G188*AP188</f>
        <v>0</v>
      </c>
      <c r="BJ188" s="14">
        <f>G188*H188</f>
        <v>0</v>
      </c>
    </row>
    <row r="189" spans="3:5" ht="12.75">
      <c r="C189" s="155" t="s">
        <v>815</v>
      </c>
      <c r="D189" s="156"/>
      <c r="E189" s="156"/>
    </row>
    <row r="190" spans="1:62" ht="12.75">
      <c r="A190" s="4" t="s">
        <v>155</v>
      </c>
      <c r="B190" s="4" t="s">
        <v>474</v>
      </c>
      <c r="C190" s="153" t="s">
        <v>816</v>
      </c>
      <c r="D190" s="154"/>
      <c r="E190" s="154"/>
      <c r="F190" s="4" t="s">
        <v>995</v>
      </c>
      <c r="G190" s="64">
        <v>16.29</v>
      </c>
      <c r="H190" s="82">
        <v>0</v>
      </c>
      <c r="I190" s="14">
        <f>G190*AO190</f>
        <v>0</v>
      </c>
      <c r="J190" s="14">
        <f>G190*AP190</f>
        <v>0</v>
      </c>
      <c r="K190" s="14">
        <f>G190*H190</f>
        <v>0</v>
      </c>
      <c r="L190" s="25" t="s">
        <v>1014</v>
      </c>
      <c r="Z190" s="30">
        <f>IF(AQ190="5",BJ190,0)</f>
        <v>0</v>
      </c>
      <c r="AB190" s="30">
        <f>IF(AQ190="1",BH190,0)</f>
        <v>0</v>
      </c>
      <c r="AC190" s="30">
        <f>IF(AQ190="1",BI190,0)</f>
        <v>0</v>
      </c>
      <c r="AD190" s="30">
        <f>IF(AQ190="7",BH190,0)</f>
        <v>0</v>
      </c>
      <c r="AE190" s="30">
        <f>IF(AQ190="7",BI190,0)</f>
        <v>0</v>
      </c>
      <c r="AF190" s="30">
        <f>IF(AQ190="2",BH190,0)</f>
        <v>0</v>
      </c>
      <c r="AG190" s="30">
        <f>IF(AQ190="2",BI190,0)</f>
        <v>0</v>
      </c>
      <c r="AH190" s="30">
        <f>IF(AQ190="0",BJ190,0)</f>
        <v>0</v>
      </c>
      <c r="AI190" s="24" t="s">
        <v>1024</v>
      </c>
      <c r="AJ190" s="14">
        <f>IF(AN190=0,K190,0)</f>
        <v>0</v>
      </c>
      <c r="AK190" s="14">
        <f>IF(AN190=15,K190,0)</f>
        <v>0</v>
      </c>
      <c r="AL190" s="14">
        <f>IF(AN190=21,K190,0)</f>
        <v>0</v>
      </c>
      <c r="AN190" s="30">
        <v>21</v>
      </c>
      <c r="AO190" s="30">
        <f>H190*0</f>
        <v>0</v>
      </c>
      <c r="AP190" s="30">
        <f>H190*(1-0)</f>
        <v>0</v>
      </c>
      <c r="AQ190" s="25" t="s">
        <v>13</v>
      </c>
      <c r="AV190" s="30">
        <f>AW190+AX190</f>
        <v>0</v>
      </c>
      <c r="AW190" s="30">
        <f>G190*AO190</f>
        <v>0</v>
      </c>
      <c r="AX190" s="30">
        <f>G190*AP190</f>
        <v>0</v>
      </c>
      <c r="AY190" s="31" t="s">
        <v>1050</v>
      </c>
      <c r="AZ190" s="31" t="s">
        <v>1070</v>
      </c>
      <c r="BA190" s="24" t="s">
        <v>1080</v>
      </c>
      <c r="BC190" s="30">
        <f>AW190+AX190</f>
        <v>0</v>
      </c>
      <c r="BD190" s="30">
        <f>H190/(100-BE190)*100</f>
        <v>0</v>
      </c>
      <c r="BE190" s="30">
        <v>0</v>
      </c>
      <c r="BF190" s="30">
        <f>190</f>
        <v>190</v>
      </c>
      <c r="BH190" s="14">
        <f>G190*AO190</f>
        <v>0</v>
      </c>
      <c r="BI190" s="14">
        <f>G190*AP190</f>
        <v>0</v>
      </c>
      <c r="BJ190" s="14">
        <f>G190*H190</f>
        <v>0</v>
      </c>
    </row>
    <row r="191" spans="1:62" ht="12.75">
      <c r="A191" s="4" t="s">
        <v>156</v>
      </c>
      <c r="B191" s="4" t="s">
        <v>475</v>
      </c>
      <c r="C191" s="153" t="s">
        <v>817</v>
      </c>
      <c r="D191" s="154"/>
      <c r="E191" s="154"/>
      <c r="F191" s="4" t="s">
        <v>993</v>
      </c>
      <c r="G191" s="64">
        <v>472.899</v>
      </c>
      <c r="H191" s="82">
        <v>0</v>
      </c>
      <c r="I191" s="14">
        <f>G191*AO191</f>
        <v>0</v>
      </c>
      <c r="J191" s="14">
        <f>G191*AP191</f>
        <v>0</v>
      </c>
      <c r="K191" s="14">
        <f>G191*H191</f>
        <v>0</v>
      </c>
      <c r="L191" s="25" t="s">
        <v>1014</v>
      </c>
      <c r="Z191" s="30">
        <f>IF(AQ191="5",BJ191,0)</f>
        <v>0</v>
      </c>
      <c r="AB191" s="30">
        <f>IF(AQ191="1",BH191,0)</f>
        <v>0</v>
      </c>
      <c r="AC191" s="30">
        <f>IF(AQ191="1",BI191,0)</f>
        <v>0</v>
      </c>
      <c r="AD191" s="30">
        <f>IF(AQ191="7",BH191,0)</f>
        <v>0</v>
      </c>
      <c r="AE191" s="30">
        <f>IF(AQ191="7",BI191,0)</f>
        <v>0</v>
      </c>
      <c r="AF191" s="30">
        <f>IF(AQ191="2",BH191,0)</f>
        <v>0</v>
      </c>
      <c r="AG191" s="30">
        <f>IF(AQ191="2",BI191,0)</f>
        <v>0</v>
      </c>
      <c r="AH191" s="30">
        <f>IF(AQ191="0",BJ191,0)</f>
        <v>0</v>
      </c>
      <c r="AI191" s="24" t="s">
        <v>1024</v>
      </c>
      <c r="AJ191" s="14">
        <f>IF(AN191=0,K191,0)</f>
        <v>0</v>
      </c>
      <c r="AK191" s="14">
        <f>IF(AN191=15,K191,0)</f>
        <v>0</v>
      </c>
      <c r="AL191" s="14">
        <f>IF(AN191=21,K191,0)</f>
        <v>0</v>
      </c>
      <c r="AN191" s="30">
        <v>21</v>
      </c>
      <c r="AO191" s="30">
        <f>H191*0</f>
        <v>0</v>
      </c>
      <c r="AP191" s="30">
        <f>H191*(1-0)</f>
        <v>0</v>
      </c>
      <c r="AQ191" s="25" t="s">
        <v>13</v>
      </c>
      <c r="AV191" s="30">
        <f>AW191+AX191</f>
        <v>0</v>
      </c>
      <c r="AW191" s="30">
        <f>G191*AO191</f>
        <v>0</v>
      </c>
      <c r="AX191" s="30">
        <f>G191*AP191</f>
        <v>0</v>
      </c>
      <c r="AY191" s="31" t="s">
        <v>1050</v>
      </c>
      <c r="AZ191" s="31" t="s">
        <v>1070</v>
      </c>
      <c r="BA191" s="24" t="s">
        <v>1080</v>
      </c>
      <c r="BC191" s="30">
        <f>AW191+AX191</f>
        <v>0</v>
      </c>
      <c r="BD191" s="30">
        <f>H191/(100-BE191)*100</f>
        <v>0</v>
      </c>
      <c r="BE191" s="30">
        <v>0</v>
      </c>
      <c r="BF191" s="30">
        <f>191</f>
        <v>191</v>
      </c>
      <c r="BH191" s="14">
        <f>G191*AO191</f>
        <v>0</v>
      </c>
      <c r="BI191" s="14">
        <f>G191*AP191</f>
        <v>0</v>
      </c>
      <c r="BJ191" s="14">
        <f>G191*H191</f>
        <v>0</v>
      </c>
    </row>
    <row r="192" spans="1:62" ht="12.75">
      <c r="A192" s="5" t="s">
        <v>157</v>
      </c>
      <c r="B192" s="5" t="s">
        <v>476</v>
      </c>
      <c r="C192" s="157" t="s">
        <v>818</v>
      </c>
      <c r="D192" s="158"/>
      <c r="E192" s="158"/>
      <c r="F192" s="5" t="s">
        <v>993</v>
      </c>
      <c r="G192" s="67">
        <v>496.544</v>
      </c>
      <c r="H192" s="84">
        <v>0</v>
      </c>
      <c r="I192" s="15">
        <f>G192*AO192</f>
        <v>0</v>
      </c>
      <c r="J192" s="15">
        <f>G192*AP192</f>
        <v>0</v>
      </c>
      <c r="K192" s="15">
        <f>G192*H192</f>
        <v>0</v>
      </c>
      <c r="L192" s="26" t="s">
        <v>1014</v>
      </c>
      <c r="Z192" s="30">
        <f>IF(AQ192="5",BJ192,0)</f>
        <v>0</v>
      </c>
      <c r="AB192" s="30">
        <f>IF(AQ192="1",BH192,0)</f>
        <v>0</v>
      </c>
      <c r="AC192" s="30">
        <f>IF(AQ192="1",BI192,0)</f>
        <v>0</v>
      </c>
      <c r="AD192" s="30">
        <f>IF(AQ192="7",BH192,0)</f>
        <v>0</v>
      </c>
      <c r="AE192" s="30">
        <f>IF(AQ192="7",BI192,0)</f>
        <v>0</v>
      </c>
      <c r="AF192" s="30">
        <f>IF(AQ192="2",BH192,0)</f>
        <v>0</v>
      </c>
      <c r="AG192" s="30">
        <f>IF(AQ192="2",BI192,0)</f>
        <v>0</v>
      </c>
      <c r="AH192" s="30">
        <f>IF(AQ192="0",BJ192,0)</f>
        <v>0</v>
      </c>
      <c r="AI192" s="24" t="s">
        <v>1024</v>
      </c>
      <c r="AJ192" s="15">
        <f>IF(AN192=0,K192,0)</f>
        <v>0</v>
      </c>
      <c r="AK192" s="15">
        <f>IF(AN192=15,K192,0)</f>
        <v>0</v>
      </c>
      <c r="AL192" s="15">
        <f>IF(AN192=21,K192,0)</f>
        <v>0</v>
      </c>
      <c r="AN192" s="30">
        <v>21</v>
      </c>
      <c r="AO192" s="30">
        <f>H192*1</f>
        <v>0</v>
      </c>
      <c r="AP192" s="30">
        <f>H192*(1-1)</f>
        <v>0</v>
      </c>
      <c r="AQ192" s="26" t="s">
        <v>13</v>
      </c>
      <c r="AV192" s="30">
        <f>AW192+AX192</f>
        <v>0</v>
      </c>
      <c r="AW192" s="30">
        <f>G192*AO192</f>
        <v>0</v>
      </c>
      <c r="AX192" s="30">
        <f>G192*AP192</f>
        <v>0</v>
      </c>
      <c r="AY192" s="31" t="s">
        <v>1050</v>
      </c>
      <c r="AZ192" s="31" t="s">
        <v>1070</v>
      </c>
      <c r="BA192" s="24" t="s">
        <v>1080</v>
      </c>
      <c r="BC192" s="30">
        <f>AW192+AX192</f>
        <v>0</v>
      </c>
      <c r="BD192" s="30">
        <f>H192/(100-BE192)*100</f>
        <v>0</v>
      </c>
      <c r="BE192" s="30">
        <v>0</v>
      </c>
      <c r="BF192" s="30">
        <f>192</f>
        <v>192</v>
      </c>
      <c r="BH192" s="15">
        <f>G192*AO192</f>
        <v>0</v>
      </c>
      <c r="BI192" s="15">
        <f>G192*AP192</f>
        <v>0</v>
      </c>
      <c r="BJ192" s="15">
        <f>G192*H192</f>
        <v>0</v>
      </c>
    </row>
    <row r="193" spans="1:62" ht="12.75">
      <c r="A193" s="4" t="s">
        <v>158</v>
      </c>
      <c r="B193" s="4" t="s">
        <v>477</v>
      </c>
      <c r="C193" s="153" t="s">
        <v>819</v>
      </c>
      <c r="D193" s="154"/>
      <c r="E193" s="154"/>
      <c r="F193" s="4" t="s">
        <v>993</v>
      </c>
      <c r="G193" s="64">
        <v>472.899</v>
      </c>
      <c r="H193" s="82">
        <v>0</v>
      </c>
      <c r="I193" s="14">
        <f>G193*AO193</f>
        <v>0</v>
      </c>
      <c r="J193" s="14">
        <f>G193*AP193</f>
        <v>0</v>
      </c>
      <c r="K193" s="14">
        <f>G193*H193</f>
        <v>0</v>
      </c>
      <c r="L193" s="25" t="s">
        <v>1014</v>
      </c>
      <c r="Z193" s="30">
        <f>IF(AQ193="5",BJ193,0)</f>
        <v>0</v>
      </c>
      <c r="AB193" s="30">
        <f>IF(AQ193="1",BH193,0)</f>
        <v>0</v>
      </c>
      <c r="AC193" s="30">
        <f>IF(AQ193="1",BI193,0)</f>
        <v>0</v>
      </c>
      <c r="AD193" s="30">
        <f>IF(AQ193="7",BH193,0)</f>
        <v>0</v>
      </c>
      <c r="AE193" s="30">
        <f>IF(AQ193="7",BI193,0)</f>
        <v>0</v>
      </c>
      <c r="AF193" s="30">
        <f>IF(AQ193="2",BH193,0)</f>
        <v>0</v>
      </c>
      <c r="AG193" s="30">
        <f>IF(AQ193="2",BI193,0)</f>
        <v>0</v>
      </c>
      <c r="AH193" s="30">
        <f>IF(AQ193="0",BJ193,0)</f>
        <v>0</v>
      </c>
      <c r="AI193" s="24" t="s">
        <v>1024</v>
      </c>
      <c r="AJ193" s="14">
        <f>IF(AN193=0,K193,0)</f>
        <v>0</v>
      </c>
      <c r="AK193" s="14">
        <f>IF(AN193=15,K193,0)</f>
        <v>0</v>
      </c>
      <c r="AL193" s="14">
        <f>IF(AN193=21,K193,0)</f>
        <v>0</v>
      </c>
      <c r="AN193" s="30">
        <v>21</v>
      </c>
      <c r="AO193" s="30">
        <f>H193*0</f>
        <v>0</v>
      </c>
      <c r="AP193" s="30">
        <f>H193*(1-0)</f>
        <v>0</v>
      </c>
      <c r="AQ193" s="25" t="s">
        <v>13</v>
      </c>
      <c r="AV193" s="30">
        <f>AW193+AX193</f>
        <v>0</v>
      </c>
      <c r="AW193" s="30">
        <f>G193*AO193</f>
        <v>0</v>
      </c>
      <c r="AX193" s="30">
        <f>G193*AP193</f>
        <v>0</v>
      </c>
      <c r="AY193" s="31" t="s">
        <v>1050</v>
      </c>
      <c r="AZ193" s="31" t="s">
        <v>1070</v>
      </c>
      <c r="BA193" s="24" t="s">
        <v>1080</v>
      </c>
      <c r="BC193" s="30">
        <f>AW193+AX193</f>
        <v>0</v>
      </c>
      <c r="BD193" s="30">
        <f>H193/(100-BE193)*100</f>
        <v>0</v>
      </c>
      <c r="BE193" s="30">
        <v>0</v>
      </c>
      <c r="BF193" s="30">
        <f>193</f>
        <v>193</v>
      </c>
      <c r="BH193" s="14">
        <f>G193*AO193</f>
        <v>0</v>
      </c>
      <c r="BI193" s="14">
        <f>G193*AP193</f>
        <v>0</v>
      </c>
      <c r="BJ193" s="14">
        <f>G193*H193</f>
        <v>0</v>
      </c>
    </row>
    <row r="194" spans="1:62" ht="12.75">
      <c r="A194" s="4" t="s">
        <v>159</v>
      </c>
      <c r="B194" s="4" t="s">
        <v>478</v>
      </c>
      <c r="C194" s="153" t="s">
        <v>820</v>
      </c>
      <c r="D194" s="154"/>
      <c r="E194" s="154"/>
      <c r="F194" s="4" t="s">
        <v>994</v>
      </c>
      <c r="G194" s="64">
        <v>19.685</v>
      </c>
      <c r="H194" s="82">
        <v>0</v>
      </c>
      <c r="I194" s="14">
        <f>G194*AO194</f>
        <v>0</v>
      </c>
      <c r="J194" s="14">
        <f>G194*AP194</f>
        <v>0</v>
      </c>
      <c r="K194" s="14">
        <f>G194*H194</f>
        <v>0</v>
      </c>
      <c r="L194" s="25" t="s">
        <v>1014</v>
      </c>
      <c r="Z194" s="30">
        <f>IF(AQ194="5",BJ194,0)</f>
        <v>0</v>
      </c>
      <c r="AB194" s="30">
        <f>IF(AQ194="1",BH194,0)</f>
        <v>0</v>
      </c>
      <c r="AC194" s="30">
        <f>IF(AQ194="1",BI194,0)</f>
        <v>0</v>
      </c>
      <c r="AD194" s="30">
        <f>IF(AQ194="7",BH194,0)</f>
        <v>0</v>
      </c>
      <c r="AE194" s="30">
        <f>IF(AQ194="7",BI194,0)</f>
        <v>0</v>
      </c>
      <c r="AF194" s="30">
        <f>IF(AQ194="2",BH194,0)</f>
        <v>0</v>
      </c>
      <c r="AG194" s="30">
        <f>IF(AQ194="2",BI194,0)</f>
        <v>0</v>
      </c>
      <c r="AH194" s="30">
        <f>IF(AQ194="0",BJ194,0)</f>
        <v>0</v>
      </c>
      <c r="AI194" s="24" t="s">
        <v>1024</v>
      </c>
      <c r="AJ194" s="14">
        <f>IF(AN194=0,K194,0)</f>
        <v>0</v>
      </c>
      <c r="AK194" s="14">
        <f>IF(AN194=15,K194,0)</f>
        <v>0</v>
      </c>
      <c r="AL194" s="14">
        <f>IF(AN194=21,K194,0)</f>
        <v>0</v>
      </c>
      <c r="AN194" s="30">
        <v>21</v>
      </c>
      <c r="AO194" s="30">
        <f>H194*0</f>
        <v>0</v>
      </c>
      <c r="AP194" s="30">
        <f>H194*(1-0)</f>
        <v>0</v>
      </c>
      <c r="AQ194" s="25" t="s">
        <v>11</v>
      </c>
      <c r="AV194" s="30">
        <f>AW194+AX194</f>
        <v>0</v>
      </c>
      <c r="AW194" s="30">
        <f>G194*AO194</f>
        <v>0</v>
      </c>
      <c r="AX194" s="30">
        <f>G194*AP194</f>
        <v>0</v>
      </c>
      <c r="AY194" s="31" t="s">
        <v>1050</v>
      </c>
      <c r="AZ194" s="31" t="s">
        <v>1070</v>
      </c>
      <c r="BA194" s="24" t="s">
        <v>1080</v>
      </c>
      <c r="BC194" s="30">
        <f>AW194+AX194</f>
        <v>0</v>
      </c>
      <c r="BD194" s="30">
        <f>H194/(100-BE194)*100</f>
        <v>0</v>
      </c>
      <c r="BE194" s="30">
        <v>0</v>
      </c>
      <c r="BF194" s="30">
        <f>194</f>
        <v>194</v>
      </c>
      <c r="BH194" s="14">
        <f>G194*AO194</f>
        <v>0</v>
      </c>
      <c r="BI194" s="14">
        <f>G194*AP194</f>
        <v>0</v>
      </c>
      <c r="BJ194" s="14">
        <f>G194*H194</f>
        <v>0</v>
      </c>
    </row>
    <row r="195" spans="1:47" ht="12.75">
      <c r="A195" s="3"/>
      <c r="B195" s="11" t="s">
        <v>479</v>
      </c>
      <c r="C195" s="151" t="s">
        <v>821</v>
      </c>
      <c r="D195" s="152"/>
      <c r="E195" s="152"/>
      <c r="F195" s="3" t="s">
        <v>6</v>
      </c>
      <c r="G195" s="3" t="s">
        <v>6</v>
      </c>
      <c r="H195" s="3" t="s">
        <v>6</v>
      </c>
      <c r="I195" s="32">
        <f>SUM(I196:I218)</f>
        <v>0</v>
      </c>
      <c r="J195" s="32">
        <f>SUM(J196:J218)</f>
        <v>0</v>
      </c>
      <c r="K195" s="32">
        <f>SUM(K196:K218)</f>
        <v>0</v>
      </c>
      <c r="L195" s="24"/>
      <c r="AI195" s="24" t="s">
        <v>1024</v>
      </c>
      <c r="AS195" s="32">
        <f>SUM(AJ196:AJ218)</f>
        <v>0</v>
      </c>
      <c r="AT195" s="32">
        <f>SUM(AK196:AK218)</f>
        <v>0</v>
      </c>
      <c r="AU195" s="32">
        <f>SUM(AL196:AL218)</f>
        <v>0</v>
      </c>
    </row>
    <row r="196" spans="1:62" ht="12.75">
      <c r="A196" s="4" t="s">
        <v>160</v>
      </c>
      <c r="B196" s="4" t="s">
        <v>480</v>
      </c>
      <c r="C196" s="153" t="s">
        <v>822</v>
      </c>
      <c r="D196" s="154"/>
      <c r="E196" s="154"/>
      <c r="F196" s="4" t="s">
        <v>993</v>
      </c>
      <c r="G196" s="64">
        <v>2.46</v>
      </c>
      <c r="H196" s="82">
        <v>0</v>
      </c>
      <c r="I196" s="14">
        <f aca="true" t="shared" si="134" ref="I196:I218">G196*AO196</f>
        <v>0</v>
      </c>
      <c r="J196" s="14">
        <f aca="true" t="shared" si="135" ref="J196:J218">G196*AP196</f>
        <v>0</v>
      </c>
      <c r="K196" s="14">
        <f aca="true" t="shared" si="136" ref="K196:K218">G196*H196</f>
        <v>0</v>
      </c>
      <c r="L196" s="25" t="s">
        <v>1014</v>
      </c>
      <c r="Z196" s="30">
        <f aca="true" t="shared" si="137" ref="Z196:Z218">IF(AQ196="5",BJ196,0)</f>
        <v>0</v>
      </c>
      <c r="AB196" s="30">
        <f aca="true" t="shared" si="138" ref="AB196:AB218">IF(AQ196="1",BH196,0)</f>
        <v>0</v>
      </c>
      <c r="AC196" s="30">
        <f aca="true" t="shared" si="139" ref="AC196:AC218">IF(AQ196="1",BI196,0)</f>
        <v>0</v>
      </c>
      <c r="AD196" s="30">
        <f aca="true" t="shared" si="140" ref="AD196:AD218">IF(AQ196="7",BH196,0)</f>
        <v>0</v>
      </c>
      <c r="AE196" s="30">
        <f aca="true" t="shared" si="141" ref="AE196:AE218">IF(AQ196="7",BI196,0)</f>
        <v>0</v>
      </c>
      <c r="AF196" s="30">
        <f aca="true" t="shared" si="142" ref="AF196:AF218">IF(AQ196="2",BH196,0)</f>
        <v>0</v>
      </c>
      <c r="AG196" s="30">
        <f aca="true" t="shared" si="143" ref="AG196:AG218">IF(AQ196="2",BI196,0)</f>
        <v>0</v>
      </c>
      <c r="AH196" s="30">
        <f aca="true" t="shared" si="144" ref="AH196:AH218">IF(AQ196="0",BJ196,0)</f>
        <v>0</v>
      </c>
      <c r="AI196" s="24" t="s">
        <v>1024</v>
      </c>
      <c r="AJ196" s="14">
        <f aca="true" t="shared" si="145" ref="AJ196:AJ218">IF(AN196=0,K196,0)</f>
        <v>0</v>
      </c>
      <c r="AK196" s="14">
        <f aca="true" t="shared" si="146" ref="AK196:AK218">IF(AN196=15,K196,0)</f>
        <v>0</v>
      </c>
      <c r="AL196" s="14">
        <f aca="true" t="shared" si="147" ref="AL196:AL218">IF(AN196=21,K196,0)</f>
        <v>0</v>
      </c>
      <c r="AN196" s="30">
        <v>21</v>
      </c>
      <c r="AO196" s="30">
        <f>H196*0</f>
        <v>0</v>
      </c>
      <c r="AP196" s="30">
        <f>H196*(1-0)</f>
        <v>0</v>
      </c>
      <c r="AQ196" s="25" t="s">
        <v>13</v>
      </c>
      <c r="AV196" s="30">
        <f aca="true" t="shared" si="148" ref="AV196:AV218">AW196+AX196</f>
        <v>0</v>
      </c>
      <c r="AW196" s="30">
        <f aca="true" t="shared" si="149" ref="AW196:AW218">G196*AO196</f>
        <v>0</v>
      </c>
      <c r="AX196" s="30">
        <f aca="true" t="shared" si="150" ref="AX196:AX218">G196*AP196</f>
        <v>0</v>
      </c>
      <c r="AY196" s="31" t="s">
        <v>1051</v>
      </c>
      <c r="AZ196" s="31" t="s">
        <v>1070</v>
      </c>
      <c r="BA196" s="24" t="s">
        <v>1080</v>
      </c>
      <c r="BC196" s="30">
        <f aca="true" t="shared" si="151" ref="BC196:BC218">AW196+AX196</f>
        <v>0</v>
      </c>
      <c r="BD196" s="30">
        <f aca="true" t="shared" si="152" ref="BD196:BD218">H196/(100-BE196)*100</f>
        <v>0</v>
      </c>
      <c r="BE196" s="30">
        <v>0</v>
      </c>
      <c r="BF196" s="30">
        <f>196</f>
        <v>196</v>
      </c>
      <c r="BH196" s="14">
        <f aca="true" t="shared" si="153" ref="BH196:BH218">G196*AO196</f>
        <v>0</v>
      </c>
      <c r="BI196" s="14">
        <f aca="true" t="shared" si="154" ref="BI196:BI218">G196*AP196</f>
        <v>0</v>
      </c>
      <c r="BJ196" s="14">
        <f aca="true" t="shared" si="155" ref="BJ196:BJ218">G196*H196</f>
        <v>0</v>
      </c>
    </row>
    <row r="197" spans="1:62" ht="12.75">
      <c r="A197" s="4" t="s">
        <v>161</v>
      </c>
      <c r="B197" s="4" t="s">
        <v>481</v>
      </c>
      <c r="C197" s="153" t="s">
        <v>823</v>
      </c>
      <c r="D197" s="154"/>
      <c r="E197" s="154"/>
      <c r="F197" s="4" t="s">
        <v>993</v>
      </c>
      <c r="G197" s="64">
        <v>472.899</v>
      </c>
      <c r="H197" s="82">
        <v>0</v>
      </c>
      <c r="I197" s="14">
        <f t="shared" si="134"/>
        <v>0</v>
      </c>
      <c r="J197" s="14">
        <f t="shared" si="135"/>
        <v>0</v>
      </c>
      <c r="K197" s="14">
        <f t="shared" si="136"/>
        <v>0</v>
      </c>
      <c r="L197" s="25" t="s">
        <v>1014</v>
      </c>
      <c r="Z197" s="30">
        <f t="shared" si="137"/>
        <v>0</v>
      </c>
      <c r="AB197" s="30">
        <f t="shared" si="138"/>
        <v>0</v>
      </c>
      <c r="AC197" s="30">
        <f t="shared" si="139"/>
        <v>0</v>
      </c>
      <c r="AD197" s="30">
        <f t="shared" si="140"/>
        <v>0</v>
      </c>
      <c r="AE197" s="30">
        <f t="shared" si="141"/>
        <v>0</v>
      </c>
      <c r="AF197" s="30">
        <f t="shared" si="142"/>
        <v>0</v>
      </c>
      <c r="AG197" s="30">
        <f t="shared" si="143"/>
        <v>0</v>
      </c>
      <c r="AH197" s="30">
        <f t="shared" si="144"/>
        <v>0</v>
      </c>
      <c r="AI197" s="24" t="s">
        <v>1024</v>
      </c>
      <c r="AJ197" s="14">
        <f t="shared" si="145"/>
        <v>0</v>
      </c>
      <c r="AK197" s="14">
        <f t="shared" si="146"/>
        <v>0</v>
      </c>
      <c r="AL197" s="14">
        <f t="shared" si="147"/>
        <v>0</v>
      </c>
      <c r="AN197" s="30">
        <v>21</v>
      </c>
      <c r="AO197" s="30">
        <f>H197*0</f>
        <v>0</v>
      </c>
      <c r="AP197" s="30">
        <f>H197*(1-0)</f>
        <v>0</v>
      </c>
      <c r="AQ197" s="25" t="s">
        <v>13</v>
      </c>
      <c r="AV197" s="30">
        <f t="shared" si="148"/>
        <v>0</v>
      </c>
      <c r="AW197" s="30">
        <f t="shared" si="149"/>
        <v>0</v>
      </c>
      <c r="AX197" s="30">
        <f t="shared" si="150"/>
        <v>0</v>
      </c>
      <c r="AY197" s="31" t="s">
        <v>1051</v>
      </c>
      <c r="AZ197" s="31" t="s">
        <v>1070</v>
      </c>
      <c r="BA197" s="24" t="s">
        <v>1080</v>
      </c>
      <c r="BC197" s="30">
        <f t="shared" si="151"/>
        <v>0</v>
      </c>
      <c r="BD197" s="30">
        <f t="shared" si="152"/>
        <v>0</v>
      </c>
      <c r="BE197" s="30">
        <v>0</v>
      </c>
      <c r="BF197" s="30">
        <f>197</f>
        <v>197</v>
      </c>
      <c r="BH197" s="14">
        <f t="shared" si="153"/>
        <v>0</v>
      </c>
      <c r="BI197" s="14">
        <f t="shared" si="154"/>
        <v>0</v>
      </c>
      <c r="BJ197" s="14">
        <f t="shared" si="155"/>
        <v>0</v>
      </c>
    </row>
    <row r="198" spans="1:62" ht="12.75">
      <c r="A198" s="4" t="s">
        <v>162</v>
      </c>
      <c r="B198" s="4" t="s">
        <v>482</v>
      </c>
      <c r="C198" s="153" t="s">
        <v>824</v>
      </c>
      <c r="D198" s="154"/>
      <c r="E198" s="154"/>
      <c r="F198" s="4" t="s">
        <v>995</v>
      </c>
      <c r="G198" s="64">
        <v>95.58</v>
      </c>
      <c r="H198" s="82">
        <v>0</v>
      </c>
      <c r="I198" s="14">
        <f t="shared" si="134"/>
        <v>0</v>
      </c>
      <c r="J198" s="14">
        <f t="shared" si="135"/>
        <v>0</v>
      </c>
      <c r="K198" s="14">
        <f t="shared" si="136"/>
        <v>0</v>
      </c>
      <c r="L198" s="25" t="s">
        <v>1014</v>
      </c>
      <c r="Z198" s="30">
        <f t="shared" si="137"/>
        <v>0</v>
      </c>
      <c r="AB198" s="30">
        <f t="shared" si="138"/>
        <v>0</v>
      </c>
      <c r="AC198" s="30">
        <f t="shared" si="139"/>
        <v>0</v>
      </c>
      <c r="AD198" s="30">
        <f t="shared" si="140"/>
        <v>0</v>
      </c>
      <c r="AE198" s="30">
        <f t="shared" si="141"/>
        <v>0</v>
      </c>
      <c r="AF198" s="30">
        <f t="shared" si="142"/>
        <v>0</v>
      </c>
      <c r="AG198" s="30">
        <f t="shared" si="143"/>
        <v>0</v>
      </c>
      <c r="AH198" s="30">
        <f t="shared" si="144"/>
        <v>0</v>
      </c>
      <c r="AI198" s="24" t="s">
        <v>1024</v>
      </c>
      <c r="AJ198" s="14">
        <f t="shared" si="145"/>
        <v>0</v>
      </c>
      <c r="AK198" s="14">
        <f t="shared" si="146"/>
        <v>0</v>
      </c>
      <c r="AL198" s="14">
        <f t="shared" si="147"/>
        <v>0</v>
      </c>
      <c r="AN198" s="30">
        <v>21</v>
      </c>
      <c r="AO198" s="30">
        <f>H198*0</f>
        <v>0</v>
      </c>
      <c r="AP198" s="30">
        <f>H198*(1-0)</f>
        <v>0</v>
      </c>
      <c r="AQ198" s="25" t="s">
        <v>13</v>
      </c>
      <c r="AV198" s="30">
        <f t="shared" si="148"/>
        <v>0</v>
      </c>
      <c r="AW198" s="30">
        <f t="shared" si="149"/>
        <v>0</v>
      </c>
      <c r="AX198" s="30">
        <f t="shared" si="150"/>
        <v>0</v>
      </c>
      <c r="AY198" s="31" t="s">
        <v>1051</v>
      </c>
      <c r="AZ198" s="31" t="s">
        <v>1070</v>
      </c>
      <c r="BA198" s="24" t="s">
        <v>1080</v>
      </c>
      <c r="BC198" s="30">
        <f t="shared" si="151"/>
        <v>0</v>
      </c>
      <c r="BD198" s="30">
        <f t="shared" si="152"/>
        <v>0</v>
      </c>
      <c r="BE198" s="30">
        <v>0</v>
      </c>
      <c r="BF198" s="30">
        <f>198</f>
        <v>198</v>
      </c>
      <c r="BH198" s="14">
        <f t="shared" si="153"/>
        <v>0</v>
      </c>
      <c r="BI198" s="14">
        <f t="shared" si="154"/>
        <v>0</v>
      </c>
      <c r="BJ198" s="14">
        <f t="shared" si="155"/>
        <v>0</v>
      </c>
    </row>
    <row r="199" spans="1:62" ht="12.75">
      <c r="A199" s="4" t="s">
        <v>163</v>
      </c>
      <c r="B199" s="4" t="s">
        <v>483</v>
      </c>
      <c r="C199" s="153" t="s">
        <v>825</v>
      </c>
      <c r="D199" s="154"/>
      <c r="E199" s="154"/>
      <c r="F199" s="4" t="s">
        <v>995</v>
      </c>
      <c r="G199" s="64">
        <v>96</v>
      </c>
      <c r="H199" s="82">
        <v>0</v>
      </c>
      <c r="I199" s="14">
        <f t="shared" si="134"/>
        <v>0</v>
      </c>
      <c r="J199" s="14">
        <f t="shared" si="135"/>
        <v>0</v>
      </c>
      <c r="K199" s="14">
        <f t="shared" si="136"/>
        <v>0</v>
      </c>
      <c r="L199" s="25" t="s">
        <v>1014</v>
      </c>
      <c r="Z199" s="30">
        <f t="shared" si="137"/>
        <v>0</v>
      </c>
      <c r="AB199" s="30">
        <f t="shared" si="138"/>
        <v>0</v>
      </c>
      <c r="AC199" s="30">
        <f t="shared" si="139"/>
        <v>0</v>
      </c>
      <c r="AD199" s="30">
        <f t="shared" si="140"/>
        <v>0</v>
      </c>
      <c r="AE199" s="30">
        <f t="shared" si="141"/>
        <v>0</v>
      </c>
      <c r="AF199" s="30">
        <f t="shared" si="142"/>
        <v>0</v>
      </c>
      <c r="AG199" s="30">
        <f t="shared" si="143"/>
        <v>0</v>
      </c>
      <c r="AH199" s="30">
        <f t="shared" si="144"/>
        <v>0</v>
      </c>
      <c r="AI199" s="24" t="s">
        <v>1024</v>
      </c>
      <c r="AJ199" s="14">
        <f t="shared" si="145"/>
        <v>0</v>
      </c>
      <c r="AK199" s="14">
        <f t="shared" si="146"/>
        <v>0</v>
      </c>
      <c r="AL199" s="14">
        <f t="shared" si="147"/>
        <v>0</v>
      </c>
      <c r="AN199" s="30">
        <v>21</v>
      </c>
      <c r="AO199" s="30">
        <f>H199*0.75</f>
        <v>0</v>
      </c>
      <c r="AP199" s="30">
        <f>H199*(1-0.75)</f>
        <v>0</v>
      </c>
      <c r="AQ199" s="25" t="s">
        <v>13</v>
      </c>
      <c r="AV199" s="30">
        <f t="shared" si="148"/>
        <v>0</v>
      </c>
      <c r="AW199" s="30">
        <f t="shared" si="149"/>
        <v>0</v>
      </c>
      <c r="AX199" s="30">
        <f t="shared" si="150"/>
        <v>0</v>
      </c>
      <c r="AY199" s="31" t="s">
        <v>1051</v>
      </c>
      <c r="AZ199" s="31" t="s">
        <v>1070</v>
      </c>
      <c r="BA199" s="24" t="s">
        <v>1080</v>
      </c>
      <c r="BC199" s="30">
        <f t="shared" si="151"/>
        <v>0</v>
      </c>
      <c r="BD199" s="30">
        <f t="shared" si="152"/>
        <v>0</v>
      </c>
      <c r="BE199" s="30">
        <v>0</v>
      </c>
      <c r="BF199" s="30">
        <f>199</f>
        <v>199</v>
      </c>
      <c r="BH199" s="14">
        <f t="shared" si="153"/>
        <v>0</v>
      </c>
      <c r="BI199" s="14">
        <f t="shared" si="154"/>
        <v>0</v>
      </c>
      <c r="BJ199" s="14">
        <f t="shared" si="155"/>
        <v>0</v>
      </c>
    </row>
    <row r="200" spans="1:62" ht="12.75">
      <c r="A200" s="4" t="s">
        <v>164</v>
      </c>
      <c r="B200" s="4" t="s">
        <v>484</v>
      </c>
      <c r="C200" s="153" t="s">
        <v>826</v>
      </c>
      <c r="D200" s="154"/>
      <c r="E200" s="154"/>
      <c r="F200" s="4" t="s">
        <v>995</v>
      </c>
      <c r="G200" s="64">
        <v>3.95</v>
      </c>
      <c r="H200" s="82">
        <v>0</v>
      </c>
      <c r="I200" s="14">
        <f t="shared" si="134"/>
        <v>0</v>
      </c>
      <c r="J200" s="14">
        <f t="shared" si="135"/>
        <v>0</v>
      </c>
      <c r="K200" s="14">
        <f t="shared" si="136"/>
        <v>0</v>
      </c>
      <c r="L200" s="25" t="s">
        <v>1014</v>
      </c>
      <c r="Z200" s="30">
        <f t="shared" si="137"/>
        <v>0</v>
      </c>
      <c r="AB200" s="30">
        <f t="shared" si="138"/>
        <v>0</v>
      </c>
      <c r="AC200" s="30">
        <f t="shared" si="139"/>
        <v>0</v>
      </c>
      <c r="AD200" s="30">
        <f t="shared" si="140"/>
        <v>0</v>
      </c>
      <c r="AE200" s="30">
        <f t="shared" si="141"/>
        <v>0</v>
      </c>
      <c r="AF200" s="30">
        <f t="shared" si="142"/>
        <v>0</v>
      </c>
      <c r="AG200" s="30">
        <f t="shared" si="143"/>
        <v>0</v>
      </c>
      <c r="AH200" s="30">
        <f t="shared" si="144"/>
        <v>0</v>
      </c>
      <c r="AI200" s="24" t="s">
        <v>1024</v>
      </c>
      <c r="AJ200" s="14">
        <f t="shared" si="145"/>
        <v>0</v>
      </c>
      <c r="AK200" s="14">
        <f t="shared" si="146"/>
        <v>0</v>
      </c>
      <c r="AL200" s="14">
        <f t="shared" si="147"/>
        <v>0</v>
      </c>
      <c r="AN200" s="30">
        <v>21</v>
      </c>
      <c r="AO200" s="30">
        <f>H200*0.356712109061748</f>
        <v>0</v>
      </c>
      <c r="AP200" s="30">
        <f>H200*(1-0.356712109061748)</f>
        <v>0</v>
      </c>
      <c r="AQ200" s="25" t="s">
        <v>13</v>
      </c>
      <c r="AV200" s="30">
        <f t="shared" si="148"/>
        <v>0</v>
      </c>
      <c r="AW200" s="30">
        <f t="shared" si="149"/>
        <v>0</v>
      </c>
      <c r="AX200" s="30">
        <f t="shared" si="150"/>
        <v>0</v>
      </c>
      <c r="AY200" s="31" t="s">
        <v>1051</v>
      </c>
      <c r="AZ200" s="31" t="s">
        <v>1070</v>
      </c>
      <c r="BA200" s="24" t="s">
        <v>1080</v>
      </c>
      <c r="BC200" s="30">
        <f t="shared" si="151"/>
        <v>0</v>
      </c>
      <c r="BD200" s="30">
        <f t="shared" si="152"/>
        <v>0</v>
      </c>
      <c r="BE200" s="30">
        <v>0</v>
      </c>
      <c r="BF200" s="30">
        <f>200</f>
        <v>200</v>
      </c>
      <c r="BH200" s="14">
        <f t="shared" si="153"/>
        <v>0</v>
      </c>
      <c r="BI200" s="14">
        <f t="shared" si="154"/>
        <v>0</v>
      </c>
      <c r="BJ200" s="14">
        <f t="shared" si="155"/>
        <v>0</v>
      </c>
    </row>
    <row r="201" spans="1:62" ht="12.75">
      <c r="A201" s="4" t="s">
        <v>165</v>
      </c>
      <c r="B201" s="4" t="s">
        <v>485</v>
      </c>
      <c r="C201" s="153" t="s">
        <v>826</v>
      </c>
      <c r="D201" s="154"/>
      <c r="E201" s="154"/>
      <c r="F201" s="4" t="s">
        <v>995</v>
      </c>
      <c r="G201" s="64">
        <v>48.95</v>
      </c>
      <c r="H201" s="82">
        <v>0</v>
      </c>
      <c r="I201" s="14">
        <f t="shared" si="134"/>
        <v>0</v>
      </c>
      <c r="J201" s="14">
        <f t="shared" si="135"/>
        <v>0</v>
      </c>
      <c r="K201" s="14">
        <f t="shared" si="136"/>
        <v>0</v>
      </c>
      <c r="L201" s="25" t="s">
        <v>1014</v>
      </c>
      <c r="Z201" s="30">
        <f t="shared" si="137"/>
        <v>0</v>
      </c>
      <c r="AB201" s="30">
        <f t="shared" si="138"/>
        <v>0</v>
      </c>
      <c r="AC201" s="30">
        <f t="shared" si="139"/>
        <v>0</v>
      </c>
      <c r="AD201" s="30">
        <f t="shared" si="140"/>
        <v>0</v>
      </c>
      <c r="AE201" s="30">
        <f t="shared" si="141"/>
        <v>0</v>
      </c>
      <c r="AF201" s="30">
        <f t="shared" si="142"/>
        <v>0</v>
      </c>
      <c r="AG201" s="30">
        <f t="shared" si="143"/>
        <v>0</v>
      </c>
      <c r="AH201" s="30">
        <f t="shared" si="144"/>
        <v>0</v>
      </c>
      <c r="AI201" s="24" t="s">
        <v>1024</v>
      </c>
      <c r="AJ201" s="14">
        <f t="shared" si="145"/>
        <v>0</v>
      </c>
      <c r="AK201" s="14">
        <f t="shared" si="146"/>
        <v>0</v>
      </c>
      <c r="AL201" s="14">
        <f t="shared" si="147"/>
        <v>0</v>
      </c>
      <c r="AN201" s="30">
        <v>21</v>
      </c>
      <c r="AO201" s="30">
        <f>H201*0.356714719271624</f>
        <v>0</v>
      </c>
      <c r="AP201" s="30">
        <f>H201*(1-0.356714719271624)</f>
        <v>0</v>
      </c>
      <c r="AQ201" s="25" t="s">
        <v>13</v>
      </c>
      <c r="AV201" s="30">
        <f t="shared" si="148"/>
        <v>0</v>
      </c>
      <c r="AW201" s="30">
        <f t="shared" si="149"/>
        <v>0</v>
      </c>
      <c r="AX201" s="30">
        <f t="shared" si="150"/>
        <v>0</v>
      </c>
      <c r="AY201" s="31" t="s">
        <v>1051</v>
      </c>
      <c r="AZ201" s="31" t="s">
        <v>1070</v>
      </c>
      <c r="BA201" s="24" t="s">
        <v>1080</v>
      </c>
      <c r="BC201" s="30">
        <f t="shared" si="151"/>
        <v>0</v>
      </c>
      <c r="BD201" s="30">
        <f t="shared" si="152"/>
        <v>0</v>
      </c>
      <c r="BE201" s="30">
        <v>0</v>
      </c>
      <c r="BF201" s="30">
        <f>201</f>
        <v>201</v>
      </c>
      <c r="BH201" s="14">
        <f t="shared" si="153"/>
        <v>0</v>
      </c>
      <c r="BI201" s="14">
        <f t="shared" si="154"/>
        <v>0</v>
      </c>
      <c r="BJ201" s="14">
        <f t="shared" si="155"/>
        <v>0</v>
      </c>
    </row>
    <row r="202" spans="1:62" ht="12.75">
      <c r="A202" s="4" t="s">
        <v>166</v>
      </c>
      <c r="B202" s="4" t="s">
        <v>486</v>
      </c>
      <c r="C202" s="153" t="s">
        <v>827</v>
      </c>
      <c r="D202" s="154"/>
      <c r="E202" s="154"/>
      <c r="F202" s="4" t="s">
        <v>995</v>
      </c>
      <c r="G202" s="64">
        <v>27.6</v>
      </c>
      <c r="H202" s="82">
        <v>0</v>
      </c>
      <c r="I202" s="14">
        <f t="shared" si="134"/>
        <v>0</v>
      </c>
      <c r="J202" s="14">
        <f t="shared" si="135"/>
        <v>0</v>
      </c>
      <c r="K202" s="14">
        <f t="shared" si="136"/>
        <v>0</v>
      </c>
      <c r="L202" s="25" t="s">
        <v>1014</v>
      </c>
      <c r="Z202" s="30">
        <f t="shared" si="137"/>
        <v>0</v>
      </c>
      <c r="AB202" s="30">
        <f t="shared" si="138"/>
        <v>0</v>
      </c>
      <c r="AC202" s="30">
        <f t="shared" si="139"/>
        <v>0</v>
      </c>
      <c r="AD202" s="30">
        <f t="shared" si="140"/>
        <v>0</v>
      </c>
      <c r="AE202" s="30">
        <f t="shared" si="141"/>
        <v>0</v>
      </c>
      <c r="AF202" s="30">
        <f t="shared" si="142"/>
        <v>0</v>
      </c>
      <c r="AG202" s="30">
        <f t="shared" si="143"/>
        <v>0</v>
      </c>
      <c r="AH202" s="30">
        <f t="shared" si="144"/>
        <v>0</v>
      </c>
      <c r="AI202" s="24" t="s">
        <v>1024</v>
      </c>
      <c r="AJ202" s="14">
        <f t="shared" si="145"/>
        <v>0</v>
      </c>
      <c r="AK202" s="14">
        <f t="shared" si="146"/>
        <v>0</v>
      </c>
      <c r="AL202" s="14">
        <f t="shared" si="147"/>
        <v>0</v>
      </c>
      <c r="AN202" s="30">
        <v>21</v>
      </c>
      <c r="AO202" s="30">
        <f>H202*0.356716981132075</f>
        <v>0</v>
      </c>
      <c r="AP202" s="30">
        <f>H202*(1-0.356716981132075)</f>
        <v>0</v>
      </c>
      <c r="AQ202" s="25" t="s">
        <v>13</v>
      </c>
      <c r="AV202" s="30">
        <f t="shared" si="148"/>
        <v>0</v>
      </c>
      <c r="AW202" s="30">
        <f t="shared" si="149"/>
        <v>0</v>
      </c>
      <c r="AX202" s="30">
        <f t="shared" si="150"/>
        <v>0</v>
      </c>
      <c r="AY202" s="31" t="s">
        <v>1051</v>
      </c>
      <c r="AZ202" s="31" t="s">
        <v>1070</v>
      </c>
      <c r="BA202" s="24" t="s">
        <v>1080</v>
      </c>
      <c r="BC202" s="30">
        <f t="shared" si="151"/>
        <v>0</v>
      </c>
      <c r="BD202" s="30">
        <f t="shared" si="152"/>
        <v>0</v>
      </c>
      <c r="BE202" s="30">
        <v>0</v>
      </c>
      <c r="BF202" s="30">
        <f>202</f>
        <v>202</v>
      </c>
      <c r="BH202" s="14">
        <f t="shared" si="153"/>
        <v>0</v>
      </c>
      <c r="BI202" s="14">
        <f t="shared" si="154"/>
        <v>0</v>
      </c>
      <c r="BJ202" s="14">
        <f t="shared" si="155"/>
        <v>0</v>
      </c>
    </row>
    <row r="203" spans="1:62" ht="12.75">
      <c r="A203" s="4" t="s">
        <v>167</v>
      </c>
      <c r="B203" s="4" t="s">
        <v>487</v>
      </c>
      <c r="C203" s="153" t="s">
        <v>828</v>
      </c>
      <c r="D203" s="154"/>
      <c r="E203" s="154"/>
      <c r="F203" s="4" t="s">
        <v>995</v>
      </c>
      <c r="G203" s="64">
        <v>5</v>
      </c>
      <c r="H203" s="82">
        <v>0</v>
      </c>
      <c r="I203" s="14">
        <f t="shared" si="134"/>
        <v>0</v>
      </c>
      <c r="J203" s="14">
        <f t="shared" si="135"/>
        <v>0</v>
      </c>
      <c r="K203" s="14">
        <f t="shared" si="136"/>
        <v>0</v>
      </c>
      <c r="L203" s="25" t="s">
        <v>1014</v>
      </c>
      <c r="Z203" s="30">
        <f t="shared" si="137"/>
        <v>0</v>
      </c>
      <c r="AB203" s="30">
        <f t="shared" si="138"/>
        <v>0</v>
      </c>
      <c r="AC203" s="30">
        <f t="shared" si="139"/>
        <v>0</v>
      </c>
      <c r="AD203" s="30">
        <f t="shared" si="140"/>
        <v>0</v>
      </c>
      <c r="AE203" s="30">
        <f t="shared" si="141"/>
        <v>0</v>
      </c>
      <c r="AF203" s="30">
        <f t="shared" si="142"/>
        <v>0</v>
      </c>
      <c r="AG203" s="30">
        <f t="shared" si="143"/>
        <v>0</v>
      </c>
      <c r="AH203" s="30">
        <f t="shared" si="144"/>
        <v>0</v>
      </c>
      <c r="AI203" s="24" t="s">
        <v>1024</v>
      </c>
      <c r="AJ203" s="14">
        <f t="shared" si="145"/>
        <v>0</v>
      </c>
      <c r="AK203" s="14">
        <f t="shared" si="146"/>
        <v>0</v>
      </c>
      <c r="AL203" s="14">
        <f t="shared" si="147"/>
        <v>0</v>
      </c>
      <c r="AN203" s="30">
        <v>21</v>
      </c>
      <c r="AO203" s="30">
        <f>H203*0.356716529543755</f>
        <v>0</v>
      </c>
      <c r="AP203" s="30">
        <f>H203*(1-0.356716529543755)</f>
        <v>0</v>
      </c>
      <c r="AQ203" s="25" t="s">
        <v>13</v>
      </c>
      <c r="AV203" s="30">
        <f t="shared" si="148"/>
        <v>0</v>
      </c>
      <c r="AW203" s="30">
        <f t="shared" si="149"/>
        <v>0</v>
      </c>
      <c r="AX203" s="30">
        <f t="shared" si="150"/>
        <v>0</v>
      </c>
      <c r="AY203" s="31" t="s">
        <v>1051</v>
      </c>
      <c r="AZ203" s="31" t="s">
        <v>1070</v>
      </c>
      <c r="BA203" s="24" t="s">
        <v>1080</v>
      </c>
      <c r="BC203" s="30">
        <f t="shared" si="151"/>
        <v>0</v>
      </c>
      <c r="BD203" s="30">
        <f t="shared" si="152"/>
        <v>0</v>
      </c>
      <c r="BE203" s="30">
        <v>0</v>
      </c>
      <c r="BF203" s="30">
        <f>203</f>
        <v>203</v>
      </c>
      <c r="BH203" s="14">
        <f t="shared" si="153"/>
        <v>0</v>
      </c>
      <c r="BI203" s="14">
        <f t="shared" si="154"/>
        <v>0</v>
      </c>
      <c r="BJ203" s="14">
        <f t="shared" si="155"/>
        <v>0</v>
      </c>
    </row>
    <row r="204" spans="1:62" ht="12.75">
      <c r="A204" s="4" t="s">
        <v>168</v>
      </c>
      <c r="B204" s="4" t="s">
        <v>488</v>
      </c>
      <c r="C204" s="153" t="s">
        <v>829</v>
      </c>
      <c r="D204" s="154"/>
      <c r="E204" s="154"/>
      <c r="F204" s="4" t="s">
        <v>995</v>
      </c>
      <c r="G204" s="64">
        <v>4.05</v>
      </c>
      <c r="H204" s="82">
        <v>0</v>
      </c>
      <c r="I204" s="14">
        <f t="shared" si="134"/>
        <v>0</v>
      </c>
      <c r="J204" s="14">
        <f t="shared" si="135"/>
        <v>0</v>
      </c>
      <c r="K204" s="14">
        <f t="shared" si="136"/>
        <v>0</v>
      </c>
      <c r="L204" s="25" t="s">
        <v>1014</v>
      </c>
      <c r="Z204" s="30">
        <f t="shared" si="137"/>
        <v>0</v>
      </c>
      <c r="AB204" s="30">
        <f t="shared" si="138"/>
        <v>0</v>
      </c>
      <c r="AC204" s="30">
        <f t="shared" si="139"/>
        <v>0</v>
      </c>
      <c r="AD204" s="30">
        <f t="shared" si="140"/>
        <v>0</v>
      </c>
      <c r="AE204" s="30">
        <f t="shared" si="141"/>
        <v>0</v>
      </c>
      <c r="AF204" s="30">
        <f t="shared" si="142"/>
        <v>0</v>
      </c>
      <c r="AG204" s="30">
        <f t="shared" si="143"/>
        <v>0</v>
      </c>
      <c r="AH204" s="30">
        <f t="shared" si="144"/>
        <v>0</v>
      </c>
      <c r="AI204" s="24" t="s">
        <v>1024</v>
      </c>
      <c r="AJ204" s="14">
        <f t="shared" si="145"/>
        <v>0</v>
      </c>
      <c r="AK204" s="14">
        <f t="shared" si="146"/>
        <v>0</v>
      </c>
      <c r="AL204" s="14">
        <f t="shared" si="147"/>
        <v>0</v>
      </c>
      <c r="AN204" s="30">
        <v>21</v>
      </c>
      <c r="AO204" s="30">
        <f>H204*0.356705882352941</f>
        <v>0</v>
      </c>
      <c r="AP204" s="30">
        <f>H204*(1-0.356705882352941)</f>
        <v>0</v>
      </c>
      <c r="AQ204" s="25" t="s">
        <v>13</v>
      </c>
      <c r="AV204" s="30">
        <f t="shared" si="148"/>
        <v>0</v>
      </c>
      <c r="AW204" s="30">
        <f t="shared" si="149"/>
        <v>0</v>
      </c>
      <c r="AX204" s="30">
        <f t="shared" si="150"/>
        <v>0</v>
      </c>
      <c r="AY204" s="31" t="s">
        <v>1051</v>
      </c>
      <c r="AZ204" s="31" t="s">
        <v>1070</v>
      </c>
      <c r="BA204" s="24" t="s">
        <v>1080</v>
      </c>
      <c r="BC204" s="30">
        <f t="shared" si="151"/>
        <v>0</v>
      </c>
      <c r="BD204" s="30">
        <f t="shared" si="152"/>
        <v>0</v>
      </c>
      <c r="BE204" s="30">
        <v>0</v>
      </c>
      <c r="BF204" s="30">
        <f>204</f>
        <v>204</v>
      </c>
      <c r="BH204" s="14">
        <f t="shared" si="153"/>
        <v>0</v>
      </c>
      <c r="BI204" s="14">
        <f t="shared" si="154"/>
        <v>0</v>
      </c>
      <c r="BJ204" s="14">
        <f t="shared" si="155"/>
        <v>0</v>
      </c>
    </row>
    <row r="205" spans="1:62" ht="12.75">
      <c r="A205" s="4" t="s">
        <v>169</v>
      </c>
      <c r="B205" s="4" t="s">
        <v>489</v>
      </c>
      <c r="C205" s="153" t="s">
        <v>830</v>
      </c>
      <c r="D205" s="154"/>
      <c r="E205" s="154"/>
      <c r="F205" s="4" t="s">
        <v>995</v>
      </c>
      <c r="G205" s="64">
        <v>1.38</v>
      </c>
      <c r="H205" s="82">
        <v>0</v>
      </c>
      <c r="I205" s="14">
        <f t="shared" si="134"/>
        <v>0</v>
      </c>
      <c r="J205" s="14">
        <f t="shared" si="135"/>
        <v>0</v>
      </c>
      <c r="K205" s="14">
        <f t="shared" si="136"/>
        <v>0</v>
      </c>
      <c r="L205" s="25" t="s">
        <v>1014</v>
      </c>
      <c r="Z205" s="30">
        <f t="shared" si="137"/>
        <v>0</v>
      </c>
      <c r="AB205" s="30">
        <f t="shared" si="138"/>
        <v>0</v>
      </c>
      <c r="AC205" s="30">
        <f t="shared" si="139"/>
        <v>0</v>
      </c>
      <c r="AD205" s="30">
        <f t="shared" si="140"/>
        <v>0</v>
      </c>
      <c r="AE205" s="30">
        <f t="shared" si="141"/>
        <v>0</v>
      </c>
      <c r="AF205" s="30">
        <f t="shared" si="142"/>
        <v>0</v>
      </c>
      <c r="AG205" s="30">
        <f t="shared" si="143"/>
        <v>0</v>
      </c>
      <c r="AH205" s="30">
        <f t="shared" si="144"/>
        <v>0</v>
      </c>
      <c r="AI205" s="24" t="s">
        <v>1024</v>
      </c>
      <c r="AJ205" s="14">
        <f t="shared" si="145"/>
        <v>0</v>
      </c>
      <c r="AK205" s="14">
        <f t="shared" si="146"/>
        <v>0</v>
      </c>
      <c r="AL205" s="14">
        <f t="shared" si="147"/>
        <v>0</v>
      </c>
      <c r="AN205" s="30">
        <v>21</v>
      </c>
      <c r="AO205" s="30">
        <f>H205*0.356711111111111</f>
        <v>0</v>
      </c>
      <c r="AP205" s="30">
        <f>H205*(1-0.356711111111111)</f>
        <v>0</v>
      </c>
      <c r="AQ205" s="25" t="s">
        <v>13</v>
      </c>
      <c r="AV205" s="30">
        <f t="shared" si="148"/>
        <v>0</v>
      </c>
      <c r="AW205" s="30">
        <f t="shared" si="149"/>
        <v>0</v>
      </c>
      <c r="AX205" s="30">
        <f t="shared" si="150"/>
        <v>0</v>
      </c>
      <c r="AY205" s="31" t="s">
        <v>1051</v>
      </c>
      <c r="AZ205" s="31" t="s">
        <v>1070</v>
      </c>
      <c r="BA205" s="24" t="s">
        <v>1080</v>
      </c>
      <c r="BC205" s="30">
        <f t="shared" si="151"/>
        <v>0</v>
      </c>
      <c r="BD205" s="30">
        <f t="shared" si="152"/>
        <v>0</v>
      </c>
      <c r="BE205" s="30">
        <v>0</v>
      </c>
      <c r="BF205" s="30">
        <f>205</f>
        <v>205</v>
      </c>
      <c r="BH205" s="14">
        <f t="shared" si="153"/>
        <v>0</v>
      </c>
      <c r="BI205" s="14">
        <f t="shared" si="154"/>
        <v>0</v>
      </c>
      <c r="BJ205" s="14">
        <f t="shared" si="155"/>
        <v>0</v>
      </c>
    </row>
    <row r="206" spans="1:62" ht="12.75">
      <c r="A206" s="4" t="s">
        <v>170</v>
      </c>
      <c r="B206" s="4" t="s">
        <v>490</v>
      </c>
      <c r="C206" s="153" t="s">
        <v>831</v>
      </c>
      <c r="D206" s="154"/>
      <c r="E206" s="154"/>
      <c r="F206" s="4" t="s">
        <v>995</v>
      </c>
      <c r="G206" s="64">
        <v>7.32</v>
      </c>
      <c r="H206" s="82">
        <v>0</v>
      </c>
      <c r="I206" s="14">
        <f t="shared" si="134"/>
        <v>0</v>
      </c>
      <c r="J206" s="14">
        <f t="shared" si="135"/>
        <v>0</v>
      </c>
      <c r="K206" s="14">
        <f t="shared" si="136"/>
        <v>0</v>
      </c>
      <c r="L206" s="25" t="s">
        <v>1014</v>
      </c>
      <c r="Z206" s="30">
        <f t="shared" si="137"/>
        <v>0</v>
      </c>
      <c r="AB206" s="30">
        <f t="shared" si="138"/>
        <v>0</v>
      </c>
      <c r="AC206" s="30">
        <f t="shared" si="139"/>
        <v>0</v>
      </c>
      <c r="AD206" s="30">
        <f t="shared" si="140"/>
        <v>0</v>
      </c>
      <c r="AE206" s="30">
        <f t="shared" si="141"/>
        <v>0</v>
      </c>
      <c r="AF206" s="30">
        <f t="shared" si="142"/>
        <v>0</v>
      </c>
      <c r="AG206" s="30">
        <f t="shared" si="143"/>
        <v>0</v>
      </c>
      <c r="AH206" s="30">
        <f t="shared" si="144"/>
        <v>0</v>
      </c>
      <c r="AI206" s="24" t="s">
        <v>1024</v>
      </c>
      <c r="AJ206" s="14">
        <f t="shared" si="145"/>
        <v>0</v>
      </c>
      <c r="AK206" s="14">
        <f t="shared" si="146"/>
        <v>0</v>
      </c>
      <c r="AL206" s="14">
        <f t="shared" si="147"/>
        <v>0</v>
      </c>
      <c r="AN206" s="30">
        <v>21</v>
      </c>
      <c r="AO206" s="30">
        <f>H206*0.356710280373832</f>
        <v>0</v>
      </c>
      <c r="AP206" s="30">
        <f>H206*(1-0.356710280373832)</f>
        <v>0</v>
      </c>
      <c r="AQ206" s="25" t="s">
        <v>13</v>
      </c>
      <c r="AV206" s="30">
        <f t="shared" si="148"/>
        <v>0</v>
      </c>
      <c r="AW206" s="30">
        <f t="shared" si="149"/>
        <v>0</v>
      </c>
      <c r="AX206" s="30">
        <f t="shared" si="150"/>
        <v>0</v>
      </c>
      <c r="AY206" s="31" t="s">
        <v>1051</v>
      </c>
      <c r="AZ206" s="31" t="s">
        <v>1070</v>
      </c>
      <c r="BA206" s="24" t="s">
        <v>1080</v>
      </c>
      <c r="BC206" s="30">
        <f t="shared" si="151"/>
        <v>0</v>
      </c>
      <c r="BD206" s="30">
        <f t="shared" si="152"/>
        <v>0</v>
      </c>
      <c r="BE206" s="30">
        <v>0</v>
      </c>
      <c r="BF206" s="30">
        <f>206</f>
        <v>206</v>
      </c>
      <c r="BH206" s="14">
        <f t="shared" si="153"/>
        <v>0</v>
      </c>
      <c r="BI206" s="14">
        <f t="shared" si="154"/>
        <v>0</v>
      </c>
      <c r="BJ206" s="14">
        <f t="shared" si="155"/>
        <v>0</v>
      </c>
    </row>
    <row r="207" spans="1:62" ht="12.75">
      <c r="A207" s="4" t="s">
        <v>171</v>
      </c>
      <c r="B207" s="4" t="s">
        <v>491</v>
      </c>
      <c r="C207" s="153" t="s">
        <v>832</v>
      </c>
      <c r="D207" s="154"/>
      <c r="E207" s="154"/>
      <c r="F207" s="4" t="s">
        <v>995</v>
      </c>
      <c r="G207" s="64">
        <v>2.58</v>
      </c>
      <c r="H207" s="82">
        <v>0</v>
      </c>
      <c r="I207" s="14">
        <f t="shared" si="134"/>
        <v>0</v>
      </c>
      <c r="J207" s="14">
        <f t="shared" si="135"/>
        <v>0</v>
      </c>
      <c r="K207" s="14">
        <f t="shared" si="136"/>
        <v>0</v>
      </c>
      <c r="L207" s="25" t="s">
        <v>1014</v>
      </c>
      <c r="Z207" s="30">
        <f t="shared" si="137"/>
        <v>0</v>
      </c>
      <c r="AB207" s="30">
        <f t="shared" si="138"/>
        <v>0</v>
      </c>
      <c r="AC207" s="30">
        <f t="shared" si="139"/>
        <v>0</v>
      </c>
      <c r="AD207" s="30">
        <f t="shared" si="140"/>
        <v>0</v>
      </c>
      <c r="AE207" s="30">
        <f t="shared" si="141"/>
        <v>0</v>
      </c>
      <c r="AF207" s="30">
        <f t="shared" si="142"/>
        <v>0</v>
      </c>
      <c r="AG207" s="30">
        <f t="shared" si="143"/>
        <v>0</v>
      </c>
      <c r="AH207" s="30">
        <f t="shared" si="144"/>
        <v>0</v>
      </c>
      <c r="AI207" s="24" t="s">
        <v>1024</v>
      </c>
      <c r="AJ207" s="14">
        <f t="shared" si="145"/>
        <v>0</v>
      </c>
      <c r="AK207" s="14">
        <f t="shared" si="146"/>
        <v>0</v>
      </c>
      <c r="AL207" s="14">
        <f t="shared" si="147"/>
        <v>0</v>
      </c>
      <c r="AN207" s="30">
        <v>21</v>
      </c>
      <c r="AO207" s="30">
        <f>H207*0.35670687575392</f>
        <v>0</v>
      </c>
      <c r="AP207" s="30">
        <f>H207*(1-0.35670687575392)</f>
        <v>0</v>
      </c>
      <c r="AQ207" s="25" t="s">
        <v>13</v>
      </c>
      <c r="AV207" s="30">
        <f t="shared" si="148"/>
        <v>0</v>
      </c>
      <c r="AW207" s="30">
        <f t="shared" si="149"/>
        <v>0</v>
      </c>
      <c r="AX207" s="30">
        <f t="shared" si="150"/>
        <v>0</v>
      </c>
      <c r="AY207" s="31" t="s">
        <v>1051</v>
      </c>
      <c r="AZ207" s="31" t="s">
        <v>1070</v>
      </c>
      <c r="BA207" s="24" t="s">
        <v>1080</v>
      </c>
      <c r="BC207" s="30">
        <f t="shared" si="151"/>
        <v>0</v>
      </c>
      <c r="BD207" s="30">
        <f t="shared" si="152"/>
        <v>0</v>
      </c>
      <c r="BE207" s="30">
        <v>0</v>
      </c>
      <c r="BF207" s="30">
        <f>207</f>
        <v>207</v>
      </c>
      <c r="BH207" s="14">
        <f t="shared" si="153"/>
        <v>0</v>
      </c>
      <c r="BI207" s="14">
        <f t="shared" si="154"/>
        <v>0</v>
      </c>
      <c r="BJ207" s="14">
        <f t="shared" si="155"/>
        <v>0</v>
      </c>
    </row>
    <row r="208" spans="1:62" ht="12.75">
      <c r="A208" s="4" t="s">
        <v>172</v>
      </c>
      <c r="B208" s="4" t="s">
        <v>491</v>
      </c>
      <c r="C208" s="153" t="s">
        <v>833</v>
      </c>
      <c r="D208" s="154"/>
      <c r="E208" s="154"/>
      <c r="F208" s="4" t="s">
        <v>995</v>
      </c>
      <c r="G208" s="64">
        <v>4.3</v>
      </c>
      <c r="H208" s="82">
        <v>0</v>
      </c>
      <c r="I208" s="14">
        <f t="shared" si="134"/>
        <v>0</v>
      </c>
      <c r="J208" s="14">
        <f t="shared" si="135"/>
        <v>0</v>
      </c>
      <c r="K208" s="14">
        <f t="shared" si="136"/>
        <v>0</v>
      </c>
      <c r="L208" s="25" t="s">
        <v>1014</v>
      </c>
      <c r="Z208" s="30">
        <f t="shared" si="137"/>
        <v>0</v>
      </c>
      <c r="AB208" s="30">
        <f t="shared" si="138"/>
        <v>0</v>
      </c>
      <c r="AC208" s="30">
        <f t="shared" si="139"/>
        <v>0</v>
      </c>
      <c r="AD208" s="30">
        <f t="shared" si="140"/>
        <v>0</v>
      </c>
      <c r="AE208" s="30">
        <f t="shared" si="141"/>
        <v>0</v>
      </c>
      <c r="AF208" s="30">
        <f t="shared" si="142"/>
        <v>0</v>
      </c>
      <c r="AG208" s="30">
        <f t="shared" si="143"/>
        <v>0</v>
      </c>
      <c r="AH208" s="30">
        <f t="shared" si="144"/>
        <v>0</v>
      </c>
      <c r="AI208" s="24" t="s">
        <v>1024</v>
      </c>
      <c r="AJ208" s="14">
        <f t="shared" si="145"/>
        <v>0</v>
      </c>
      <c r="AK208" s="14">
        <f t="shared" si="146"/>
        <v>0</v>
      </c>
      <c r="AL208" s="14">
        <f t="shared" si="147"/>
        <v>0</v>
      </c>
      <c r="AN208" s="30">
        <v>21</v>
      </c>
      <c r="AO208" s="30">
        <f>H208*0.356705385427666</f>
        <v>0</v>
      </c>
      <c r="AP208" s="30">
        <f>H208*(1-0.356705385427666)</f>
        <v>0</v>
      </c>
      <c r="AQ208" s="25" t="s">
        <v>13</v>
      </c>
      <c r="AV208" s="30">
        <f t="shared" si="148"/>
        <v>0</v>
      </c>
      <c r="AW208" s="30">
        <f t="shared" si="149"/>
        <v>0</v>
      </c>
      <c r="AX208" s="30">
        <f t="shared" si="150"/>
        <v>0</v>
      </c>
      <c r="AY208" s="31" t="s">
        <v>1051</v>
      </c>
      <c r="AZ208" s="31" t="s">
        <v>1070</v>
      </c>
      <c r="BA208" s="24" t="s">
        <v>1080</v>
      </c>
      <c r="BC208" s="30">
        <f t="shared" si="151"/>
        <v>0</v>
      </c>
      <c r="BD208" s="30">
        <f t="shared" si="152"/>
        <v>0</v>
      </c>
      <c r="BE208" s="30">
        <v>0</v>
      </c>
      <c r="BF208" s="30">
        <f>208</f>
        <v>208</v>
      </c>
      <c r="BH208" s="14">
        <f t="shared" si="153"/>
        <v>0</v>
      </c>
      <c r="BI208" s="14">
        <f t="shared" si="154"/>
        <v>0</v>
      </c>
      <c r="BJ208" s="14">
        <f t="shared" si="155"/>
        <v>0</v>
      </c>
    </row>
    <row r="209" spans="1:62" ht="12.75">
      <c r="A209" s="4" t="s">
        <v>173</v>
      </c>
      <c r="B209" s="4" t="s">
        <v>492</v>
      </c>
      <c r="C209" s="153" t="s">
        <v>834</v>
      </c>
      <c r="D209" s="154"/>
      <c r="E209" s="154"/>
      <c r="F209" s="4" t="s">
        <v>995</v>
      </c>
      <c r="G209" s="64">
        <v>99.91</v>
      </c>
      <c r="H209" s="82">
        <v>0</v>
      </c>
      <c r="I209" s="14">
        <f t="shared" si="134"/>
        <v>0</v>
      </c>
      <c r="J209" s="14">
        <f t="shared" si="135"/>
        <v>0</v>
      </c>
      <c r="K209" s="14">
        <f t="shared" si="136"/>
        <v>0</v>
      </c>
      <c r="L209" s="25" t="s">
        <v>1014</v>
      </c>
      <c r="Z209" s="30">
        <f t="shared" si="137"/>
        <v>0</v>
      </c>
      <c r="AB209" s="30">
        <f t="shared" si="138"/>
        <v>0</v>
      </c>
      <c r="AC209" s="30">
        <f t="shared" si="139"/>
        <v>0</v>
      </c>
      <c r="AD209" s="30">
        <f t="shared" si="140"/>
        <v>0</v>
      </c>
      <c r="AE209" s="30">
        <f t="shared" si="141"/>
        <v>0</v>
      </c>
      <c r="AF209" s="30">
        <f t="shared" si="142"/>
        <v>0</v>
      </c>
      <c r="AG209" s="30">
        <f t="shared" si="143"/>
        <v>0</v>
      </c>
      <c r="AH209" s="30">
        <f t="shared" si="144"/>
        <v>0</v>
      </c>
      <c r="AI209" s="24" t="s">
        <v>1024</v>
      </c>
      <c r="AJ209" s="14">
        <f t="shared" si="145"/>
        <v>0</v>
      </c>
      <c r="AK209" s="14">
        <f t="shared" si="146"/>
        <v>0</v>
      </c>
      <c r="AL209" s="14">
        <f t="shared" si="147"/>
        <v>0</v>
      </c>
      <c r="AN209" s="30">
        <v>21</v>
      </c>
      <c r="AO209" s="30">
        <f>H209*0</f>
        <v>0</v>
      </c>
      <c r="AP209" s="30">
        <f>H209*(1-0)</f>
        <v>0</v>
      </c>
      <c r="AQ209" s="25" t="s">
        <v>13</v>
      </c>
      <c r="AV209" s="30">
        <f t="shared" si="148"/>
        <v>0</v>
      </c>
      <c r="AW209" s="30">
        <f t="shared" si="149"/>
        <v>0</v>
      </c>
      <c r="AX209" s="30">
        <f t="shared" si="150"/>
        <v>0</v>
      </c>
      <c r="AY209" s="31" t="s">
        <v>1051</v>
      </c>
      <c r="AZ209" s="31" t="s">
        <v>1070</v>
      </c>
      <c r="BA209" s="24" t="s">
        <v>1080</v>
      </c>
      <c r="BC209" s="30">
        <f t="shared" si="151"/>
        <v>0</v>
      </c>
      <c r="BD209" s="30">
        <f t="shared" si="152"/>
        <v>0</v>
      </c>
      <c r="BE209" s="30">
        <v>0</v>
      </c>
      <c r="BF209" s="30">
        <f>209</f>
        <v>209</v>
      </c>
      <c r="BH209" s="14">
        <f t="shared" si="153"/>
        <v>0</v>
      </c>
      <c r="BI209" s="14">
        <f t="shared" si="154"/>
        <v>0</v>
      </c>
      <c r="BJ209" s="14">
        <f t="shared" si="155"/>
        <v>0</v>
      </c>
    </row>
    <row r="210" spans="1:62" ht="12.75">
      <c r="A210" s="4" t="s">
        <v>174</v>
      </c>
      <c r="B210" s="4" t="s">
        <v>493</v>
      </c>
      <c r="C210" s="153" t="s">
        <v>835</v>
      </c>
      <c r="D210" s="154"/>
      <c r="E210" s="154"/>
      <c r="F210" s="4" t="s">
        <v>991</v>
      </c>
      <c r="G210" s="64">
        <v>5</v>
      </c>
      <c r="H210" s="82">
        <v>0</v>
      </c>
      <c r="I210" s="14">
        <f t="shared" si="134"/>
        <v>0</v>
      </c>
      <c r="J210" s="14">
        <f t="shared" si="135"/>
        <v>0</v>
      </c>
      <c r="K210" s="14">
        <f t="shared" si="136"/>
        <v>0</v>
      </c>
      <c r="L210" s="25" t="s">
        <v>1014</v>
      </c>
      <c r="Z210" s="30">
        <f t="shared" si="137"/>
        <v>0</v>
      </c>
      <c r="AB210" s="30">
        <f t="shared" si="138"/>
        <v>0</v>
      </c>
      <c r="AC210" s="30">
        <f t="shared" si="139"/>
        <v>0</v>
      </c>
      <c r="AD210" s="30">
        <f t="shared" si="140"/>
        <v>0</v>
      </c>
      <c r="AE210" s="30">
        <f t="shared" si="141"/>
        <v>0</v>
      </c>
      <c r="AF210" s="30">
        <f t="shared" si="142"/>
        <v>0</v>
      </c>
      <c r="AG210" s="30">
        <f t="shared" si="143"/>
        <v>0</v>
      </c>
      <c r="AH210" s="30">
        <f t="shared" si="144"/>
        <v>0</v>
      </c>
      <c r="AI210" s="24" t="s">
        <v>1024</v>
      </c>
      <c r="AJ210" s="14">
        <f t="shared" si="145"/>
        <v>0</v>
      </c>
      <c r="AK210" s="14">
        <f t="shared" si="146"/>
        <v>0</v>
      </c>
      <c r="AL210" s="14">
        <f t="shared" si="147"/>
        <v>0</v>
      </c>
      <c r="AN210" s="30">
        <v>21</v>
      </c>
      <c r="AO210" s="30">
        <f>H210*0</f>
        <v>0</v>
      </c>
      <c r="AP210" s="30">
        <f>H210*(1-0)</f>
        <v>0</v>
      </c>
      <c r="AQ210" s="25" t="s">
        <v>13</v>
      </c>
      <c r="AV210" s="30">
        <f t="shared" si="148"/>
        <v>0</v>
      </c>
      <c r="AW210" s="30">
        <f t="shared" si="149"/>
        <v>0</v>
      </c>
      <c r="AX210" s="30">
        <f t="shared" si="150"/>
        <v>0</v>
      </c>
      <c r="AY210" s="31" t="s">
        <v>1051</v>
      </c>
      <c r="AZ210" s="31" t="s">
        <v>1070</v>
      </c>
      <c r="BA210" s="24" t="s">
        <v>1080</v>
      </c>
      <c r="BC210" s="30">
        <f t="shared" si="151"/>
        <v>0</v>
      </c>
      <c r="BD210" s="30">
        <f t="shared" si="152"/>
        <v>0</v>
      </c>
      <c r="BE210" s="30">
        <v>0</v>
      </c>
      <c r="BF210" s="30">
        <f>210</f>
        <v>210</v>
      </c>
      <c r="BH210" s="14">
        <f t="shared" si="153"/>
        <v>0</v>
      </c>
      <c r="BI210" s="14">
        <f t="shared" si="154"/>
        <v>0</v>
      </c>
      <c r="BJ210" s="14">
        <f t="shared" si="155"/>
        <v>0</v>
      </c>
    </row>
    <row r="211" spans="1:62" ht="12.75">
      <c r="A211" s="4" t="s">
        <v>175</v>
      </c>
      <c r="B211" s="4" t="s">
        <v>494</v>
      </c>
      <c r="C211" s="153" t="s">
        <v>836</v>
      </c>
      <c r="D211" s="154"/>
      <c r="E211" s="154"/>
      <c r="F211" s="4" t="s">
        <v>995</v>
      </c>
      <c r="G211" s="64">
        <v>41.655</v>
      </c>
      <c r="H211" s="82">
        <v>0</v>
      </c>
      <c r="I211" s="14">
        <f t="shared" si="134"/>
        <v>0</v>
      </c>
      <c r="J211" s="14">
        <f t="shared" si="135"/>
        <v>0</v>
      </c>
      <c r="K211" s="14">
        <f t="shared" si="136"/>
        <v>0</v>
      </c>
      <c r="L211" s="25" t="s">
        <v>1014</v>
      </c>
      <c r="Z211" s="30">
        <f t="shared" si="137"/>
        <v>0</v>
      </c>
      <c r="AB211" s="30">
        <f t="shared" si="138"/>
        <v>0</v>
      </c>
      <c r="AC211" s="30">
        <f t="shared" si="139"/>
        <v>0</v>
      </c>
      <c r="AD211" s="30">
        <f t="shared" si="140"/>
        <v>0</v>
      </c>
      <c r="AE211" s="30">
        <f t="shared" si="141"/>
        <v>0</v>
      </c>
      <c r="AF211" s="30">
        <f t="shared" si="142"/>
        <v>0</v>
      </c>
      <c r="AG211" s="30">
        <f t="shared" si="143"/>
        <v>0</v>
      </c>
      <c r="AH211" s="30">
        <f t="shared" si="144"/>
        <v>0</v>
      </c>
      <c r="AI211" s="24" t="s">
        <v>1024</v>
      </c>
      <c r="AJ211" s="14">
        <f t="shared" si="145"/>
        <v>0</v>
      </c>
      <c r="AK211" s="14">
        <f t="shared" si="146"/>
        <v>0</v>
      </c>
      <c r="AL211" s="14">
        <f t="shared" si="147"/>
        <v>0</v>
      </c>
      <c r="AN211" s="30">
        <v>21</v>
      </c>
      <c r="AO211" s="30">
        <f>H211*0</f>
        <v>0</v>
      </c>
      <c r="AP211" s="30">
        <f>H211*(1-0)</f>
        <v>0</v>
      </c>
      <c r="AQ211" s="25" t="s">
        <v>13</v>
      </c>
      <c r="AV211" s="30">
        <f t="shared" si="148"/>
        <v>0</v>
      </c>
      <c r="AW211" s="30">
        <f t="shared" si="149"/>
        <v>0</v>
      </c>
      <c r="AX211" s="30">
        <f t="shared" si="150"/>
        <v>0</v>
      </c>
      <c r="AY211" s="31" t="s">
        <v>1051</v>
      </c>
      <c r="AZ211" s="31" t="s">
        <v>1070</v>
      </c>
      <c r="BA211" s="24" t="s">
        <v>1080</v>
      </c>
      <c r="BC211" s="30">
        <f t="shared" si="151"/>
        <v>0</v>
      </c>
      <c r="BD211" s="30">
        <f t="shared" si="152"/>
        <v>0</v>
      </c>
      <c r="BE211" s="30">
        <v>0</v>
      </c>
      <c r="BF211" s="30">
        <f>211</f>
        <v>211</v>
      </c>
      <c r="BH211" s="14">
        <f t="shared" si="153"/>
        <v>0</v>
      </c>
      <c r="BI211" s="14">
        <f t="shared" si="154"/>
        <v>0</v>
      </c>
      <c r="BJ211" s="14">
        <f t="shared" si="155"/>
        <v>0</v>
      </c>
    </row>
    <row r="212" spans="1:62" ht="12.75">
      <c r="A212" s="4" t="s">
        <v>176</v>
      </c>
      <c r="B212" s="4" t="s">
        <v>495</v>
      </c>
      <c r="C212" s="153" t="s">
        <v>837</v>
      </c>
      <c r="D212" s="154"/>
      <c r="E212" s="154"/>
      <c r="F212" s="4" t="s">
        <v>993</v>
      </c>
      <c r="G212" s="64">
        <v>0.83</v>
      </c>
      <c r="H212" s="82">
        <v>0</v>
      </c>
      <c r="I212" s="14">
        <f t="shared" si="134"/>
        <v>0</v>
      </c>
      <c r="J212" s="14">
        <f t="shared" si="135"/>
        <v>0</v>
      </c>
      <c r="K212" s="14">
        <f t="shared" si="136"/>
        <v>0</v>
      </c>
      <c r="L212" s="25" t="s">
        <v>1014</v>
      </c>
      <c r="Z212" s="30">
        <f t="shared" si="137"/>
        <v>0</v>
      </c>
      <c r="AB212" s="30">
        <f t="shared" si="138"/>
        <v>0</v>
      </c>
      <c r="AC212" s="30">
        <f t="shared" si="139"/>
        <v>0</v>
      </c>
      <c r="AD212" s="30">
        <f t="shared" si="140"/>
        <v>0</v>
      </c>
      <c r="AE212" s="30">
        <f t="shared" si="141"/>
        <v>0</v>
      </c>
      <c r="AF212" s="30">
        <f t="shared" si="142"/>
        <v>0</v>
      </c>
      <c r="AG212" s="30">
        <f t="shared" si="143"/>
        <v>0</v>
      </c>
      <c r="AH212" s="30">
        <f t="shared" si="144"/>
        <v>0</v>
      </c>
      <c r="AI212" s="24" t="s">
        <v>1024</v>
      </c>
      <c r="AJ212" s="14">
        <f t="shared" si="145"/>
        <v>0</v>
      </c>
      <c r="AK212" s="14">
        <f t="shared" si="146"/>
        <v>0</v>
      </c>
      <c r="AL212" s="14">
        <f t="shared" si="147"/>
        <v>0</v>
      </c>
      <c r="AN212" s="30">
        <v>21</v>
      </c>
      <c r="AO212" s="30">
        <f>H212*0.541498397435897</f>
        <v>0</v>
      </c>
      <c r="AP212" s="30">
        <f>H212*(1-0.541498397435897)</f>
        <v>0</v>
      </c>
      <c r="AQ212" s="25" t="s">
        <v>13</v>
      </c>
      <c r="AV212" s="30">
        <f t="shared" si="148"/>
        <v>0</v>
      </c>
      <c r="AW212" s="30">
        <f t="shared" si="149"/>
        <v>0</v>
      </c>
      <c r="AX212" s="30">
        <f t="shared" si="150"/>
        <v>0</v>
      </c>
      <c r="AY212" s="31" t="s">
        <v>1051</v>
      </c>
      <c r="AZ212" s="31" t="s">
        <v>1070</v>
      </c>
      <c r="BA212" s="24" t="s">
        <v>1080</v>
      </c>
      <c r="BC212" s="30">
        <f t="shared" si="151"/>
        <v>0</v>
      </c>
      <c r="BD212" s="30">
        <f t="shared" si="152"/>
        <v>0</v>
      </c>
      <c r="BE212" s="30">
        <v>0</v>
      </c>
      <c r="BF212" s="30">
        <f>212</f>
        <v>212</v>
      </c>
      <c r="BH212" s="14">
        <f t="shared" si="153"/>
        <v>0</v>
      </c>
      <c r="BI212" s="14">
        <f t="shared" si="154"/>
        <v>0</v>
      </c>
      <c r="BJ212" s="14">
        <f t="shared" si="155"/>
        <v>0</v>
      </c>
    </row>
    <row r="213" spans="1:62" ht="12.75">
      <c r="A213" s="4" t="s">
        <v>177</v>
      </c>
      <c r="B213" s="4" t="s">
        <v>496</v>
      </c>
      <c r="C213" s="153" t="s">
        <v>838</v>
      </c>
      <c r="D213" s="154"/>
      <c r="E213" s="154"/>
      <c r="F213" s="4" t="s">
        <v>995</v>
      </c>
      <c r="G213" s="64">
        <v>42</v>
      </c>
      <c r="H213" s="82">
        <v>0</v>
      </c>
      <c r="I213" s="14">
        <f t="shared" si="134"/>
        <v>0</v>
      </c>
      <c r="J213" s="14">
        <f t="shared" si="135"/>
        <v>0</v>
      </c>
      <c r="K213" s="14">
        <f t="shared" si="136"/>
        <v>0</v>
      </c>
      <c r="L213" s="25" t="s">
        <v>1014</v>
      </c>
      <c r="Z213" s="30">
        <f t="shared" si="137"/>
        <v>0</v>
      </c>
      <c r="AB213" s="30">
        <f t="shared" si="138"/>
        <v>0</v>
      </c>
      <c r="AC213" s="30">
        <f t="shared" si="139"/>
        <v>0</v>
      </c>
      <c r="AD213" s="30">
        <f t="shared" si="140"/>
        <v>0</v>
      </c>
      <c r="AE213" s="30">
        <f t="shared" si="141"/>
        <v>0</v>
      </c>
      <c r="AF213" s="30">
        <f t="shared" si="142"/>
        <v>0</v>
      </c>
      <c r="AG213" s="30">
        <f t="shared" si="143"/>
        <v>0</v>
      </c>
      <c r="AH213" s="30">
        <f t="shared" si="144"/>
        <v>0</v>
      </c>
      <c r="AI213" s="24" t="s">
        <v>1024</v>
      </c>
      <c r="AJ213" s="14">
        <f t="shared" si="145"/>
        <v>0</v>
      </c>
      <c r="AK213" s="14">
        <f t="shared" si="146"/>
        <v>0</v>
      </c>
      <c r="AL213" s="14">
        <f t="shared" si="147"/>
        <v>0</v>
      </c>
      <c r="AN213" s="30">
        <v>21</v>
      </c>
      <c r="AO213" s="30">
        <f>H213*0.495816170565529</f>
        <v>0</v>
      </c>
      <c r="AP213" s="30">
        <f>H213*(1-0.495816170565529)</f>
        <v>0</v>
      </c>
      <c r="AQ213" s="25" t="s">
        <v>13</v>
      </c>
      <c r="AV213" s="30">
        <f t="shared" si="148"/>
        <v>0</v>
      </c>
      <c r="AW213" s="30">
        <f t="shared" si="149"/>
        <v>0</v>
      </c>
      <c r="AX213" s="30">
        <f t="shared" si="150"/>
        <v>0</v>
      </c>
      <c r="AY213" s="31" t="s">
        <v>1051</v>
      </c>
      <c r="AZ213" s="31" t="s">
        <v>1070</v>
      </c>
      <c r="BA213" s="24" t="s">
        <v>1080</v>
      </c>
      <c r="BC213" s="30">
        <f t="shared" si="151"/>
        <v>0</v>
      </c>
      <c r="BD213" s="30">
        <f t="shared" si="152"/>
        <v>0</v>
      </c>
      <c r="BE213" s="30">
        <v>0</v>
      </c>
      <c r="BF213" s="30">
        <f>213</f>
        <v>213</v>
      </c>
      <c r="BH213" s="14">
        <f t="shared" si="153"/>
        <v>0</v>
      </c>
      <c r="BI213" s="14">
        <f t="shared" si="154"/>
        <v>0</v>
      </c>
      <c r="BJ213" s="14">
        <f t="shared" si="155"/>
        <v>0</v>
      </c>
    </row>
    <row r="214" spans="1:62" ht="12.75">
      <c r="A214" s="4" t="s">
        <v>178</v>
      </c>
      <c r="B214" s="4" t="s">
        <v>497</v>
      </c>
      <c r="C214" s="153" t="s">
        <v>839</v>
      </c>
      <c r="D214" s="154"/>
      <c r="E214" s="154"/>
      <c r="F214" s="4" t="s">
        <v>995</v>
      </c>
      <c r="G214" s="64">
        <v>106</v>
      </c>
      <c r="H214" s="82">
        <v>0</v>
      </c>
      <c r="I214" s="14">
        <f t="shared" si="134"/>
        <v>0</v>
      </c>
      <c r="J214" s="14">
        <f t="shared" si="135"/>
        <v>0</v>
      </c>
      <c r="K214" s="14">
        <f t="shared" si="136"/>
        <v>0</v>
      </c>
      <c r="L214" s="25" t="s">
        <v>1014</v>
      </c>
      <c r="Z214" s="30">
        <f t="shared" si="137"/>
        <v>0</v>
      </c>
      <c r="AB214" s="30">
        <f t="shared" si="138"/>
        <v>0</v>
      </c>
      <c r="AC214" s="30">
        <f t="shared" si="139"/>
        <v>0</v>
      </c>
      <c r="AD214" s="30">
        <f t="shared" si="140"/>
        <v>0</v>
      </c>
      <c r="AE214" s="30">
        <f t="shared" si="141"/>
        <v>0</v>
      </c>
      <c r="AF214" s="30">
        <f t="shared" si="142"/>
        <v>0</v>
      </c>
      <c r="AG214" s="30">
        <f t="shared" si="143"/>
        <v>0</v>
      </c>
      <c r="AH214" s="30">
        <f t="shared" si="144"/>
        <v>0</v>
      </c>
      <c r="AI214" s="24" t="s">
        <v>1024</v>
      </c>
      <c r="AJ214" s="14">
        <f t="shared" si="145"/>
        <v>0</v>
      </c>
      <c r="AK214" s="14">
        <f t="shared" si="146"/>
        <v>0</v>
      </c>
      <c r="AL214" s="14">
        <f t="shared" si="147"/>
        <v>0</v>
      </c>
      <c r="AN214" s="30">
        <v>21</v>
      </c>
      <c r="AO214" s="30">
        <f>H214*0.533403643336529</f>
        <v>0</v>
      </c>
      <c r="AP214" s="30">
        <f>H214*(1-0.533403643336529)</f>
        <v>0</v>
      </c>
      <c r="AQ214" s="25" t="s">
        <v>13</v>
      </c>
      <c r="AV214" s="30">
        <f t="shared" si="148"/>
        <v>0</v>
      </c>
      <c r="AW214" s="30">
        <f t="shared" si="149"/>
        <v>0</v>
      </c>
      <c r="AX214" s="30">
        <f t="shared" si="150"/>
        <v>0</v>
      </c>
      <c r="AY214" s="31" t="s">
        <v>1051</v>
      </c>
      <c r="AZ214" s="31" t="s">
        <v>1070</v>
      </c>
      <c r="BA214" s="24" t="s">
        <v>1080</v>
      </c>
      <c r="BC214" s="30">
        <f t="shared" si="151"/>
        <v>0</v>
      </c>
      <c r="BD214" s="30">
        <f t="shared" si="152"/>
        <v>0</v>
      </c>
      <c r="BE214" s="30">
        <v>0</v>
      </c>
      <c r="BF214" s="30">
        <f>214</f>
        <v>214</v>
      </c>
      <c r="BH214" s="14">
        <f t="shared" si="153"/>
        <v>0</v>
      </c>
      <c r="BI214" s="14">
        <f t="shared" si="154"/>
        <v>0</v>
      </c>
      <c r="BJ214" s="14">
        <f t="shared" si="155"/>
        <v>0</v>
      </c>
    </row>
    <row r="215" spans="1:62" ht="12.75">
      <c r="A215" s="4" t="s">
        <v>179</v>
      </c>
      <c r="B215" s="4" t="s">
        <v>498</v>
      </c>
      <c r="C215" s="153" t="s">
        <v>840</v>
      </c>
      <c r="D215" s="154"/>
      <c r="E215" s="154"/>
      <c r="F215" s="4" t="s">
        <v>991</v>
      </c>
      <c r="G215" s="64">
        <v>24</v>
      </c>
      <c r="H215" s="82">
        <v>0</v>
      </c>
      <c r="I215" s="14">
        <f t="shared" si="134"/>
        <v>0</v>
      </c>
      <c r="J215" s="14">
        <f t="shared" si="135"/>
        <v>0</v>
      </c>
      <c r="K215" s="14">
        <f t="shared" si="136"/>
        <v>0</v>
      </c>
      <c r="L215" s="25" t="s">
        <v>1014</v>
      </c>
      <c r="Z215" s="30">
        <f t="shared" si="137"/>
        <v>0</v>
      </c>
      <c r="AB215" s="30">
        <f t="shared" si="138"/>
        <v>0</v>
      </c>
      <c r="AC215" s="30">
        <f t="shared" si="139"/>
        <v>0</v>
      </c>
      <c r="AD215" s="30">
        <f t="shared" si="140"/>
        <v>0</v>
      </c>
      <c r="AE215" s="30">
        <f t="shared" si="141"/>
        <v>0</v>
      </c>
      <c r="AF215" s="30">
        <f t="shared" si="142"/>
        <v>0</v>
      </c>
      <c r="AG215" s="30">
        <f t="shared" si="143"/>
        <v>0</v>
      </c>
      <c r="AH215" s="30">
        <f t="shared" si="144"/>
        <v>0</v>
      </c>
      <c r="AI215" s="24" t="s">
        <v>1024</v>
      </c>
      <c r="AJ215" s="14">
        <f t="shared" si="145"/>
        <v>0</v>
      </c>
      <c r="AK215" s="14">
        <f t="shared" si="146"/>
        <v>0</v>
      </c>
      <c r="AL215" s="14">
        <f t="shared" si="147"/>
        <v>0</v>
      </c>
      <c r="AN215" s="30">
        <v>21</v>
      </c>
      <c r="AO215" s="30">
        <f>H215*0.474971521562246</f>
        <v>0</v>
      </c>
      <c r="AP215" s="30">
        <f>H215*(1-0.474971521562246)</f>
        <v>0</v>
      </c>
      <c r="AQ215" s="25" t="s">
        <v>13</v>
      </c>
      <c r="AV215" s="30">
        <f t="shared" si="148"/>
        <v>0</v>
      </c>
      <c r="AW215" s="30">
        <f t="shared" si="149"/>
        <v>0</v>
      </c>
      <c r="AX215" s="30">
        <f t="shared" si="150"/>
        <v>0</v>
      </c>
      <c r="AY215" s="31" t="s">
        <v>1051</v>
      </c>
      <c r="AZ215" s="31" t="s">
        <v>1070</v>
      </c>
      <c r="BA215" s="24" t="s">
        <v>1080</v>
      </c>
      <c r="BC215" s="30">
        <f t="shared" si="151"/>
        <v>0</v>
      </c>
      <c r="BD215" s="30">
        <f t="shared" si="152"/>
        <v>0</v>
      </c>
      <c r="BE215" s="30">
        <v>0</v>
      </c>
      <c r="BF215" s="30">
        <f>215</f>
        <v>215</v>
      </c>
      <c r="BH215" s="14">
        <f t="shared" si="153"/>
        <v>0</v>
      </c>
      <c r="BI215" s="14">
        <f t="shared" si="154"/>
        <v>0</v>
      </c>
      <c r="BJ215" s="14">
        <f t="shared" si="155"/>
        <v>0</v>
      </c>
    </row>
    <row r="216" spans="1:62" ht="12.75">
      <c r="A216" s="4" t="s">
        <v>180</v>
      </c>
      <c r="B216" s="4" t="s">
        <v>499</v>
      </c>
      <c r="C216" s="153" t="s">
        <v>841</v>
      </c>
      <c r="D216" s="154"/>
      <c r="E216" s="154"/>
      <c r="F216" s="4" t="s">
        <v>995</v>
      </c>
      <c r="G216" s="64">
        <v>96</v>
      </c>
      <c r="H216" s="82">
        <v>0</v>
      </c>
      <c r="I216" s="14">
        <f t="shared" si="134"/>
        <v>0</v>
      </c>
      <c r="J216" s="14">
        <f t="shared" si="135"/>
        <v>0</v>
      </c>
      <c r="K216" s="14">
        <f t="shared" si="136"/>
        <v>0</v>
      </c>
      <c r="L216" s="25" t="s">
        <v>1014</v>
      </c>
      <c r="Z216" s="30">
        <f t="shared" si="137"/>
        <v>0</v>
      </c>
      <c r="AB216" s="30">
        <f t="shared" si="138"/>
        <v>0</v>
      </c>
      <c r="AC216" s="30">
        <f t="shared" si="139"/>
        <v>0</v>
      </c>
      <c r="AD216" s="30">
        <f t="shared" si="140"/>
        <v>0</v>
      </c>
      <c r="AE216" s="30">
        <f t="shared" si="141"/>
        <v>0</v>
      </c>
      <c r="AF216" s="30">
        <f t="shared" si="142"/>
        <v>0</v>
      </c>
      <c r="AG216" s="30">
        <f t="shared" si="143"/>
        <v>0</v>
      </c>
      <c r="AH216" s="30">
        <f t="shared" si="144"/>
        <v>0</v>
      </c>
      <c r="AI216" s="24" t="s">
        <v>1024</v>
      </c>
      <c r="AJ216" s="14">
        <f t="shared" si="145"/>
        <v>0</v>
      </c>
      <c r="AK216" s="14">
        <f t="shared" si="146"/>
        <v>0</v>
      </c>
      <c r="AL216" s="14">
        <f t="shared" si="147"/>
        <v>0</v>
      </c>
      <c r="AN216" s="30">
        <v>21</v>
      </c>
      <c r="AO216" s="30">
        <f>H216*0.610895953757225</f>
        <v>0</v>
      </c>
      <c r="AP216" s="30">
        <f>H216*(1-0.610895953757225)</f>
        <v>0</v>
      </c>
      <c r="AQ216" s="25" t="s">
        <v>13</v>
      </c>
      <c r="AV216" s="30">
        <f t="shared" si="148"/>
        <v>0</v>
      </c>
      <c r="AW216" s="30">
        <f t="shared" si="149"/>
        <v>0</v>
      </c>
      <c r="AX216" s="30">
        <f t="shared" si="150"/>
        <v>0</v>
      </c>
      <c r="AY216" s="31" t="s">
        <v>1051</v>
      </c>
      <c r="AZ216" s="31" t="s">
        <v>1070</v>
      </c>
      <c r="BA216" s="24" t="s">
        <v>1080</v>
      </c>
      <c r="BC216" s="30">
        <f t="shared" si="151"/>
        <v>0</v>
      </c>
      <c r="BD216" s="30">
        <f t="shared" si="152"/>
        <v>0</v>
      </c>
      <c r="BE216" s="30">
        <v>0</v>
      </c>
      <c r="BF216" s="30">
        <f>216</f>
        <v>216</v>
      </c>
      <c r="BH216" s="14">
        <f t="shared" si="153"/>
        <v>0</v>
      </c>
      <c r="BI216" s="14">
        <f t="shared" si="154"/>
        <v>0</v>
      </c>
      <c r="BJ216" s="14">
        <f t="shared" si="155"/>
        <v>0</v>
      </c>
    </row>
    <row r="217" spans="1:62" ht="12.75">
      <c r="A217" s="4" t="s">
        <v>181</v>
      </c>
      <c r="B217" s="4" t="s">
        <v>500</v>
      </c>
      <c r="C217" s="153" t="s">
        <v>842</v>
      </c>
      <c r="D217" s="154"/>
      <c r="E217" s="154"/>
      <c r="F217" s="4" t="s">
        <v>995</v>
      </c>
      <c r="G217" s="64">
        <v>50</v>
      </c>
      <c r="H217" s="82">
        <v>0</v>
      </c>
      <c r="I217" s="14">
        <f t="shared" si="134"/>
        <v>0</v>
      </c>
      <c r="J217" s="14">
        <f t="shared" si="135"/>
        <v>0</v>
      </c>
      <c r="K217" s="14">
        <f t="shared" si="136"/>
        <v>0</v>
      </c>
      <c r="L217" s="25" t="s">
        <v>1014</v>
      </c>
      <c r="Z217" s="30">
        <f t="shared" si="137"/>
        <v>0</v>
      </c>
      <c r="AB217" s="30">
        <f t="shared" si="138"/>
        <v>0</v>
      </c>
      <c r="AC217" s="30">
        <f t="shared" si="139"/>
        <v>0</v>
      </c>
      <c r="AD217" s="30">
        <f t="shared" si="140"/>
        <v>0</v>
      </c>
      <c r="AE217" s="30">
        <f t="shared" si="141"/>
        <v>0</v>
      </c>
      <c r="AF217" s="30">
        <f t="shared" si="142"/>
        <v>0</v>
      </c>
      <c r="AG217" s="30">
        <f t="shared" si="143"/>
        <v>0</v>
      </c>
      <c r="AH217" s="30">
        <f t="shared" si="144"/>
        <v>0</v>
      </c>
      <c r="AI217" s="24" t="s">
        <v>1024</v>
      </c>
      <c r="AJ217" s="14">
        <f t="shared" si="145"/>
        <v>0</v>
      </c>
      <c r="AK217" s="14">
        <f t="shared" si="146"/>
        <v>0</v>
      </c>
      <c r="AL217" s="14">
        <f t="shared" si="147"/>
        <v>0</v>
      </c>
      <c r="AN217" s="30">
        <v>21</v>
      </c>
      <c r="AO217" s="30">
        <f>H217*0.777229862475442</f>
        <v>0</v>
      </c>
      <c r="AP217" s="30">
        <f>H217*(1-0.777229862475442)</f>
        <v>0</v>
      </c>
      <c r="AQ217" s="25" t="s">
        <v>13</v>
      </c>
      <c r="AV217" s="30">
        <f t="shared" si="148"/>
        <v>0</v>
      </c>
      <c r="AW217" s="30">
        <f t="shared" si="149"/>
        <v>0</v>
      </c>
      <c r="AX217" s="30">
        <f t="shared" si="150"/>
        <v>0</v>
      </c>
      <c r="AY217" s="31" t="s">
        <v>1051</v>
      </c>
      <c r="AZ217" s="31" t="s">
        <v>1070</v>
      </c>
      <c r="BA217" s="24" t="s">
        <v>1080</v>
      </c>
      <c r="BC217" s="30">
        <f t="shared" si="151"/>
        <v>0</v>
      </c>
      <c r="BD217" s="30">
        <f t="shared" si="152"/>
        <v>0</v>
      </c>
      <c r="BE217" s="30">
        <v>0</v>
      </c>
      <c r="BF217" s="30">
        <f>217</f>
        <v>217</v>
      </c>
      <c r="BH217" s="14">
        <f t="shared" si="153"/>
        <v>0</v>
      </c>
      <c r="BI217" s="14">
        <f t="shared" si="154"/>
        <v>0</v>
      </c>
      <c r="BJ217" s="14">
        <f t="shared" si="155"/>
        <v>0</v>
      </c>
    </row>
    <row r="218" spans="1:62" ht="12.75">
      <c r="A218" s="4" t="s">
        <v>182</v>
      </c>
      <c r="B218" s="4" t="s">
        <v>501</v>
      </c>
      <c r="C218" s="153" t="s">
        <v>843</v>
      </c>
      <c r="D218" s="154"/>
      <c r="E218" s="154"/>
      <c r="F218" s="4" t="s">
        <v>994</v>
      </c>
      <c r="G218" s="64">
        <v>5.917</v>
      </c>
      <c r="H218" s="82">
        <v>0</v>
      </c>
      <c r="I218" s="14">
        <f t="shared" si="134"/>
        <v>0</v>
      </c>
      <c r="J218" s="14">
        <f t="shared" si="135"/>
        <v>0</v>
      </c>
      <c r="K218" s="14">
        <f t="shared" si="136"/>
        <v>0</v>
      </c>
      <c r="L218" s="25" t="s">
        <v>1014</v>
      </c>
      <c r="Z218" s="30">
        <f t="shared" si="137"/>
        <v>0</v>
      </c>
      <c r="AB218" s="30">
        <f t="shared" si="138"/>
        <v>0</v>
      </c>
      <c r="AC218" s="30">
        <f t="shared" si="139"/>
        <v>0</v>
      </c>
      <c r="AD218" s="30">
        <f t="shared" si="140"/>
        <v>0</v>
      </c>
      <c r="AE218" s="30">
        <f t="shared" si="141"/>
        <v>0</v>
      </c>
      <c r="AF218" s="30">
        <f t="shared" si="142"/>
        <v>0</v>
      </c>
      <c r="AG218" s="30">
        <f t="shared" si="143"/>
        <v>0</v>
      </c>
      <c r="AH218" s="30">
        <f t="shared" si="144"/>
        <v>0</v>
      </c>
      <c r="AI218" s="24" t="s">
        <v>1024</v>
      </c>
      <c r="AJ218" s="14">
        <f t="shared" si="145"/>
        <v>0</v>
      </c>
      <c r="AK218" s="14">
        <f t="shared" si="146"/>
        <v>0</v>
      </c>
      <c r="AL218" s="14">
        <f t="shared" si="147"/>
        <v>0</v>
      </c>
      <c r="AN218" s="30">
        <v>21</v>
      </c>
      <c r="AO218" s="30">
        <f>H218*0</f>
        <v>0</v>
      </c>
      <c r="AP218" s="30">
        <f>H218*(1-0)</f>
        <v>0</v>
      </c>
      <c r="AQ218" s="25" t="s">
        <v>11</v>
      </c>
      <c r="AV218" s="30">
        <f t="shared" si="148"/>
        <v>0</v>
      </c>
      <c r="AW218" s="30">
        <f t="shared" si="149"/>
        <v>0</v>
      </c>
      <c r="AX218" s="30">
        <f t="shared" si="150"/>
        <v>0</v>
      </c>
      <c r="AY218" s="31" t="s">
        <v>1051</v>
      </c>
      <c r="AZ218" s="31" t="s">
        <v>1070</v>
      </c>
      <c r="BA218" s="24" t="s">
        <v>1080</v>
      </c>
      <c r="BC218" s="30">
        <f t="shared" si="151"/>
        <v>0</v>
      </c>
      <c r="BD218" s="30">
        <f t="shared" si="152"/>
        <v>0</v>
      </c>
      <c r="BE218" s="30">
        <v>0</v>
      </c>
      <c r="BF218" s="30">
        <f>218</f>
        <v>218</v>
      </c>
      <c r="BH218" s="14">
        <f t="shared" si="153"/>
        <v>0</v>
      </c>
      <c r="BI218" s="14">
        <f t="shared" si="154"/>
        <v>0</v>
      </c>
      <c r="BJ218" s="14">
        <f t="shared" si="155"/>
        <v>0</v>
      </c>
    </row>
    <row r="219" spans="1:47" ht="12.75">
      <c r="A219" s="3"/>
      <c r="B219" s="11" t="s">
        <v>502</v>
      </c>
      <c r="C219" s="151" t="s">
        <v>844</v>
      </c>
      <c r="D219" s="152"/>
      <c r="E219" s="152"/>
      <c r="F219" s="3" t="s">
        <v>6</v>
      </c>
      <c r="G219" s="3" t="s">
        <v>6</v>
      </c>
      <c r="H219" s="3" t="s">
        <v>6</v>
      </c>
      <c r="I219" s="32">
        <f>SUM(I220:I239)</f>
        <v>0</v>
      </c>
      <c r="J219" s="32">
        <f>SUM(J220:J239)</f>
        <v>0</v>
      </c>
      <c r="K219" s="32">
        <f>SUM(K220:K239)</f>
        <v>0</v>
      </c>
      <c r="L219" s="24"/>
      <c r="AI219" s="24" t="s">
        <v>1024</v>
      </c>
      <c r="AS219" s="32">
        <f>SUM(AJ220:AJ239)</f>
        <v>0</v>
      </c>
      <c r="AT219" s="32">
        <f>SUM(AK220:AK239)</f>
        <v>0</v>
      </c>
      <c r="AU219" s="32">
        <f>SUM(AL220:AL239)</f>
        <v>0</v>
      </c>
    </row>
    <row r="220" spans="1:62" ht="12.75">
      <c r="A220" s="4" t="s">
        <v>183</v>
      </c>
      <c r="B220" s="4" t="s">
        <v>503</v>
      </c>
      <c r="C220" s="153" t="s">
        <v>845</v>
      </c>
      <c r="D220" s="154"/>
      <c r="E220" s="154"/>
      <c r="F220" s="4" t="s">
        <v>995</v>
      </c>
      <c r="G220" s="64">
        <v>17.5</v>
      </c>
      <c r="H220" s="82">
        <v>0</v>
      </c>
      <c r="I220" s="14">
        <f aca="true" t="shared" si="156" ref="I220:I239">G220*AO220</f>
        <v>0</v>
      </c>
      <c r="J220" s="14">
        <f aca="true" t="shared" si="157" ref="J220:J239">G220*AP220</f>
        <v>0</v>
      </c>
      <c r="K220" s="14">
        <f aca="true" t="shared" si="158" ref="K220:K239">G220*H220</f>
        <v>0</v>
      </c>
      <c r="L220" s="25" t="s">
        <v>1014</v>
      </c>
      <c r="Z220" s="30">
        <f aca="true" t="shared" si="159" ref="Z220:Z239">IF(AQ220="5",BJ220,0)</f>
        <v>0</v>
      </c>
      <c r="AB220" s="30">
        <f aca="true" t="shared" si="160" ref="AB220:AB239">IF(AQ220="1",BH220,0)</f>
        <v>0</v>
      </c>
      <c r="AC220" s="30">
        <f aca="true" t="shared" si="161" ref="AC220:AC239">IF(AQ220="1",BI220,0)</f>
        <v>0</v>
      </c>
      <c r="AD220" s="30">
        <f aca="true" t="shared" si="162" ref="AD220:AD239">IF(AQ220="7",BH220,0)</f>
        <v>0</v>
      </c>
      <c r="AE220" s="30">
        <f aca="true" t="shared" si="163" ref="AE220:AE239">IF(AQ220="7",BI220,0)</f>
        <v>0</v>
      </c>
      <c r="AF220" s="30">
        <f aca="true" t="shared" si="164" ref="AF220:AF239">IF(AQ220="2",BH220,0)</f>
        <v>0</v>
      </c>
      <c r="AG220" s="30">
        <f aca="true" t="shared" si="165" ref="AG220:AG239">IF(AQ220="2",BI220,0)</f>
        <v>0</v>
      </c>
      <c r="AH220" s="30">
        <f aca="true" t="shared" si="166" ref="AH220:AH239">IF(AQ220="0",BJ220,0)</f>
        <v>0</v>
      </c>
      <c r="AI220" s="24" t="s">
        <v>1024</v>
      </c>
      <c r="AJ220" s="14">
        <f aca="true" t="shared" si="167" ref="AJ220:AJ239">IF(AN220=0,K220,0)</f>
        <v>0</v>
      </c>
      <c r="AK220" s="14">
        <f aca="true" t="shared" si="168" ref="AK220:AK239">IF(AN220=15,K220,0)</f>
        <v>0</v>
      </c>
      <c r="AL220" s="14">
        <f aca="true" t="shared" si="169" ref="AL220:AL239">IF(AN220=21,K220,0)</f>
        <v>0</v>
      </c>
      <c r="AN220" s="30">
        <v>21</v>
      </c>
      <c r="AO220" s="30">
        <f>H220*0.65</f>
        <v>0</v>
      </c>
      <c r="AP220" s="30">
        <f>H220*(1-0.65)</f>
        <v>0</v>
      </c>
      <c r="AQ220" s="25" t="s">
        <v>13</v>
      </c>
      <c r="AV220" s="30">
        <f aca="true" t="shared" si="170" ref="AV220:AV239">AW220+AX220</f>
        <v>0</v>
      </c>
      <c r="AW220" s="30">
        <f aca="true" t="shared" si="171" ref="AW220:AW239">G220*AO220</f>
        <v>0</v>
      </c>
      <c r="AX220" s="30">
        <f aca="true" t="shared" si="172" ref="AX220:AX239">G220*AP220</f>
        <v>0</v>
      </c>
      <c r="AY220" s="31" t="s">
        <v>1052</v>
      </c>
      <c r="AZ220" s="31" t="s">
        <v>1070</v>
      </c>
      <c r="BA220" s="24" t="s">
        <v>1080</v>
      </c>
      <c r="BC220" s="30">
        <f aca="true" t="shared" si="173" ref="BC220:BC239">AW220+AX220</f>
        <v>0</v>
      </c>
      <c r="BD220" s="30">
        <f aca="true" t="shared" si="174" ref="BD220:BD239">H220/(100-BE220)*100</f>
        <v>0</v>
      </c>
      <c r="BE220" s="30">
        <v>0</v>
      </c>
      <c r="BF220" s="30">
        <f>220</f>
        <v>220</v>
      </c>
      <c r="BH220" s="14">
        <f aca="true" t="shared" si="175" ref="BH220:BH239">G220*AO220</f>
        <v>0</v>
      </c>
      <c r="BI220" s="14">
        <f aca="true" t="shared" si="176" ref="BI220:BI239">G220*AP220</f>
        <v>0</v>
      </c>
      <c r="BJ220" s="14">
        <f aca="true" t="shared" si="177" ref="BJ220:BJ239">G220*H220</f>
        <v>0</v>
      </c>
    </row>
    <row r="221" spans="1:62" ht="12.75">
      <c r="A221" s="4" t="s">
        <v>184</v>
      </c>
      <c r="B221" s="4" t="s">
        <v>504</v>
      </c>
      <c r="C221" s="153" t="s">
        <v>846</v>
      </c>
      <c r="D221" s="154"/>
      <c r="E221" s="154"/>
      <c r="F221" s="4" t="s">
        <v>993</v>
      </c>
      <c r="G221" s="64">
        <v>52.5</v>
      </c>
      <c r="H221" s="82">
        <v>0</v>
      </c>
      <c r="I221" s="14">
        <f t="shared" si="156"/>
        <v>0</v>
      </c>
      <c r="J221" s="14">
        <f t="shared" si="157"/>
        <v>0</v>
      </c>
      <c r="K221" s="14">
        <f t="shared" si="158"/>
        <v>0</v>
      </c>
      <c r="L221" s="25" t="s">
        <v>1014</v>
      </c>
      <c r="Z221" s="30">
        <f t="shared" si="159"/>
        <v>0</v>
      </c>
      <c r="AB221" s="30">
        <f t="shared" si="160"/>
        <v>0</v>
      </c>
      <c r="AC221" s="30">
        <f t="shared" si="161"/>
        <v>0</v>
      </c>
      <c r="AD221" s="30">
        <f t="shared" si="162"/>
        <v>0</v>
      </c>
      <c r="AE221" s="30">
        <f t="shared" si="163"/>
        <v>0</v>
      </c>
      <c r="AF221" s="30">
        <f t="shared" si="164"/>
        <v>0</v>
      </c>
      <c r="AG221" s="30">
        <f t="shared" si="165"/>
        <v>0</v>
      </c>
      <c r="AH221" s="30">
        <f t="shared" si="166"/>
        <v>0</v>
      </c>
      <c r="AI221" s="24" t="s">
        <v>1024</v>
      </c>
      <c r="AJ221" s="14">
        <f t="shared" si="167"/>
        <v>0</v>
      </c>
      <c r="AK221" s="14">
        <f t="shared" si="168"/>
        <v>0</v>
      </c>
      <c r="AL221" s="14">
        <f t="shared" si="169"/>
        <v>0</v>
      </c>
      <c r="AN221" s="30">
        <v>21</v>
      </c>
      <c r="AO221" s="30">
        <f>H221*0.0310269899359561</f>
        <v>0</v>
      </c>
      <c r="AP221" s="30">
        <f>H221*(1-0.0310269899359561)</f>
        <v>0</v>
      </c>
      <c r="AQ221" s="25" t="s">
        <v>13</v>
      </c>
      <c r="AV221" s="30">
        <f t="shared" si="170"/>
        <v>0</v>
      </c>
      <c r="AW221" s="30">
        <f t="shared" si="171"/>
        <v>0</v>
      </c>
      <c r="AX221" s="30">
        <f t="shared" si="172"/>
        <v>0</v>
      </c>
      <c r="AY221" s="31" t="s">
        <v>1052</v>
      </c>
      <c r="AZ221" s="31" t="s">
        <v>1070</v>
      </c>
      <c r="BA221" s="24" t="s">
        <v>1080</v>
      </c>
      <c r="BC221" s="30">
        <f t="shared" si="173"/>
        <v>0</v>
      </c>
      <c r="BD221" s="30">
        <f t="shared" si="174"/>
        <v>0</v>
      </c>
      <c r="BE221" s="30">
        <v>0</v>
      </c>
      <c r="BF221" s="30">
        <f>221</f>
        <v>221</v>
      </c>
      <c r="BH221" s="14">
        <f t="shared" si="175"/>
        <v>0</v>
      </c>
      <c r="BI221" s="14">
        <f t="shared" si="176"/>
        <v>0</v>
      </c>
      <c r="BJ221" s="14">
        <f t="shared" si="177"/>
        <v>0</v>
      </c>
    </row>
    <row r="222" spans="1:62" ht="12.75">
      <c r="A222" s="4" t="s">
        <v>185</v>
      </c>
      <c r="B222" s="4" t="s">
        <v>505</v>
      </c>
      <c r="C222" s="153" t="s">
        <v>847</v>
      </c>
      <c r="D222" s="154"/>
      <c r="E222" s="154"/>
      <c r="F222" s="4" t="s">
        <v>993</v>
      </c>
      <c r="G222" s="64">
        <v>52.569</v>
      </c>
      <c r="H222" s="82">
        <v>0</v>
      </c>
      <c r="I222" s="14">
        <f t="shared" si="156"/>
        <v>0</v>
      </c>
      <c r="J222" s="14">
        <f t="shared" si="157"/>
        <v>0</v>
      </c>
      <c r="K222" s="14">
        <f t="shared" si="158"/>
        <v>0</v>
      </c>
      <c r="L222" s="25" t="s">
        <v>1014</v>
      </c>
      <c r="Z222" s="30">
        <f t="shared" si="159"/>
        <v>0</v>
      </c>
      <c r="AB222" s="30">
        <f t="shared" si="160"/>
        <v>0</v>
      </c>
      <c r="AC222" s="30">
        <f t="shared" si="161"/>
        <v>0</v>
      </c>
      <c r="AD222" s="30">
        <f t="shared" si="162"/>
        <v>0</v>
      </c>
      <c r="AE222" s="30">
        <f t="shared" si="163"/>
        <v>0</v>
      </c>
      <c r="AF222" s="30">
        <f t="shared" si="164"/>
        <v>0</v>
      </c>
      <c r="AG222" s="30">
        <f t="shared" si="165"/>
        <v>0</v>
      </c>
      <c r="AH222" s="30">
        <f t="shared" si="166"/>
        <v>0</v>
      </c>
      <c r="AI222" s="24" t="s">
        <v>1024</v>
      </c>
      <c r="AJ222" s="14">
        <f t="shared" si="167"/>
        <v>0</v>
      </c>
      <c r="AK222" s="14">
        <f t="shared" si="168"/>
        <v>0</v>
      </c>
      <c r="AL222" s="14">
        <f t="shared" si="169"/>
        <v>0</v>
      </c>
      <c r="AN222" s="30">
        <v>21</v>
      </c>
      <c r="AO222" s="30">
        <f>H222*0</f>
        <v>0</v>
      </c>
      <c r="AP222" s="30">
        <f>H222*(1-0)</f>
        <v>0</v>
      </c>
      <c r="AQ222" s="25" t="s">
        <v>13</v>
      </c>
      <c r="AV222" s="30">
        <f t="shared" si="170"/>
        <v>0</v>
      </c>
      <c r="AW222" s="30">
        <f t="shared" si="171"/>
        <v>0</v>
      </c>
      <c r="AX222" s="30">
        <f t="shared" si="172"/>
        <v>0</v>
      </c>
      <c r="AY222" s="31" t="s">
        <v>1052</v>
      </c>
      <c r="AZ222" s="31" t="s">
        <v>1070</v>
      </c>
      <c r="BA222" s="24" t="s">
        <v>1080</v>
      </c>
      <c r="BC222" s="30">
        <f t="shared" si="173"/>
        <v>0</v>
      </c>
      <c r="BD222" s="30">
        <f t="shared" si="174"/>
        <v>0</v>
      </c>
      <c r="BE222" s="30">
        <v>0</v>
      </c>
      <c r="BF222" s="30">
        <f>222</f>
        <v>222</v>
      </c>
      <c r="BH222" s="14">
        <f t="shared" si="175"/>
        <v>0</v>
      </c>
      <c r="BI222" s="14">
        <f t="shared" si="176"/>
        <v>0</v>
      </c>
      <c r="BJ222" s="14">
        <f t="shared" si="177"/>
        <v>0</v>
      </c>
    </row>
    <row r="223" spans="1:62" ht="12.75">
      <c r="A223" s="4" t="s">
        <v>186</v>
      </c>
      <c r="B223" s="4" t="s">
        <v>506</v>
      </c>
      <c r="C223" s="153" t="s">
        <v>848</v>
      </c>
      <c r="D223" s="154"/>
      <c r="E223" s="154"/>
      <c r="F223" s="4" t="s">
        <v>993</v>
      </c>
      <c r="G223" s="64">
        <v>9.5</v>
      </c>
      <c r="H223" s="82">
        <v>0</v>
      </c>
      <c r="I223" s="14">
        <f t="shared" si="156"/>
        <v>0</v>
      </c>
      <c r="J223" s="14">
        <f t="shared" si="157"/>
        <v>0</v>
      </c>
      <c r="K223" s="14">
        <f t="shared" si="158"/>
        <v>0</v>
      </c>
      <c r="L223" s="25" t="s">
        <v>1014</v>
      </c>
      <c r="Z223" s="30">
        <f t="shared" si="159"/>
        <v>0</v>
      </c>
      <c r="AB223" s="30">
        <f t="shared" si="160"/>
        <v>0</v>
      </c>
      <c r="AC223" s="30">
        <f t="shared" si="161"/>
        <v>0</v>
      </c>
      <c r="AD223" s="30">
        <f t="shared" si="162"/>
        <v>0</v>
      </c>
      <c r="AE223" s="30">
        <f t="shared" si="163"/>
        <v>0</v>
      </c>
      <c r="AF223" s="30">
        <f t="shared" si="164"/>
        <v>0</v>
      </c>
      <c r="AG223" s="30">
        <f t="shared" si="165"/>
        <v>0</v>
      </c>
      <c r="AH223" s="30">
        <f t="shared" si="166"/>
        <v>0</v>
      </c>
      <c r="AI223" s="24" t="s">
        <v>1024</v>
      </c>
      <c r="AJ223" s="14">
        <f t="shared" si="167"/>
        <v>0</v>
      </c>
      <c r="AK223" s="14">
        <f t="shared" si="168"/>
        <v>0</v>
      </c>
      <c r="AL223" s="14">
        <f t="shared" si="169"/>
        <v>0</v>
      </c>
      <c r="AN223" s="30">
        <v>21</v>
      </c>
      <c r="AO223" s="30">
        <f>H223*0.65</f>
        <v>0</v>
      </c>
      <c r="AP223" s="30">
        <f>H223*(1-0.65)</f>
        <v>0</v>
      </c>
      <c r="AQ223" s="25" t="s">
        <v>13</v>
      </c>
      <c r="AV223" s="30">
        <f t="shared" si="170"/>
        <v>0</v>
      </c>
      <c r="AW223" s="30">
        <f t="shared" si="171"/>
        <v>0</v>
      </c>
      <c r="AX223" s="30">
        <f t="shared" si="172"/>
        <v>0</v>
      </c>
      <c r="AY223" s="31" t="s">
        <v>1052</v>
      </c>
      <c r="AZ223" s="31" t="s">
        <v>1070</v>
      </c>
      <c r="BA223" s="24" t="s">
        <v>1080</v>
      </c>
      <c r="BC223" s="30">
        <f t="shared" si="173"/>
        <v>0</v>
      </c>
      <c r="BD223" s="30">
        <f t="shared" si="174"/>
        <v>0</v>
      </c>
      <c r="BE223" s="30">
        <v>0</v>
      </c>
      <c r="BF223" s="30">
        <f>223</f>
        <v>223</v>
      </c>
      <c r="BH223" s="14">
        <f t="shared" si="175"/>
        <v>0</v>
      </c>
      <c r="BI223" s="14">
        <f t="shared" si="176"/>
        <v>0</v>
      </c>
      <c r="BJ223" s="14">
        <f t="shared" si="177"/>
        <v>0</v>
      </c>
    </row>
    <row r="224" spans="1:62" ht="12.75">
      <c r="A224" s="4" t="s">
        <v>187</v>
      </c>
      <c r="B224" s="4" t="s">
        <v>507</v>
      </c>
      <c r="C224" s="153" t="s">
        <v>849</v>
      </c>
      <c r="D224" s="154"/>
      <c r="E224" s="154"/>
      <c r="F224" s="4" t="s">
        <v>995</v>
      </c>
      <c r="G224" s="64">
        <v>247.5</v>
      </c>
      <c r="H224" s="82">
        <v>0</v>
      </c>
      <c r="I224" s="14">
        <f t="shared" si="156"/>
        <v>0</v>
      </c>
      <c r="J224" s="14">
        <f t="shared" si="157"/>
        <v>0</v>
      </c>
      <c r="K224" s="14">
        <f t="shared" si="158"/>
        <v>0</v>
      </c>
      <c r="L224" s="25" t="s">
        <v>1014</v>
      </c>
      <c r="Z224" s="30">
        <f t="shared" si="159"/>
        <v>0</v>
      </c>
      <c r="AB224" s="30">
        <f t="shared" si="160"/>
        <v>0</v>
      </c>
      <c r="AC224" s="30">
        <f t="shared" si="161"/>
        <v>0</v>
      </c>
      <c r="AD224" s="30">
        <f t="shared" si="162"/>
        <v>0</v>
      </c>
      <c r="AE224" s="30">
        <f t="shared" si="163"/>
        <v>0</v>
      </c>
      <c r="AF224" s="30">
        <f t="shared" si="164"/>
        <v>0</v>
      </c>
      <c r="AG224" s="30">
        <f t="shared" si="165"/>
        <v>0</v>
      </c>
      <c r="AH224" s="30">
        <f t="shared" si="166"/>
        <v>0</v>
      </c>
      <c r="AI224" s="24" t="s">
        <v>1024</v>
      </c>
      <c r="AJ224" s="14">
        <f t="shared" si="167"/>
        <v>0</v>
      </c>
      <c r="AK224" s="14">
        <f t="shared" si="168"/>
        <v>0</v>
      </c>
      <c r="AL224" s="14">
        <f t="shared" si="169"/>
        <v>0</v>
      </c>
      <c r="AN224" s="30">
        <v>21</v>
      </c>
      <c r="AO224" s="30">
        <f>H224*0.423699731903485</f>
        <v>0</v>
      </c>
      <c r="AP224" s="30">
        <f>H224*(1-0.423699731903485)</f>
        <v>0</v>
      </c>
      <c r="AQ224" s="25" t="s">
        <v>13</v>
      </c>
      <c r="AV224" s="30">
        <f t="shared" si="170"/>
        <v>0</v>
      </c>
      <c r="AW224" s="30">
        <f t="shared" si="171"/>
        <v>0</v>
      </c>
      <c r="AX224" s="30">
        <f t="shared" si="172"/>
        <v>0</v>
      </c>
      <c r="AY224" s="31" t="s">
        <v>1052</v>
      </c>
      <c r="AZ224" s="31" t="s">
        <v>1070</v>
      </c>
      <c r="BA224" s="24" t="s">
        <v>1080</v>
      </c>
      <c r="BC224" s="30">
        <f t="shared" si="173"/>
        <v>0</v>
      </c>
      <c r="BD224" s="30">
        <f t="shared" si="174"/>
        <v>0</v>
      </c>
      <c r="BE224" s="30">
        <v>0</v>
      </c>
      <c r="BF224" s="30">
        <f>224</f>
        <v>224</v>
      </c>
      <c r="BH224" s="14">
        <f t="shared" si="175"/>
        <v>0</v>
      </c>
      <c r="BI224" s="14">
        <f t="shared" si="176"/>
        <v>0</v>
      </c>
      <c r="BJ224" s="14">
        <f t="shared" si="177"/>
        <v>0</v>
      </c>
    </row>
    <row r="225" spans="1:62" ht="12.75">
      <c r="A225" s="4" t="s">
        <v>188</v>
      </c>
      <c r="B225" s="4" t="s">
        <v>508</v>
      </c>
      <c r="C225" s="153" t="s">
        <v>850</v>
      </c>
      <c r="D225" s="154"/>
      <c r="E225" s="154"/>
      <c r="F225" s="4" t="s">
        <v>995</v>
      </c>
      <c r="G225" s="64">
        <v>59.5</v>
      </c>
      <c r="H225" s="82">
        <v>0</v>
      </c>
      <c r="I225" s="14">
        <f t="shared" si="156"/>
        <v>0</v>
      </c>
      <c r="J225" s="14">
        <f t="shared" si="157"/>
        <v>0</v>
      </c>
      <c r="K225" s="14">
        <f t="shared" si="158"/>
        <v>0</v>
      </c>
      <c r="L225" s="25" t="s">
        <v>1014</v>
      </c>
      <c r="Z225" s="30">
        <f t="shared" si="159"/>
        <v>0</v>
      </c>
      <c r="AB225" s="30">
        <f t="shared" si="160"/>
        <v>0</v>
      </c>
      <c r="AC225" s="30">
        <f t="shared" si="161"/>
        <v>0</v>
      </c>
      <c r="AD225" s="30">
        <f t="shared" si="162"/>
        <v>0</v>
      </c>
      <c r="AE225" s="30">
        <f t="shared" si="163"/>
        <v>0</v>
      </c>
      <c r="AF225" s="30">
        <f t="shared" si="164"/>
        <v>0</v>
      </c>
      <c r="AG225" s="30">
        <f t="shared" si="165"/>
        <v>0</v>
      </c>
      <c r="AH225" s="30">
        <f t="shared" si="166"/>
        <v>0</v>
      </c>
      <c r="AI225" s="24" t="s">
        <v>1024</v>
      </c>
      <c r="AJ225" s="14">
        <f t="shared" si="167"/>
        <v>0</v>
      </c>
      <c r="AK225" s="14">
        <f t="shared" si="168"/>
        <v>0</v>
      </c>
      <c r="AL225" s="14">
        <f t="shared" si="169"/>
        <v>0</v>
      </c>
      <c r="AN225" s="30">
        <v>21</v>
      </c>
      <c r="AO225" s="30">
        <f>H225*0.362741206432909</f>
        <v>0</v>
      </c>
      <c r="AP225" s="30">
        <f>H225*(1-0.362741206432909)</f>
        <v>0</v>
      </c>
      <c r="AQ225" s="25" t="s">
        <v>13</v>
      </c>
      <c r="AV225" s="30">
        <f t="shared" si="170"/>
        <v>0</v>
      </c>
      <c r="AW225" s="30">
        <f t="shared" si="171"/>
        <v>0</v>
      </c>
      <c r="AX225" s="30">
        <f t="shared" si="172"/>
        <v>0</v>
      </c>
      <c r="AY225" s="31" t="s">
        <v>1052</v>
      </c>
      <c r="AZ225" s="31" t="s">
        <v>1070</v>
      </c>
      <c r="BA225" s="24" t="s">
        <v>1080</v>
      </c>
      <c r="BC225" s="30">
        <f t="shared" si="173"/>
        <v>0</v>
      </c>
      <c r="BD225" s="30">
        <f t="shared" si="174"/>
        <v>0</v>
      </c>
      <c r="BE225" s="30">
        <v>0</v>
      </c>
      <c r="BF225" s="30">
        <f>225</f>
        <v>225</v>
      </c>
      <c r="BH225" s="14">
        <f t="shared" si="175"/>
        <v>0</v>
      </c>
      <c r="BI225" s="14">
        <f t="shared" si="176"/>
        <v>0</v>
      </c>
      <c r="BJ225" s="14">
        <f t="shared" si="177"/>
        <v>0</v>
      </c>
    </row>
    <row r="226" spans="1:62" ht="12.75">
      <c r="A226" s="4" t="s">
        <v>189</v>
      </c>
      <c r="B226" s="4" t="s">
        <v>509</v>
      </c>
      <c r="C226" s="153" t="s">
        <v>851</v>
      </c>
      <c r="D226" s="154"/>
      <c r="E226" s="154"/>
      <c r="F226" s="4" t="s">
        <v>991</v>
      </c>
      <c r="G226" s="64">
        <v>13</v>
      </c>
      <c r="H226" s="82">
        <v>0</v>
      </c>
      <c r="I226" s="14">
        <f t="shared" si="156"/>
        <v>0</v>
      </c>
      <c r="J226" s="14">
        <f t="shared" si="157"/>
        <v>0</v>
      </c>
      <c r="K226" s="14">
        <f t="shared" si="158"/>
        <v>0</v>
      </c>
      <c r="L226" s="25" t="s">
        <v>1014</v>
      </c>
      <c r="Z226" s="30">
        <f t="shared" si="159"/>
        <v>0</v>
      </c>
      <c r="AB226" s="30">
        <f t="shared" si="160"/>
        <v>0</v>
      </c>
      <c r="AC226" s="30">
        <f t="shared" si="161"/>
        <v>0</v>
      </c>
      <c r="AD226" s="30">
        <f t="shared" si="162"/>
        <v>0</v>
      </c>
      <c r="AE226" s="30">
        <f t="shared" si="163"/>
        <v>0</v>
      </c>
      <c r="AF226" s="30">
        <f t="shared" si="164"/>
        <v>0</v>
      </c>
      <c r="AG226" s="30">
        <f t="shared" si="165"/>
        <v>0</v>
      </c>
      <c r="AH226" s="30">
        <f t="shared" si="166"/>
        <v>0</v>
      </c>
      <c r="AI226" s="24" t="s">
        <v>1024</v>
      </c>
      <c r="AJ226" s="14">
        <f t="shared" si="167"/>
        <v>0</v>
      </c>
      <c r="AK226" s="14">
        <f t="shared" si="168"/>
        <v>0</v>
      </c>
      <c r="AL226" s="14">
        <f t="shared" si="169"/>
        <v>0</v>
      </c>
      <c r="AN226" s="30">
        <v>21</v>
      </c>
      <c r="AO226" s="30">
        <f aca="true" t="shared" si="178" ref="AO226:AO238">H226*0.83</f>
        <v>0</v>
      </c>
      <c r="AP226" s="30">
        <f aca="true" t="shared" si="179" ref="AP226:AP238">H226*(1-0.83)</f>
        <v>0</v>
      </c>
      <c r="AQ226" s="25" t="s">
        <v>13</v>
      </c>
      <c r="AV226" s="30">
        <f t="shared" si="170"/>
        <v>0</v>
      </c>
      <c r="AW226" s="30">
        <f t="shared" si="171"/>
        <v>0</v>
      </c>
      <c r="AX226" s="30">
        <f t="shared" si="172"/>
        <v>0</v>
      </c>
      <c r="AY226" s="31" t="s">
        <v>1052</v>
      </c>
      <c r="AZ226" s="31" t="s">
        <v>1070</v>
      </c>
      <c r="BA226" s="24" t="s">
        <v>1080</v>
      </c>
      <c r="BC226" s="30">
        <f t="shared" si="173"/>
        <v>0</v>
      </c>
      <c r="BD226" s="30">
        <f t="shared" si="174"/>
        <v>0</v>
      </c>
      <c r="BE226" s="30">
        <v>0</v>
      </c>
      <c r="BF226" s="30">
        <f>226</f>
        <v>226</v>
      </c>
      <c r="BH226" s="14">
        <f t="shared" si="175"/>
        <v>0</v>
      </c>
      <c r="BI226" s="14">
        <f t="shared" si="176"/>
        <v>0</v>
      </c>
      <c r="BJ226" s="14">
        <f t="shared" si="177"/>
        <v>0</v>
      </c>
    </row>
    <row r="227" spans="1:62" ht="12.75">
      <c r="A227" s="4" t="s">
        <v>190</v>
      </c>
      <c r="B227" s="4" t="s">
        <v>510</v>
      </c>
      <c r="C227" s="153" t="s">
        <v>852</v>
      </c>
      <c r="D227" s="154"/>
      <c r="E227" s="154"/>
      <c r="F227" s="4" t="s">
        <v>991</v>
      </c>
      <c r="G227" s="64">
        <v>9</v>
      </c>
      <c r="H227" s="82">
        <v>0</v>
      </c>
      <c r="I227" s="14">
        <f t="shared" si="156"/>
        <v>0</v>
      </c>
      <c r="J227" s="14">
        <f t="shared" si="157"/>
        <v>0</v>
      </c>
      <c r="K227" s="14">
        <f t="shared" si="158"/>
        <v>0</v>
      </c>
      <c r="L227" s="25" t="s">
        <v>1014</v>
      </c>
      <c r="Z227" s="30">
        <f t="shared" si="159"/>
        <v>0</v>
      </c>
      <c r="AB227" s="30">
        <f t="shared" si="160"/>
        <v>0</v>
      </c>
      <c r="AC227" s="30">
        <f t="shared" si="161"/>
        <v>0</v>
      </c>
      <c r="AD227" s="30">
        <f t="shared" si="162"/>
        <v>0</v>
      </c>
      <c r="AE227" s="30">
        <f t="shared" si="163"/>
        <v>0</v>
      </c>
      <c r="AF227" s="30">
        <f t="shared" si="164"/>
        <v>0</v>
      </c>
      <c r="AG227" s="30">
        <f t="shared" si="165"/>
        <v>0</v>
      </c>
      <c r="AH227" s="30">
        <f t="shared" si="166"/>
        <v>0</v>
      </c>
      <c r="AI227" s="24" t="s">
        <v>1024</v>
      </c>
      <c r="AJ227" s="14">
        <f t="shared" si="167"/>
        <v>0</v>
      </c>
      <c r="AK227" s="14">
        <f t="shared" si="168"/>
        <v>0</v>
      </c>
      <c r="AL227" s="14">
        <f t="shared" si="169"/>
        <v>0</v>
      </c>
      <c r="AN227" s="30">
        <v>21</v>
      </c>
      <c r="AO227" s="30">
        <f t="shared" si="178"/>
        <v>0</v>
      </c>
      <c r="AP227" s="30">
        <f t="shared" si="179"/>
        <v>0</v>
      </c>
      <c r="AQ227" s="25" t="s">
        <v>13</v>
      </c>
      <c r="AV227" s="30">
        <f t="shared" si="170"/>
        <v>0</v>
      </c>
      <c r="AW227" s="30">
        <f t="shared" si="171"/>
        <v>0</v>
      </c>
      <c r="AX227" s="30">
        <f t="shared" si="172"/>
        <v>0</v>
      </c>
      <c r="AY227" s="31" t="s">
        <v>1052</v>
      </c>
      <c r="AZ227" s="31" t="s">
        <v>1070</v>
      </c>
      <c r="BA227" s="24" t="s">
        <v>1080</v>
      </c>
      <c r="BC227" s="30">
        <f t="shared" si="173"/>
        <v>0</v>
      </c>
      <c r="BD227" s="30">
        <f t="shared" si="174"/>
        <v>0</v>
      </c>
      <c r="BE227" s="30">
        <v>0</v>
      </c>
      <c r="BF227" s="30">
        <f>227</f>
        <v>227</v>
      </c>
      <c r="BH227" s="14">
        <f t="shared" si="175"/>
        <v>0</v>
      </c>
      <c r="BI227" s="14">
        <f t="shared" si="176"/>
        <v>0</v>
      </c>
      <c r="BJ227" s="14">
        <f t="shared" si="177"/>
        <v>0</v>
      </c>
    </row>
    <row r="228" spans="1:62" ht="12.75">
      <c r="A228" s="4" t="s">
        <v>191</v>
      </c>
      <c r="B228" s="4" t="s">
        <v>511</v>
      </c>
      <c r="C228" s="153" t="s">
        <v>853</v>
      </c>
      <c r="D228" s="154"/>
      <c r="E228" s="154"/>
      <c r="F228" s="4" t="s">
        <v>991</v>
      </c>
      <c r="G228" s="64">
        <v>1</v>
      </c>
      <c r="H228" s="82">
        <v>0</v>
      </c>
      <c r="I228" s="14">
        <f t="shared" si="156"/>
        <v>0</v>
      </c>
      <c r="J228" s="14">
        <f t="shared" si="157"/>
        <v>0</v>
      </c>
      <c r="K228" s="14">
        <f t="shared" si="158"/>
        <v>0</v>
      </c>
      <c r="L228" s="25" t="s">
        <v>1014</v>
      </c>
      <c r="Z228" s="30">
        <f t="shared" si="159"/>
        <v>0</v>
      </c>
      <c r="AB228" s="30">
        <f t="shared" si="160"/>
        <v>0</v>
      </c>
      <c r="AC228" s="30">
        <f t="shared" si="161"/>
        <v>0</v>
      </c>
      <c r="AD228" s="30">
        <f t="shared" si="162"/>
        <v>0</v>
      </c>
      <c r="AE228" s="30">
        <f t="shared" si="163"/>
        <v>0</v>
      </c>
      <c r="AF228" s="30">
        <f t="shared" si="164"/>
        <v>0</v>
      </c>
      <c r="AG228" s="30">
        <f t="shared" si="165"/>
        <v>0</v>
      </c>
      <c r="AH228" s="30">
        <f t="shared" si="166"/>
        <v>0</v>
      </c>
      <c r="AI228" s="24" t="s">
        <v>1024</v>
      </c>
      <c r="AJ228" s="14">
        <f t="shared" si="167"/>
        <v>0</v>
      </c>
      <c r="AK228" s="14">
        <f t="shared" si="168"/>
        <v>0</v>
      </c>
      <c r="AL228" s="14">
        <f t="shared" si="169"/>
        <v>0</v>
      </c>
      <c r="AN228" s="30">
        <v>21</v>
      </c>
      <c r="AO228" s="30">
        <f t="shared" si="178"/>
        <v>0</v>
      </c>
      <c r="AP228" s="30">
        <f t="shared" si="179"/>
        <v>0</v>
      </c>
      <c r="AQ228" s="25" t="s">
        <v>13</v>
      </c>
      <c r="AV228" s="30">
        <f t="shared" si="170"/>
        <v>0</v>
      </c>
      <c r="AW228" s="30">
        <f t="shared" si="171"/>
        <v>0</v>
      </c>
      <c r="AX228" s="30">
        <f t="shared" si="172"/>
        <v>0</v>
      </c>
      <c r="AY228" s="31" t="s">
        <v>1052</v>
      </c>
      <c r="AZ228" s="31" t="s">
        <v>1070</v>
      </c>
      <c r="BA228" s="24" t="s">
        <v>1080</v>
      </c>
      <c r="BC228" s="30">
        <f t="shared" si="173"/>
        <v>0</v>
      </c>
      <c r="BD228" s="30">
        <f t="shared" si="174"/>
        <v>0</v>
      </c>
      <c r="BE228" s="30">
        <v>0</v>
      </c>
      <c r="BF228" s="30">
        <f>228</f>
        <v>228</v>
      </c>
      <c r="BH228" s="14">
        <f t="shared" si="175"/>
        <v>0</v>
      </c>
      <c r="BI228" s="14">
        <f t="shared" si="176"/>
        <v>0</v>
      </c>
      <c r="BJ228" s="14">
        <f t="shared" si="177"/>
        <v>0</v>
      </c>
    </row>
    <row r="229" spans="1:62" ht="12.75">
      <c r="A229" s="4" t="s">
        <v>192</v>
      </c>
      <c r="B229" s="4" t="s">
        <v>512</v>
      </c>
      <c r="C229" s="153" t="s">
        <v>854</v>
      </c>
      <c r="D229" s="154"/>
      <c r="E229" s="154"/>
      <c r="F229" s="4" t="s">
        <v>991</v>
      </c>
      <c r="G229" s="64">
        <v>1</v>
      </c>
      <c r="H229" s="82">
        <v>0</v>
      </c>
      <c r="I229" s="14">
        <f t="shared" si="156"/>
        <v>0</v>
      </c>
      <c r="J229" s="14">
        <f t="shared" si="157"/>
        <v>0</v>
      </c>
      <c r="K229" s="14">
        <f t="shared" si="158"/>
        <v>0</v>
      </c>
      <c r="L229" s="25" t="s">
        <v>1014</v>
      </c>
      <c r="Z229" s="30">
        <f t="shared" si="159"/>
        <v>0</v>
      </c>
      <c r="AB229" s="30">
        <f t="shared" si="160"/>
        <v>0</v>
      </c>
      <c r="AC229" s="30">
        <f t="shared" si="161"/>
        <v>0</v>
      </c>
      <c r="AD229" s="30">
        <f t="shared" si="162"/>
        <v>0</v>
      </c>
      <c r="AE229" s="30">
        <f t="shared" si="163"/>
        <v>0</v>
      </c>
      <c r="AF229" s="30">
        <f t="shared" si="164"/>
        <v>0</v>
      </c>
      <c r="AG229" s="30">
        <f t="shared" si="165"/>
        <v>0</v>
      </c>
      <c r="AH229" s="30">
        <f t="shared" si="166"/>
        <v>0</v>
      </c>
      <c r="AI229" s="24" t="s">
        <v>1024</v>
      </c>
      <c r="AJ229" s="14">
        <f t="shared" si="167"/>
        <v>0</v>
      </c>
      <c r="AK229" s="14">
        <f t="shared" si="168"/>
        <v>0</v>
      </c>
      <c r="AL229" s="14">
        <f t="shared" si="169"/>
        <v>0</v>
      </c>
      <c r="AN229" s="30">
        <v>21</v>
      </c>
      <c r="AO229" s="30">
        <f t="shared" si="178"/>
        <v>0</v>
      </c>
      <c r="AP229" s="30">
        <f t="shared" si="179"/>
        <v>0</v>
      </c>
      <c r="AQ229" s="25" t="s">
        <v>13</v>
      </c>
      <c r="AV229" s="30">
        <f t="shared" si="170"/>
        <v>0</v>
      </c>
      <c r="AW229" s="30">
        <f t="shared" si="171"/>
        <v>0</v>
      </c>
      <c r="AX229" s="30">
        <f t="shared" si="172"/>
        <v>0</v>
      </c>
      <c r="AY229" s="31" t="s">
        <v>1052</v>
      </c>
      <c r="AZ229" s="31" t="s">
        <v>1070</v>
      </c>
      <c r="BA229" s="24" t="s">
        <v>1080</v>
      </c>
      <c r="BC229" s="30">
        <f t="shared" si="173"/>
        <v>0</v>
      </c>
      <c r="BD229" s="30">
        <f t="shared" si="174"/>
        <v>0</v>
      </c>
      <c r="BE229" s="30">
        <v>0</v>
      </c>
      <c r="BF229" s="30">
        <f>229</f>
        <v>229</v>
      </c>
      <c r="BH229" s="14">
        <f t="shared" si="175"/>
        <v>0</v>
      </c>
      <c r="BI229" s="14">
        <f t="shared" si="176"/>
        <v>0</v>
      </c>
      <c r="BJ229" s="14">
        <f t="shared" si="177"/>
        <v>0</v>
      </c>
    </row>
    <row r="230" spans="1:62" ht="12.75">
      <c r="A230" s="4" t="s">
        <v>193</v>
      </c>
      <c r="B230" s="4" t="s">
        <v>513</v>
      </c>
      <c r="C230" s="153" t="s">
        <v>855</v>
      </c>
      <c r="D230" s="154"/>
      <c r="E230" s="154"/>
      <c r="F230" s="4" t="s">
        <v>991</v>
      </c>
      <c r="G230" s="64">
        <v>1</v>
      </c>
      <c r="H230" s="82">
        <v>0</v>
      </c>
      <c r="I230" s="14">
        <f t="shared" si="156"/>
        <v>0</v>
      </c>
      <c r="J230" s="14">
        <f t="shared" si="157"/>
        <v>0</v>
      </c>
      <c r="K230" s="14">
        <f t="shared" si="158"/>
        <v>0</v>
      </c>
      <c r="L230" s="25" t="s">
        <v>1014</v>
      </c>
      <c r="Z230" s="30">
        <f t="shared" si="159"/>
        <v>0</v>
      </c>
      <c r="AB230" s="30">
        <f t="shared" si="160"/>
        <v>0</v>
      </c>
      <c r="AC230" s="30">
        <f t="shared" si="161"/>
        <v>0</v>
      </c>
      <c r="AD230" s="30">
        <f t="shared" si="162"/>
        <v>0</v>
      </c>
      <c r="AE230" s="30">
        <f t="shared" si="163"/>
        <v>0</v>
      </c>
      <c r="AF230" s="30">
        <f t="shared" si="164"/>
        <v>0</v>
      </c>
      <c r="AG230" s="30">
        <f t="shared" si="165"/>
        <v>0</v>
      </c>
      <c r="AH230" s="30">
        <f t="shared" si="166"/>
        <v>0</v>
      </c>
      <c r="AI230" s="24" t="s">
        <v>1024</v>
      </c>
      <c r="AJ230" s="14">
        <f t="shared" si="167"/>
        <v>0</v>
      </c>
      <c r="AK230" s="14">
        <f t="shared" si="168"/>
        <v>0</v>
      </c>
      <c r="AL230" s="14">
        <f t="shared" si="169"/>
        <v>0</v>
      </c>
      <c r="AN230" s="30">
        <v>21</v>
      </c>
      <c r="AO230" s="30">
        <f t="shared" si="178"/>
        <v>0</v>
      </c>
      <c r="AP230" s="30">
        <f t="shared" si="179"/>
        <v>0</v>
      </c>
      <c r="AQ230" s="25" t="s">
        <v>13</v>
      </c>
      <c r="AV230" s="30">
        <f t="shared" si="170"/>
        <v>0</v>
      </c>
      <c r="AW230" s="30">
        <f t="shared" si="171"/>
        <v>0</v>
      </c>
      <c r="AX230" s="30">
        <f t="shared" si="172"/>
        <v>0</v>
      </c>
      <c r="AY230" s="31" t="s">
        <v>1052</v>
      </c>
      <c r="AZ230" s="31" t="s">
        <v>1070</v>
      </c>
      <c r="BA230" s="24" t="s">
        <v>1080</v>
      </c>
      <c r="BC230" s="30">
        <f t="shared" si="173"/>
        <v>0</v>
      </c>
      <c r="BD230" s="30">
        <f t="shared" si="174"/>
        <v>0</v>
      </c>
      <c r="BE230" s="30">
        <v>0</v>
      </c>
      <c r="BF230" s="30">
        <f>230</f>
        <v>230</v>
      </c>
      <c r="BH230" s="14">
        <f t="shared" si="175"/>
        <v>0</v>
      </c>
      <c r="BI230" s="14">
        <f t="shared" si="176"/>
        <v>0</v>
      </c>
      <c r="BJ230" s="14">
        <f t="shared" si="177"/>
        <v>0</v>
      </c>
    </row>
    <row r="231" spans="1:62" ht="12.75">
      <c r="A231" s="4" t="s">
        <v>194</v>
      </c>
      <c r="B231" s="4" t="s">
        <v>514</v>
      </c>
      <c r="C231" s="153" t="s">
        <v>856</v>
      </c>
      <c r="D231" s="154"/>
      <c r="E231" s="154"/>
      <c r="F231" s="4" t="s">
        <v>991</v>
      </c>
      <c r="G231" s="64">
        <v>2</v>
      </c>
      <c r="H231" s="82">
        <v>0</v>
      </c>
      <c r="I231" s="14">
        <f t="shared" si="156"/>
        <v>0</v>
      </c>
      <c r="J231" s="14">
        <f t="shared" si="157"/>
        <v>0</v>
      </c>
      <c r="K231" s="14">
        <f t="shared" si="158"/>
        <v>0</v>
      </c>
      <c r="L231" s="25" t="s">
        <v>1014</v>
      </c>
      <c r="Z231" s="30">
        <f t="shared" si="159"/>
        <v>0</v>
      </c>
      <c r="AB231" s="30">
        <f t="shared" si="160"/>
        <v>0</v>
      </c>
      <c r="AC231" s="30">
        <f t="shared" si="161"/>
        <v>0</v>
      </c>
      <c r="AD231" s="30">
        <f t="shared" si="162"/>
        <v>0</v>
      </c>
      <c r="AE231" s="30">
        <f t="shared" si="163"/>
        <v>0</v>
      </c>
      <c r="AF231" s="30">
        <f t="shared" si="164"/>
        <v>0</v>
      </c>
      <c r="AG231" s="30">
        <f t="shared" si="165"/>
        <v>0</v>
      </c>
      <c r="AH231" s="30">
        <f t="shared" si="166"/>
        <v>0</v>
      </c>
      <c r="AI231" s="24" t="s">
        <v>1024</v>
      </c>
      <c r="AJ231" s="14">
        <f t="shared" si="167"/>
        <v>0</v>
      </c>
      <c r="AK231" s="14">
        <f t="shared" si="168"/>
        <v>0</v>
      </c>
      <c r="AL231" s="14">
        <f t="shared" si="169"/>
        <v>0</v>
      </c>
      <c r="AN231" s="30">
        <v>21</v>
      </c>
      <c r="AO231" s="30">
        <f t="shared" si="178"/>
        <v>0</v>
      </c>
      <c r="AP231" s="30">
        <f t="shared" si="179"/>
        <v>0</v>
      </c>
      <c r="AQ231" s="25" t="s">
        <v>13</v>
      </c>
      <c r="AV231" s="30">
        <f t="shared" si="170"/>
        <v>0</v>
      </c>
      <c r="AW231" s="30">
        <f t="shared" si="171"/>
        <v>0</v>
      </c>
      <c r="AX231" s="30">
        <f t="shared" si="172"/>
        <v>0</v>
      </c>
      <c r="AY231" s="31" t="s">
        <v>1052</v>
      </c>
      <c r="AZ231" s="31" t="s">
        <v>1070</v>
      </c>
      <c r="BA231" s="24" t="s">
        <v>1080</v>
      </c>
      <c r="BC231" s="30">
        <f t="shared" si="173"/>
        <v>0</v>
      </c>
      <c r="BD231" s="30">
        <f t="shared" si="174"/>
        <v>0</v>
      </c>
      <c r="BE231" s="30">
        <v>0</v>
      </c>
      <c r="BF231" s="30">
        <f>231</f>
        <v>231</v>
      </c>
      <c r="BH231" s="14">
        <f t="shared" si="175"/>
        <v>0</v>
      </c>
      <c r="BI231" s="14">
        <f t="shared" si="176"/>
        <v>0</v>
      </c>
      <c r="BJ231" s="14">
        <f t="shared" si="177"/>
        <v>0</v>
      </c>
    </row>
    <row r="232" spans="1:62" ht="12.75">
      <c r="A232" s="4" t="s">
        <v>195</v>
      </c>
      <c r="B232" s="4" t="s">
        <v>515</v>
      </c>
      <c r="C232" s="153" t="s">
        <v>857</v>
      </c>
      <c r="D232" s="154"/>
      <c r="E232" s="154"/>
      <c r="F232" s="4" t="s">
        <v>991</v>
      </c>
      <c r="G232" s="64">
        <v>18</v>
      </c>
      <c r="H232" s="82">
        <v>0</v>
      </c>
      <c r="I232" s="14">
        <f t="shared" si="156"/>
        <v>0</v>
      </c>
      <c r="J232" s="14">
        <f t="shared" si="157"/>
        <v>0</v>
      </c>
      <c r="K232" s="14">
        <f t="shared" si="158"/>
        <v>0</v>
      </c>
      <c r="L232" s="25" t="s">
        <v>1014</v>
      </c>
      <c r="Z232" s="30">
        <f t="shared" si="159"/>
        <v>0</v>
      </c>
      <c r="AB232" s="30">
        <f t="shared" si="160"/>
        <v>0</v>
      </c>
      <c r="AC232" s="30">
        <f t="shared" si="161"/>
        <v>0</v>
      </c>
      <c r="AD232" s="30">
        <f t="shared" si="162"/>
        <v>0</v>
      </c>
      <c r="AE232" s="30">
        <f t="shared" si="163"/>
        <v>0</v>
      </c>
      <c r="AF232" s="30">
        <f t="shared" si="164"/>
        <v>0</v>
      </c>
      <c r="AG232" s="30">
        <f t="shared" si="165"/>
        <v>0</v>
      </c>
      <c r="AH232" s="30">
        <f t="shared" si="166"/>
        <v>0</v>
      </c>
      <c r="AI232" s="24" t="s">
        <v>1024</v>
      </c>
      <c r="AJ232" s="14">
        <f t="shared" si="167"/>
        <v>0</v>
      </c>
      <c r="AK232" s="14">
        <f t="shared" si="168"/>
        <v>0</v>
      </c>
      <c r="AL232" s="14">
        <f t="shared" si="169"/>
        <v>0</v>
      </c>
      <c r="AN232" s="30">
        <v>21</v>
      </c>
      <c r="AO232" s="30">
        <f t="shared" si="178"/>
        <v>0</v>
      </c>
      <c r="AP232" s="30">
        <f t="shared" si="179"/>
        <v>0</v>
      </c>
      <c r="AQ232" s="25" t="s">
        <v>13</v>
      </c>
      <c r="AV232" s="30">
        <f t="shared" si="170"/>
        <v>0</v>
      </c>
      <c r="AW232" s="30">
        <f t="shared" si="171"/>
        <v>0</v>
      </c>
      <c r="AX232" s="30">
        <f t="shared" si="172"/>
        <v>0</v>
      </c>
      <c r="AY232" s="31" t="s">
        <v>1052</v>
      </c>
      <c r="AZ232" s="31" t="s">
        <v>1070</v>
      </c>
      <c r="BA232" s="24" t="s">
        <v>1080</v>
      </c>
      <c r="BC232" s="30">
        <f t="shared" si="173"/>
        <v>0</v>
      </c>
      <c r="BD232" s="30">
        <f t="shared" si="174"/>
        <v>0</v>
      </c>
      <c r="BE232" s="30">
        <v>0</v>
      </c>
      <c r="BF232" s="30">
        <f>232</f>
        <v>232</v>
      </c>
      <c r="BH232" s="14">
        <f t="shared" si="175"/>
        <v>0</v>
      </c>
      <c r="BI232" s="14">
        <f t="shared" si="176"/>
        <v>0</v>
      </c>
      <c r="BJ232" s="14">
        <f t="shared" si="177"/>
        <v>0</v>
      </c>
    </row>
    <row r="233" spans="1:62" ht="12.75">
      <c r="A233" s="4" t="s">
        <v>196</v>
      </c>
      <c r="B233" s="4" t="s">
        <v>516</v>
      </c>
      <c r="C233" s="153" t="s">
        <v>858</v>
      </c>
      <c r="D233" s="154"/>
      <c r="E233" s="154"/>
      <c r="F233" s="4" t="s">
        <v>991</v>
      </c>
      <c r="G233" s="64">
        <v>4</v>
      </c>
      <c r="H233" s="82">
        <v>0</v>
      </c>
      <c r="I233" s="14">
        <f t="shared" si="156"/>
        <v>0</v>
      </c>
      <c r="J233" s="14">
        <f t="shared" si="157"/>
        <v>0</v>
      </c>
      <c r="K233" s="14">
        <f t="shared" si="158"/>
        <v>0</v>
      </c>
      <c r="L233" s="25" t="s">
        <v>1014</v>
      </c>
      <c r="Z233" s="30">
        <f t="shared" si="159"/>
        <v>0</v>
      </c>
      <c r="AB233" s="30">
        <f t="shared" si="160"/>
        <v>0</v>
      </c>
      <c r="AC233" s="30">
        <f t="shared" si="161"/>
        <v>0</v>
      </c>
      <c r="AD233" s="30">
        <f t="shared" si="162"/>
        <v>0</v>
      </c>
      <c r="AE233" s="30">
        <f t="shared" si="163"/>
        <v>0</v>
      </c>
      <c r="AF233" s="30">
        <f t="shared" si="164"/>
        <v>0</v>
      </c>
      <c r="AG233" s="30">
        <f t="shared" si="165"/>
        <v>0</v>
      </c>
      <c r="AH233" s="30">
        <f t="shared" si="166"/>
        <v>0</v>
      </c>
      <c r="AI233" s="24" t="s">
        <v>1024</v>
      </c>
      <c r="AJ233" s="14">
        <f t="shared" si="167"/>
        <v>0</v>
      </c>
      <c r="AK233" s="14">
        <f t="shared" si="168"/>
        <v>0</v>
      </c>
      <c r="AL233" s="14">
        <f t="shared" si="169"/>
        <v>0</v>
      </c>
      <c r="AN233" s="30">
        <v>21</v>
      </c>
      <c r="AO233" s="30">
        <f t="shared" si="178"/>
        <v>0</v>
      </c>
      <c r="AP233" s="30">
        <f t="shared" si="179"/>
        <v>0</v>
      </c>
      <c r="AQ233" s="25" t="s">
        <v>13</v>
      </c>
      <c r="AV233" s="30">
        <f t="shared" si="170"/>
        <v>0</v>
      </c>
      <c r="AW233" s="30">
        <f t="shared" si="171"/>
        <v>0</v>
      </c>
      <c r="AX233" s="30">
        <f t="shared" si="172"/>
        <v>0</v>
      </c>
      <c r="AY233" s="31" t="s">
        <v>1052</v>
      </c>
      <c r="AZ233" s="31" t="s">
        <v>1070</v>
      </c>
      <c r="BA233" s="24" t="s">
        <v>1080</v>
      </c>
      <c r="BC233" s="30">
        <f t="shared" si="173"/>
        <v>0</v>
      </c>
      <c r="BD233" s="30">
        <f t="shared" si="174"/>
        <v>0</v>
      </c>
      <c r="BE233" s="30">
        <v>0</v>
      </c>
      <c r="BF233" s="30">
        <f>233</f>
        <v>233</v>
      </c>
      <c r="BH233" s="14">
        <f t="shared" si="175"/>
        <v>0</v>
      </c>
      <c r="BI233" s="14">
        <f t="shared" si="176"/>
        <v>0</v>
      </c>
      <c r="BJ233" s="14">
        <f t="shared" si="177"/>
        <v>0</v>
      </c>
    </row>
    <row r="234" spans="1:62" ht="12.75">
      <c r="A234" s="4" t="s">
        <v>197</v>
      </c>
      <c r="B234" s="4" t="s">
        <v>517</v>
      </c>
      <c r="C234" s="153" t="s">
        <v>859</v>
      </c>
      <c r="D234" s="154"/>
      <c r="E234" s="154"/>
      <c r="F234" s="4" t="s">
        <v>991</v>
      </c>
      <c r="G234" s="64">
        <v>1</v>
      </c>
      <c r="H234" s="82">
        <v>0</v>
      </c>
      <c r="I234" s="14">
        <f t="shared" si="156"/>
        <v>0</v>
      </c>
      <c r="J234" s="14">
        <f t="shared" si="157"/>
        <v>0</v>
      </c>
      <c r="K234" s="14">
        <f t="shared" si="158"/>
        <v>0</v>
      </c>
      <c r="L234" s="25" t="s">
        <v>1014</v>
      </c>
      <c r="Z234" s="30">
        <f t="shared" si="159"/>
        <v>0</v>
      </c>
      <c r="AB234" s="30">
        <f t="shared" si="160"/>
        <v>0</v>
      </c>
      <c r="AC234" s="30">
        <f t="shared" si="161"/>
        <v>0</v>
      </c>
      <c r="AD234" s="30">
        <f t="shared" si="162"/>
        <v>0</v>
      </c>
      <c r="AE234" s="30">
        <f t="shared" si="163"/>
        <v>0</v>
      </c>
      <c r="AF234" s="30">
        <f t="shared" si="164"/>
        <v>0</v>
      </c>
      <c r="AG234" s="30">
        <f t="shared" si="165"/>
        <v>0</v>
      </c>
      <c r="AH234" s="30">
        <f t="shared" si="166"/>
        <v>0</v>
      </c>
      <c r="AI234" s="24" t="s">
        <v>1024</v>
      </c>
      <c r="AJ234" s="14">
        <f t="shared" si="167"/>
        <v>0</v>
      </c>
      <c r="AK234" s="14">
        <f t="shared" si="168"/>
        <v>0</v>
      </c>
      <c r="AL234" s="14">
        <f t="shared" si="169"/>
        <v>0</v>
      </c>
      <c r="AN234" s="30">
        <v>21</v>
      </c>
      <c r="AO234" s="30">
        <f t="shared" si="178"/>
        <v>0</v>
      </c>
      <c r="AP234" s="30">
        <f t="shared" si="179"/>
        <v>0</v>
      </c>
      <c r="AQ234" s="25" t="s">
        <v>13</v>
      </c>
      <c r="AV234" s="30">
        <f t="shared" si="170"/>
        <v>0</v>
      </c>
      <c r="AW234" s="30">
        <f t="shared" si="171"/>
        <v>0</v>
      </c>
      <c r="AX234" s="30">
        <f t="shared" si="172"/>
        <v>0</v>
      </c>
      <c r="AY234" s="31" t="s">
        <v>1052</v>
      </c>
      <c r="AZ234" s="31" t="s">
        <v>1070</v>
      </c>
      <c r="BA234" s="24" t="s">
        <v>1080</v>
      </c>
      <c r="BC234" s="30">
        <f t="shared" si="173"/>
        <v>0</v>
      </c>
      <c r="BD234" s="30">
        <f t="shared" si="174"/>
        <v>0</v>
      </c>
      <c r="BE234" s="30">
        <v>0</v>
      </c>
      <c r="BF234" s="30">
        <f>234</f>
        <v>234</v>
      </c>
      <c r="BH234" s="14">
        <f t="shared" si="175"/>
        <v>0</v>
      </c>
      <c r="BI234" s="14">
        <f t="shared" si="176"/>
        <v>0</v>
      </c>
      <c r="BJ234" s="14">
        <f t="shared" si="177"/>
        <v>0</v>
      </c>
    </row>
    <row r="235" spans="1:62" ht="12.75">
      <c r="A235" s="4" t="s">
        <v>198</v>
      </c>
      <c r="B235" s="4" t="s">
        <v>518</v>
      </c>
      <c r="C235" s="153" t="s">
        <v>860</v>
      </c>
      <c r="D235" s="154"/>
      <c r="E235" s="154"/>
      <c r="F235" s="4" t="s">
        <v>991</v>
      </c>
      <c r="G235" s="64">
        <v>4</v>
      </c>
      <c r="H235" s="82">
        <v>0</v>
      </c>
      <c r="I235" s="14">
        <f t="shared" si="156"/>
        <v>0</v>
      </c>
      <c r="J235" s="14">
        <f t="shared" si="157"/>
        <v>0</v>
      </c>
      <c r="K235" s="14">
        <f t="shared" si="158"/>
        <v>0</v>
      </c>
      <c r="L235" s="25" t="s">
        <v>1014</v>
      </c>
      <c r="Z235" s="30">
        <f t="shared" si="159"/>
        <v>0</v>
      </c>
      <c r="AB235" s="30">
        <f t="shared" si="160"/>
        <v>0</v>
      </c>
      <c r="AC235" s="30">
        <f t="shared" si="161"/>
        <v>0</v>
      </c>
      <c r="AD235" s="30">
        <f t="shared" si="162"/>
        <v>0</v>
      </c>
      <c r="AE235" s="30">
        <f t="shared" si="163"/>
        <v>0</v>
      </c>
      <c r="AF235" s="30">
        <f t="shared" si="164"/>
        <v>0</v>
      </c>
      <c r="AG235" s="30">
        <f t="shared" si="165"/>
        <v>0</v>
      </c>
      <c r="AH235" s="30">
        <f t="shared" si="166"/>
        <v>0</v>
      </c>
      <c r="AI235" s="24" t="s">
        <v>1024</v>
      </c>
      <c r="AJ235" s="14">
        <f t="shared" si="167"/>
        <v>0</v>
      </c>
      <c r="AK235" s="14">
        <f t="shared" si="168"/>
        <v>0</v>
      </c>
      <c r="AL235" s="14">
        <f t="shared" si="169"/>
        <v>0</v>
      </c>
      <c r="AN235" s="30">
        <v>21</v>
      </c>
      <c r="AO235" s="30">
        <f t="shared" si="178"/>
        <v>0</v>
      </c>
      <c r="AP235" s="30">
        <f t="shared" si="179"/>
        <v>0</v>
      </c>
      <c r="AQ235" s="25" t="s">
        <v>13</v>
      </c>
      <c r="AV235" s="30">
        <f t="shared" si="170"/>
        <v>0</v>
      </c>
      <c r="AW235" s="30">
        <f t="shared" si="171"/>
        <v>0</v>
      </c>
      <c r="AX235" s="30">
        <f t="shared" si="172"/>
        <v>0</v>
      </c>
      <c r="AY235" s="31" t="s">
        <v>1052</v>
      </c>
      <c r="AZ235" s="31" t="s">
        <v>1070</v>
      </c>
      <c r="BA235" s="24" t="s">
        <v>1080</v>
      </c>
      <c r="BC235" s="30">
        <f t="shared" si="173"/>
        <v>0</v>
      </c>
      <c r="BD235" s="30">
        <f t="shared" si="174"/>
        <v>0</v>
      </c>
      <c r="BE235" s="30">
        <v>0</v>
      </c>
      <c r="BF235" s="30">
        <f>235</f>
        <v>235</v>
      </c>
      <c r="BH235" s="14">
        <f t="shared" si="175"/>
        <v>0</v>
      </c>
      <c r="BI235" s="14">
        <f t="shared" si="176"/>
        <v>0</v>
      </c>
      <c r="BJ235" s="14">
        <f t="shared" si="177"/>
        <v>0</v>
      </c>
    </row>
    <row r="236" spans="1:62" ht="12.75">
      <c r="A236" s="4" t="s">
        <v>199</v>
      </c>
      <c r="B236" s="4" t="s">
        <v>519</v>
      </c>
      <c r="C236" s="153" t="s">
        <v>861</v>
      </c>
      <c r="D236" s="154"/>
      <c r="E236" s="154"/>
      <c r="F236" s="4" t="s">
        <v>991</v>
      </c>
      <c r="G236" s="64">
        <v>1</v>
      </c>
      <c r="H236" s="82">
        <v>0</v>
      </c>
      <c r="I236" s="14">
        <f t="shared" si="156"/>
        <v>0</v>
      </c>
      <c r="J236" s="14">
        <f t="shared" si="157"/>
        <v>0</v>
      </c>
      <c r="K236" s="14">
        <f t="shared" si="158"/>
        <v>0</v>
      </c>
      <c r="L236" s="25" t="s">
        <v>1014</v>
      </c>
      <c r="Z236" s="30">
        <f t="shared" si="159"/>
        <v>0</v>
      </c>
      <c r="AB236" s="30">
        <f t="shared" si="160"/>
        <v>0</v>
      </c>
      <c r="AC236" s="30">
        <f t="shared" si="161"/>
        <v>0</v>
      </c>
      <c r="AD236" s="30">
        <f t="shared" si="162"/>
        <v>0</v>
      </c>
      <c r="AE236" s="30">
        <f t="shared" si="163"/>
        <v>0</v>
      </c>
      <c r="AF236" s="30">
        <f t="shared" si="164"/>
        <v>0</v>
      </c>
      <c r="AG236" s="30">
        <f t="shared" si="165"/>
        <v>0</v>
      </c>
      <c r="AH236" s="30">
        <f t="shared" si="166"/>
        <v>0</v>
      </c>
      <c r="AI236" s="24" t="s">
        <v>1024</v>
      </c>
      <c r="AJ236" s="14">
        <f t="shared" si="167"/>
        <v>0</v>
      </c>
      <c r="AK236" s="14">
        <f t="shared" si="168"/>
        <v>0</v>
      </c>
      <c r="AL236" s="14">
        <f t="shared" si="169"/>
        <v>0</v>
      </c>
      <c r="AN236" s="30">
        <v>21</v>
      </c>
      <c r="AO236" s="30">
        <f t="shared" si="178"/>
        <v>0</v>
      </c>
      <c r="AP236" s="30">
        <f t="shared" si="179"/>
        <v>0</v>
      </c>
      <c r="AQ236" s="25" t="s">
        <v>13</v>
      </c>
      <c r="AV236" s="30">
        <f t="shared" si="170"/>
        <v>0</v>
      </c>
      <c r="AW236" s="30">
        <f t="shared" si="171"/>
        <v>0</v>
      </c>
      <c r="AX236" s="30">
        <f t="shared" si="172"/>
        <v>0</v>
      </c>
      <c r="AY236" s="31" t="s">
        <v>1052</v>
      </c>
      <c r="AZ236" s="31" t="s">
        <v>1070</v>
      </c>
      <c r="BA236" s="24" t="s">
        <v>1080</v>
      </c>
      <c r="BC236" s="30">
        <f t="shared" si="173"/>
        <v>0</v>
      </c>
      <c r="BD236" s="30">
        <f t="shared" si="174"/>
        <v>0</v>
      </c>
      <c r="BE236" s="30">
        <v>0</v>
      </c>
      <c r="BF236" s="30">
        <f>236</f>
        <v>236</v>
      </c>
      <c r="BH236" s="14">
        <f t="shared" si="175"/>
        <v>0</v>
      </c>
      <c r="BI236" s="14">
        <f t="shared" si="176"/>
        <v>0</v>
      </c>
      <c r="BJ236" s="14">
        <f t="shared" si="177"/>
        <v>0</v>
      </c>
    </row>
    <row r="237" spans="1:62" ht="12.75">
      <c r="A237" s="4" t="s">
        <v>200</v>
      </c>
      <c r="B237" s="4" t="s">
        <v>520</v>
      </c>
      <c r="C237" s="153" t="s">
        <v>1340</v>
      </c>
      <c r="D237" s="154"/>
      <c r="E237" s="154"/>
      <c r="F237" s="4" t="s">
        <v>991</v>
      </c>
      <c r="G237" s="64">
        <v>1</v>
      </c>
      <c r="H237" s="82">
        <v>0</v>
      </c>
      <c r="I237" s="14">
        <f t="shared" si="156"/>
        <v>0</v>
      </c>
      <c r="J237" s="14">
        <f t="shared" si="157"/>
        <v>0</v>
      </c>
      <c r="K237" s="14">
        <f t="shared" si="158"/>
        <v>0</v>
      </c>
      <c r="L237" s="25" t="s">
        <v>1014</v>
      </c>
      <c r="Z237" s="30">
        <f t="shared" si="159"/>
        <v>0</v>
      </c>
      <c r="AB237" s="30">
        <f t="shared" si="160"/>
        <v>0</v>
      </c>
      <c r="AC237" s="30">
        <f t="shared" si="161"/>
        <v>0</v>
      </c>
      <c r="AD237" s="30">
        <f t="shared" si="162"/>
        <v>0</v>
      </c>
      <c r="AE237" s="30">
        <f t="shared" si="163"/>
        <v>0</v>
      </c>
      <c r="AF237" s="30">
        <f t="shared" si="164"/>
        <v>0</v>
      </c>
      <c r="AG237" s="30">
        <f t="shared" si="165"/>
        <v>0</v>
      </c>
      <c r="AH237" s="30">
        <f t="shared" si="166"/>
        <v>0</v>
      </c>
      <c r="AI237" s="24" t="s">
        <v>1024</v>
      </c>
      <c r="AJ237" s="14">
        <f t="shared" si="167"/>
        <v>0</v>
      </c>
      <c r="AK237" s="14">
        <f t="shared" si="168"/>
        <v>0</v>
      </c>
      <c r="AL237" s="14">
        <f t="shared" si="169"/>
        <v>0</v>
      </c>
      <c r="AN237" s="30">
        <v>21</v>
      </c>
      <c r="AO237" s="30">
        <f t="shared" si="178"/>
        <v>0</v>
      </c>
      <c r="AP237" s="30">
        <f t="shared" si="179"/>
        <v>0</v>
      </c>
      <c r="AQ237" s="25" t="s">
        <v>13</v>
      </c>
      <c r="AV237" s="30">
        <f t="shared" si="170"/>
        <v>0</v>
      </c>
      <c r="AW237" s="30">
        <f t="shared" si="171"/>
        <v>0</v>
      </c>
      <c r="AX237" s="30">
        <f t="shared" si="172"/>
        <v>0</v>
      </c>
      <c r="AY237" s="31" t="s">
        <v>1052</v>
      </c>
      <c r="AZ237" s="31" t="s">
        <v>1070</v>
      </c>
      <c r="BA237" s="24" t="s">
        <v>1080</v>
      </c>
      <c r="BC237" s="30">
        <f t="shared" si="173"/>
        <v>0</v>
      </c>
      <c r="BD237" s="30">
        <f t="shared" si="174"/>
        <v>0</v>
      </c>
      <c r="BE237" s="30">
        <v>0</v>
      </c>
      <c r="BF237" s="30">
        <f>237</f>
        <v>237</v>
      </c>
      <c r="BH237" s="14">
        <f t="shared" si="175"/>
        <v>0</v>
      </c>
      <c r="BI237" s="14">
        <f t="shared" si="176"/>
        <v>0</v>
      </c>
      <c r="BJ237" s="14">
        <f t="shared" si="177"/>
        <v>0</v>
      </c>
    </row>
    <row r="238" spans="1:62" ht="12.75">
      <c r="A238" s="4" t="s">
        <v>201</v>
      </c>
      <c r="B238" s="4" t="s">
        <v>521</v>
      </c>
      <c r="C238" s="153" t="s">
        <v>862</v>
      </c>
      <c r="D238" s="154"/>
      <c r="E238" s="154"/>
      <c r="F238" s="4" t="s">
        <v>991</v>
      </c>
      <c r="G238" s="64">
        <v>1</v>
      </c>
      <c r="H238" s="82">
        <v>0</v>
      </c>
      <c r="I238" s="14">
        <f t="shared" si="156"/>
        <v>0</v>
      </c>
      <c r="J238" s="14">
        <f t="shared" si="157"/>
        <v>0</v>
      </c>
      <c r="K238" s="14">
        <f t="shared" si="158"/>
        <v>0</v>
      </c>
      <c r="L238" s="25" t="s">
        <v>1014</v>
      </c>
      <c r="Z238" s="30">
        <f t="shared" si="159"/>
        <v>0</v>
      </c>
      <c r="AB238" s="30">
        <f t="shared" si="160"/>
        <v>0</v>
      </c>
      <c r="AC238" s="30">
        <f t="shared" si="161"/>
        <v>0</v>
      </c>
      <c r="AD238" s="30">
        <f t="shared" si="162"/>
        <v>0</v>
      </c>
      <c r="AE238" s="30">
        <f t="shared" si="163"/>
        <v>0</v>
      </c>
      <c r="AF238" s="30">
        <f t="shared" si="164"/>
        <v>0</v>
      </c>
      <c r="AG238" s="30">
        <f t="shared" si="165"/>
        <v>0</v>
      </c>
      <c r="AH238" s="30">
        <f t="shared" si="166"/>
        <v>0</v>
      </c>
      <c r="AI238" s="24" t="s">
        <v>1024</v>
      </c>
      <c r="AJ238" s="14">
        <f t="shared" si="167"/>
        <v>0</v>
      </c>
      <c r="AK238" s="14">
        <f t="shared" si="168"/>
        <v>0</v>
      </c>
      <c r="AL238" s="14">
        <f t="shared" si="169"/>
        <v>0</v>
      </c>
      <c r="AN238" s="30">
        <v>21</v>
      </c>
      <c r="AO238" s="30">
        <f t="shared" si="178"/>
        <v>0</v>
      </c>
      <c r="AP238" s="30">
        <f t="shared" si="179"/>
        <v>0</v>
      </c>
      <c r="AQ238" s="25" t="s">
        <v>13</v>
      </c>
      <c r="AV238" s="30">
        <f t="shared" si="170"/>
        <v>0</v>
      </c>
      <c r="AW238" s="30">
        <f t="shared" si="171"/>
        <v>0</v>
      </c>
      <c r="AX238" s="30">
        <f t="shared" si="172"/>
        <v>0</v>
      </c>
      <c r="AY238" s="31" t="s">
        <v>1052</v>
      </c>
      <c r="AZ238" s="31" t="s">
        <v>1070</v>
      </c>
      <c r="BA238" s="24" t="s">
        <v>1080</v>
      </c>
      <c r="BC238" s="30">
        <f t="shared" si="173"/>
        <v>0</v>
      </c>
      <c r="BD238" s="30">
        <f t="shared" si="174"/>
        <v>0</v>
      </c>
      <c r="BE238" s="30">
        <v>0</v>
      </c>
      <c r="BF238" s="30">
        <f>238</f>
        <v>238</v>
      </c>
      <c r="BH238" s="14">
        <f t="shared" si="175"/>
        <v>0</v>
      </c>
      <c r="BI238" s="14">
        <f t="shared" si="176"/>
        <v>0</v>
      </c>
      <c r="BJ238" s="14">
        <f t="shared" si="177"/>
        <v>0</v>
      </c>
    </row>
    <row r="239" spans="1:62" ht="12.75">
      <c r="A239" s="4" t="s">
        <v>202</v>
      </c>
      <c r="B239" s="4" t="s">
        <v>522</v>
      </c>
      <c r="C239" s="153" t="s">
        <v>863</v>
      </c>
      <c r="D239" s="154"/>
      <c r="E239" s="154"/>
      <c r="F239" s="4" t="s">
        <v>994</v>
      </c>
      <c r="G239" s="64">
        <v>7.123</v>
      </c>
      <c r="H239" s="82">
        <v>0</v>
      </c>
      <c r="I239" s="14">
        <f t="shared" si="156"/>
        <v>0</v>
      </c>
      <c r="J239" s="14">
        <f t="shared" si="157"/>
        <v>0</v>
      </c>
      <c r="K239" s="14">
        <f t="shared" si="158"/>
        <v>0</v>
      </c>
      <c r="L239" s="25" t="s">
        <v>1014</v>
      </c>
      <c r="Z239" s="30">
        <f t="shared" si="159"/>
        <v>0</v>
      </c>
      <c r="AB239" s="30">
        <f t="shared" si="160"/>
        <v>0</v>
      </c>
      <c r="AC239" s="30">
        <f t="shared" si="161"/>
        <v>0</v>
      </c>
      <c r="AD239" s="30">
        <f t="shared" si="162"/>
        <v>0</v>
      </c>
      <c r="AE239" s="30">
        <f t="shared" si="163"/>
        <v>0</v>
      </c>
      <c r="AF239" s="30">
        <f t="shared" si="164"/>
        <v>0</v>
      </c>
      <c r="AG239" s="30">
        <f t="shared" si="165"/>
        <v>0</v>
      </c>
      <c r="AH239" s="30">
        <f t="shared" si="166"/>
        <v>0</v>
      </c>
      <c r="AI239" s="24" t="s">
        <v>1024</v>
      </c>
      <c r="AJ239" s="14">
        <f t="shared" si="167"/>
        <v>0</v>
      </c>
      <c r="AK239" s="14">
        <f t="shared" si="168"/>
        <v>0</v>
      </c>
      <c r="AL239" s="14">
        <f t="shared" si="169"/>
        <v>0</v>
      </c>
      <c r="AN239" s="30">
        <v>21</v>
      </c>
      <c r="AO239" s="30">
        <f>H239*0</f>
        <v>0</v>
      </c>
      <c r="AP239" s="30">
        <f>H239*(1-0)</f>
        <v>0</v>
      </c>
      <c r="AQ239" s="25" t="s">
        <v>11</v>
      </c>
      <c r="AV239" s="30">
        <f t="shared" si="170"/>
        <v>0</v>
      </c>
      <c r="AW239" s="30">
        <f t="shared" si="171"/>
        <v>0</v>
      </c>
      <c r="AX239" s="30">
        <f t="shared" si="172"/>
        <v>0</v>
      </c>
      <c r="AY239" s="31" t="s">
        <v>1052</v>
      </c>
      <c r="AZ239" s="31" t="s">
        <v>1070</v>
      </c>
      <c r="BA239" s="24" t="s">
        <v>1080</v>
      </c>
      <c r="BC239" s="30">
        <f t="shared" si="173"/>
        <v>0</v>
      </c>
      <c r="BD239" s="30">
        <f t="shared" si="174"/>
        <v>0</v>
      </c>
      <c r="BE239" s="30">
        <v>0</v>
      </c>
      <c r="BF239" s="30">
        <f>239</f>
        <v>239</v>
      </c>
      <c r="BH239" s="14">
        <f t="shared" si="175"/>
        <v>0</v>
      </c>
      <c r="BI239" s="14">
        <f t="shared" si="176"/>
        <v>0</v>
      </c>
      <c r="BJ239" s="14">
        <f t="shared" si="177"/>
        <v>0</v>
      </c>
    </row>
    <row r="240" spans="1:47" ht="12.75">
      <c r="A240" s="3"/>
      <c r="B240" s="11" t="s">
        <v>523</v>
      </c>
      <c r="C240" s="151" t="s">
        <v>864</v>
      </c>
      <c r="D240" s="152"/>
      <c r="E240" s="152"/>
      <c r="F240" s="3" t="s">
        <v>6</v>
      </c>
      <c r="G240" s="3" t="s">
        <v>6</v>
      </c>
      <c r="H240" s="3" t="s">
        <v>6</v>
      </c>
      <c r="I240" s="32">
        <f>SUM(I241:I260)</f>
        <v>0</v>
      </c>
      <c r="J240" s="32">
        <f>SUM(J241:J260)</f>
        <v>0</v>
      </c>
      <c r="K240" s="32">
        <f>SUM(K241:K260)</f>
        <v>0</v>
      </c>
      <c r="L240" s="24"/>
      <c r="AI240" s="24" t="s">
        <v>1024</v>
      </c>
      <c r="AS240" s="32">
        <f>SUM(AJ241:AJ260)</f>
        <v>0</v>
      </c>
      <c r="AT240" s="32">
        <f>SUM(AK241:AK260)</f>
        <v>0</v>
      </c>
      <c r="AU240" s="32">
        <f>SUM(AL241:AL260)</f>
        <v>0</v>
      </c>
    </row>
    <row r="241" spans="1:62" ht="12.75">
      <c r="A241" s="4" t="s">
        <v>203</v>
      </c>
      <c r="B241" s="4" t="s">
        <v>524</v>
      </c>
      <c r="C241" s="153" t="s">
        <v>865</v>
      </c>
      <c r="D241" s="154"/>
      <c r="E241" s="154"/>
      <c r="F241" s="4" t="s">
        <v>993</v>
      </c>
      <c r="G241" s="64">
        <v>37.991</v>
      </c>
      <c r="H241" s="82">
        <v>0</v>
      </c>
      <c r="I241" s="14">
        <f>G241*AO241</f>
        <v>0</v>
      </c>
      <c r="J241" s="14">
        <f>G241*AP241</f>
        <v>0</v>
      </c>
      <c r="K241" s="14">
        <f>G241*H241</f>
        <v>0</v>
      </c>
      <c r="L241" s="25" t="s">
        <v>1014</v>
      </c>
      <c r="Z241" s="30">
        <f>IF(AQ241="5",BJ241,0)</f>
        <v>0</v>
      </c>
      <c r="AB241" s="30">
        <f>IF(AQ241="1",BH241,0)</f>
        <v>0</v>
      </c>
      <c r="AC241" s="30">
        <f>IF(AQ241="1",BI241,0)</f>
        <v>0</v>
      </c>
      <c r="AD241" s="30">
        <f>IF(AQ241="7",BH241,0)</f>
        <v>0</v>
      </c>
      <c r="AE241" s="30">
        <f>IF(AQ241="7",BI241,0)</f>
        <v>0</v>
      </c>
      <c r="AF241" s="30">
        <f>IF(AQ241="2",BH241,0)</f>
        <v>0</v>
      </c>
      <c r="AG241" s="30">
        <f>IF(AQ241="2",BI241,0)</f>
        <v>0</v>
      </c>
      <c r="AH241" s="30">
        <f>IF(AQ241="0",BJ241,0)</f>
        <v>0</v>
      </c>
      <c r="AI241" s="24" t="s">
        <v>1024</v>
      </c>
      <c r="AJ241" s="14">
        <f>IF(AN241=0,K241,0)</f>
        <v>0</v>
      </c>
      <c r="AK241" s="14">
        <f>IF(AN241=15,K241,0)</f>
        <v>0</v>
      </c>
      <c r="AL241" s="14">
        <f>IF(AN241=21,K241,0)</f>
        <v>0</v>
      </c>
      <c r="AN241" s="30">
        <v>21</v>
      </c>
      <c r="AO241" s="30">
        <f>H241*0</f>
        <v>0</v>
      </c>
      <c r="AP241" s="30">
        <f>H241*(1-0)</f>
        <v>0</v>
      </c>
      <c r="AQ241" s="25" t="s">
        <v>13</v>
      </c>
      <c r="AV241" s="30">
        <f>AW241+AX241</f>
        <v>0</v>
      </c>
      <c r="AW241" s="30">
        <f>G241*AO241</f>
        <v>0</v>
      </c>
      <c r="AX241" s="30">
        <f>G241*AP241</f>
        <v>0</v>
      </c>
      <c r="AY241" s="31" t="s">
        <v>1053</v>
      </c>
      <c r="AZ241" s="31" t="s">
        <v>1070</v>
      </c>
      <c r="BA241" s="24" t="s">
        <v>1080</v>
      </c>
      <c r="BC241" s="30">
        <f>AW241+AX241</f>
        <v>0</v>
      </c>
      <c r="BD241" s="30">
        <f>H241/(100-BE241)*100</f>
        <v>0</v>
      </c>
      <c r="BE241" s="30">
        <v>0</v>
      </c>
      <c r="BF241" s="30">
        <f>241</f>
        <v>241</v>
      </c>
      <c r="BH241" s="14">
        <f>G241*AO241</f>
        <v>0</v>
      </c>
      <c r="BI241" s="14">
        <f>G241*AP241</f>
        <v>0</v>
      </c>
      <c r="BJ241" s="14">
        <f>G241*H241</f>
        <v>0</v>
      </c>
    </row>
    <row r="242" spans="1:62" ht="12.75">
      <c r="A242" s="4" t="s">
        <v>204</v>
      </c>
      <c r="B242" s="4" t="s">
        <v>525</v>
      </c>
      <c r="C242" s="153" t="s">
        <v>866</v>
      </c>
      <c r="D242" s="154"/>
      <c r="E242" s="154"/>
      <c r="F242" s="4" t="s">
        <v>993</v>
      </c>
      <c r="G242" s="64">
        <v>472.899</v>
      </c>
      <c r="H242" s="82">
        <v>0</v>
      </c>
      <c r="I242" s="14">
        <f>G242*AO242</f>
        <v>0</v>
      </c>
      <c r="J242" s="14">
        <f>G242*AP242</f>
        <v>0</v>
      </c>
      <c r="K242" s="14">
        <f>G242*H242</f>
        <v>0</v>
      </c>
      <c r="L242" s="25" t="s">
        <v>1014</v>
      </c>
      <c r="Z242" s="30">
        <f>IF(AQ242="5",BJ242,0)</f>
        <v>0</v>
      </c>
      <c r="AB242" s="30">
        <f>IF(AQ242="1",BH242,0)</f>
        <v>0</v>
      </c>
      <c r="AC242" s="30">
        <f>IF(AQ242="1",BI242,0)</f>
        <v>0</v>
      </c>
      <c r="AD242" s="30">
        <f>IF(AQ242="7",BH242,0)</f>
        <v>0</v>
      </c>
      <c r="AE242" s="30">
        <f>IF(AQ242="7",BI242,0)</f>
        <v>0</v>
      </c>
      <c r="AF242" s="30">
        <f>IF(AQ242="2",BH242,0)</f>
        <v>0</v>
      </c>
      <c r="AG242" s="30">
        <f>IF(AQ242="2",BI242,0)</f>
        <v>0</v>
      </c>
      <c r="AH242" s="30">
        <f>IF(AQ242="0",BJ242,0)</f>
        <v>0</v>
      </c>
      <c r="AI242" s="24" t="s">
        <v>1024</v>
      </c>
      <c r="AJ242" s="14">
        <f>IF(AN242=0,K242,0)</f>
        <v>0</v>
      </c>
      <c r="AK242" s="14">
        <f>IF(AN242=15,K242,0)</f>
        <v>0</v>
      </c>
      <c r="AL242" s="14">
        <f>IF(AN242=21,K242,0)</f>
        <v>0</v>
      </c>
      <c r="AN242" s="30">
        <v>21</v>
      </c>
      <c r="AO242" s="30">
        <f>H242*0.0152717384283941</f>
        <v>0</v>
      </c>
      <c r="AP242" s="30">
        <f>H242*(1-0.0152717384283941)</f>
        <v>0</v>
      </c>
      <c r="AQ242" s="25" t="s">
        <v>13</v>
      </c>
      <c r="AV242" s="30">
        <f>AW242+AX242</f>
        <v>0</v>
      </c>
      <c r="AW242" s="30">
        <f>G242*AO242</f>
        <v>0</v>
      </c>
      <c r="AX242" s="30">
        <f>G242*AP242</f>
        <v>0</v>
      </c>
      <c r="AY242" s="31" t="s">
        <v>1053</v>
      </c>
      <c r="AZ242" s="31" t="s">
        <v>1070</v>
      </c>
      <c r="BA242" s="24" t="s">
        <v>1080</v>
      </c>
      <c r="BC242" s="30">
        <f>AW242+AX242</f>
        <v>0</v>
      </c>
      <c r="BD242" s="30">
        <f>H242/(100-BE242)*100</f>
        <v>0</v>
      </c>
      <c r="BE242" s="30">
        <v>0</v>
      </c>
      <c r="BF242" s="30">
        <f>242</f>
        <v>242</v>
      </c>
      <c r="BH242" s="14">
        <f>G242*AO242</f>
        <v>0</v>
      </c>
      <c r="BI242" s="14">
        <f>G242*AP242</f>
        <v>0</v>
      </c>
      <c r="BJ242" s="14">
        <f>G242*H242</f>
        <v>0</v>
      </c>
    </row>
    <row r="243" spans="3:8" ht="12.75">
      <c r="C243" s="155" t="s">
        <v>815</v>
      </c>
      <c r="D243" s="156"/>
      <c r="E243" s="156"/>
      <c r="H243" s="83"/>
    </row>
    <row r="244" spans="1:62" ht="12.75">
      <c r="A244" s="4" t="s">
        <v>205</v>
      </c>
      <c r="B244" s="4" t="s">
        <v>526</v>
      </c>
      <c r="C244" s="153" t="s">
        <v>867</v>
      </c>
      <c r="D244" s="154"/>
      <c r="E244" s="154"/>
      <c r="F244" s="4" t="s">
        <v>991</v>
      </c>
      <c r="G244" s="64">
        <v>1</v>
      </c>
      <c r="H244" s="82">
        <v>0</v>
      </c>
      <c r="I244" s="14">
        <f aca="true" t="shared" si="180" ref="I244:I260">G244*AO244</f>
        <v>0</v>
      </c>
      <c r="J244" s="14">
        <f aca="true" t="shared" si="181" ref="J244:J260">G244*AP244</f>
        <v>0</v>
      </c>
      <c r="K244" s="14">
        <f aca="true" t="shared" si="182" ref="K244:K260">G244*H244</f>
        <v>0</v>
      </c>
      <c r="L244" s="25" t="s">
        <v>1014</v>
      </c>
      <c r="Z244" s="30">
        <f aca="true" t="shared" si="183" ref="Z244:Z260">IF(AQ244="5",BJ244,0)</f>
        <v>0</v>
      </c>
      <c r="AB244" s="30">
        <f aca="true" t="shared" si="184" ref="AB244:AB260">IF(AQ244="1",BH244,0)</f>
        <v>0</v>
      </c>
      <c r="AC244" s="30">
        <f aca="true" t="shared" si="185" ref="AC244:AC260">IF(AQ244="1",BI244,0)</f>
        <v>0</v>
      </c>
      <c r="AD244" s="30">
        <f aca="true" t="shared" si="186" ref="AD244:AD260">IF(AQ244="7",BH244,0)</f>
        <v>0</v>
      </c>
      <c r="AE244" s="30">
        <f aca="true" t="shared" si="187" ref="AE244:AE260">IF(AQ244="7",BI244,0)</f>
        <v>0</v>
      </c>
      <c r="AF244" s="30">
        <f aca="true" t="shared" si="188" ref="AF244:AF260">IF(AQ244="2",BH244,0)</f>
        <v>0</v>
      </c>
      <c r="AG244" s="30">
        <f aca="true" t="shared" si="189" ref="AG244:AG260">IF(AQ244="2",BI244,0)</f>
        <v>0</v>
      </c>
      <c r="AH244" s="30">
        <f aca="true" t="shared" si="190" ref="AH244:AH260">IF(AQ244="0",BJ244,0)</f>
        <v>0</v>
      </c>
      <c r="AI244" s="24" t="s">
        <v>1024</v>
      </c>
      <c r="AJ244" s="14">
        <f aca="true" t="shared" si="191" ref="AJ244:AJ260">IF(AN244=0,K244,0)</f>
        <v>0</v>
      </c>
      <c r="AK244" s="14">
        <f aca="true" t="shared" si="192" ref="AK244:AK260">IF(AN244=15,K244,0)</f>
        <v>0</v>
      </c>
      <c r="AL244" s="14">
        <f aca="true" t="shared" si="193" ref="AL244:AL260">IF(AN244=21,K244,0)</f>
        <v>0</v>
      </c>
      <c r="AN244" s="30">
        <v>21</v>
      </c>
      <c r="AO244" s="30">
        <f aca="true" t="shared" si="194" ref="AO244:AO253">H244*0.81</f>
        <v>0</v>
      </c>
      <c r="AP244" s="30">
        <f aca="true" t="shared" si="195" ref="AP244:AP253">H244*(1-0.81)</f>
        <v>0</v>
      </c>
      <c r="AQ244" s="25" t="s">
        <v>13</v>
      </c>
      <c r="AV244" s="30">
        <f aca="true" t="shared" si="196" ref="AV244:AV260">AW244+AX244</f>
        <v>0</v>
      </c>
      <c r="AW244" s="30">
        <f aca="true" t="shared" si="197" ref="AW244:AW260">G244*AO244</f>
        <v>0</v>
      </c>
      <c r="AX244" s="30">
        <f aca="true" t="shared" si="198" ref="AX244:AX260">G244*AP244</f>
        <v>0</v>
      </c>
      <c r="AY244" s="31" t="s">
        <v>1053</v>
      </c>
      <c r="AZ244" s="31" t="s">
        <v>1070</v>
      </c>
      <c r="BA244" s="24" t="s">
        <v>1080</v>
      </c>
      <c r="BC244" s="30">
        <f aca="true" t="shared" si="199" ref="BC244:BC260">AW244+AX244</f>
        <v>0</v>
      </c>
      <c r="BD244" s="30">
        <f aca="true" t="shared" si="200" ref="BD244:BD260">H244/(100-BE244)*100</f>
        <v>0</v>
      </c>
      <c r="BE244" s="30">
        <v>0</v>
      </c>
      <c r="BF244" s="30">
        <f>244</f>
        <v>244</v>
      </c>
      <c r="BH244" s="14">
        <f aca="true" t="shared" si="201" ref="BH244:BH260">G244*AO244</f>
        <v>0</v>
      </c>
      <c r="BI244" s="14">
        <f aca="true" t="shared" si="202" ref="BI244:BI260">G244*AP244</f>
        <v>0</v>
      </c>
      <c r="BJ244" s="14">
        <f aca="true" t="shared" si="203" ref="BJ244:BJ260">G244*H244</f>
        <v>0</v>
      </c>
    </row>
    <row r="245" spans="1:62" ht="12.75">
      <c r="A245" s="4" t="s">
        <v>206</v>
      </c>
      <c r="B245" s="4" t="s">
        <v>527</v>
      </c>
      <c r="C245" s="153" t="s">
        <v>868</v>
      </c>
      <c r="D245" s="154"/>
      <c r="E245" s="154"/>
      <c r="F245" s="4" t="s">
        <v>991</v>
      </c>
      <c r="G245" s="64">
        <v>1</v>
      </c>
      <c r="H245" s="82">
        <v>0</v>
      </c>
      <c r="I245" s="14">
        <f t="shared" si="180"/>
        <v>0</v>
      </c>
      <c r="J245" s="14">
        <f t="shared" si="181"/>
        <v>0</v>
      </c>
      <c r="K245" s="14">
        <f t="shared" si="182"/>
        <v>0</v>
      </c>
      <c r="L245" s="25" t="s">
        <v>1014</v>
      </c>
      <c r="Z245" s="30">
        <f t="shared" si="183"/>
        <v>0</v>
      </c>
      <c r="AB245" s="30">
        <f t="shared" si="184"/>
        <v>0</v>
      </c>
      <c r="AC245" s="30">
        <f t="shared" si="185"/>
        <v>0</v>
      </c>
      <c r="AD245" s="30">
        <f t="shared" si="186"/>
        <v>0</v>
      </c>
      <c r="AE245" s="30">
        <f t="shared" si="187"/>
        <v>0</v>
      </c>
      <c r="AF245" s="30">
        <f t="shared" si="188"/>
        <v>0</v>
      </c>
      <c r="AG245" s="30">
        <f t="shared" si="189"/>
        <v>0</v>
      </c>
      <c r="AH245" s="30">
        <f t="shared" si="190"/>
        <v>0</v>
      </c>
      <c r="AI245" s="24" t="s">
        <v>1024</v>
      </c>
      <c r="AJ245" s="14">
        <f t="shared" si="191"/>
        <v>0</v>
      </c>
      <c r="AK245" s="14">
        <f t="shared" si="192"/>
        <v>0</v>
      </c>
      <c r="AL245" s="14">
        <f t="shared" si="193"/>
        <v>0</v>
      </c>
      <c r="AN245" s="30">
        <v>21</v>
      </c>
      <c r="AO245" s="30">
        <f t="shared" si="194"/>
        <v>0</v>
      </c>
      <c r="AP245" s="30">
        <f t="shared" si="195"/>
        <v>0</v>
      </c>
      <c r="AQ245" s="25" t="s">
        <v>13</v>
      </c>
      <c r="AV245" s="30">
        <f t="shared" si="196"/>
        <v>0</v>
      </c>
      <c r="AW245" s="30">
        <f t="shared" si="197"/>
        <v>0</v>
      </c>
      <c r="AX245" s="30">
        <f t="shared" si="198"/>
        <v>0</v>
      </c>
      <c r="AY245" s="31" t="s">
        <v>1053</v>
      </c>
      <c r="AZ245" s="31" t="s">
        <v>1070</v>
      </c>
      <c r="BA245" s="24" t="s">
        <v>1080</v>
      </c>
      <c r="BC245" s="30">
        <f t="shared" si="199"/>
        <v>0</v>
      </c>
      <c r="BD245" s="30">
        <f t="shared" si="200"/>
        <v>0</v>
      </c>
      <c r="BE245" s="30">
        <v>0</v>
      </c>
      <c r="BF245" s="30">
        <f>245</f>
        <v>245</v>
      </c>
      <c r="BH245" s="14">
        <f t="shared" si="201"/>
        <v>0</v>
      </c>
      <c r="BI245" s="14">
        <f t="shared" si="202"/>
        <v>0</v>
      </c>
      <c r="BJ245" s="14">
        <f t="shared" si="203"/>
        <v>0</v>
      </c>
    </row>
    <row r="246" spans="1:62" ht="12.75">
      <c r="A246" s="4" t="s">
        <v>207</v>
      </c>
      <c r="B246" s="4" t="s">
        <v>528</v>
      </c>
      <c r="C246" s="153" t="s">
        <v>869</v>
      </c>
      <c r="D246" s="154"/>
      <c r="E246" s="154"/>
      <c r="F246" s="4" t="s">
        <v>993</v>
      </c>
      <c r="G246" s="64">
        <v>9</v>
      </c>
      <c r="H246" s="82">
        <v>0</v>
      </c>
      <c r="I246" s="14">
        <f t="shared" si="180"/>
        <v>0</v>
      </c>
      <c r="J246" s="14">
        <f t="shared" si="181"/>
        <v>0</v>
      </c>
      <c r="K246" s="14">
        <f t="shared" si="182"/>
        <v>0</v>
      </c>
      <c r="L246" s="25" t="s">
        <v>1014</v>
      </c>
      <c r="Z246" s="30">
        <f t="shared" si="183"/>
        <v>0</v>
      </c>
      <c r="AB246" s="30">
        <f t="shared" si="184"/>
        <v>0</v>
      </c>
      <c r="AC246" s="30">
        <f t="shared" si="185"/>
        <v>0</v>
      </c>
      <c r="AD246" s="30">
        <f t="shared" si="186"/>
        <v>0</v>
      </c>
      <c r="AE246" s="30">
        <f t="shared" si="187"/>
        <v>0</v>
      </c>
      <c r="AF246" s="30">
        <f t="shared" si="188"/>
        <v>0</v>
      </c>
      <c r="AG246" s="30">
        <f t="shared" si="189"/>
        <v>0</v>
      </c>
      <c r="AH246" s="30">
        <f t="shared" si="190"/>
        <v>0</v>
      </c>
      <c r="AI246" s="24" t="s">
        <v>1024</v>
      </c>
      <c r="AJ246" s="14">
        <f t="shared" si="191"/>
        <v>0</v>
      </c>
      <c r="AK246" s="14">
        <f t="shared" si="192"/>
        <v>0</v>
      </c>
      <c r="AL246" s="14">
        <f t="shared" si="193"/>
        <v>0</v>
      </c>
      <c r="AN246" s="30">
        <v>21</v>
      </c>
      <c r="AO246" s="30">
        <f t="shared" si="194"/>
        <v>0</v>
      </c>
      <c r="AP246" s="30">
        <f t="shared" si="195"/>
        <v>0</v>
      </c>
      <c r="AQ246" s="25" t="s">
        <v>13</v>
      </c>
      <c r="AV246" s="30">
        <f t="shared" si="196"/>
        <v>0</v>
      </c>
      <c r="AW246" s="30">
        <f t="shared" si="197"/>
        <v>0</v>
      </c>
      <c r="AX246" s="30">
        <f t="shared" si="198"/>
        <v>0</v>
      </c>
      <c r="AY246" s="31" t="s">
        <v>1053</v>
      </c>
      <c r="AZ246" s="31" t="s">
        <v>1070</v>
      </c>
      <c r="BA246" s="24" t="s">
        <v>1080</v>
      </c>
      <c r="BC246" s="30">
        <f t="shared" si="199"/>
        <v>0</v>
      </c>
      <c r="BD246" s="30">
        <f t="shared" si="200"/>
        <v>0</v>
      </c>
      <c r="BE246" s="30">
        <v>0</v>
      </c>
      <c r="BF246" s="30">
        <f>246</f>
        <v>246</v>
      </c>
      <c r="BH246" s="14">
        <f t="shared" si="201"/>
        <v>0</v>
      </c>
      <c r="BI246" s="14">
        <f t="shared" si="202"/>
        <v>0</v>
      </c>
      <c r="BJ246" s="14">
        <f t="shared" si="203"/>
        <v>0</v>
      </c>
    </row>
    <row r="247" spans="1:62" ht="12.75">
      <c r="A247" s="4" t="s">
        <v>208</v>
      </c>
      <c r="B247" s="4" t="s">
        <v>529</v>
      </c>
      <c r="C247" s="153" t="s">
        <v>870</v>
      </c>
      <c r="D247" s="154"/>
      <c r="E247" s="154"/>
      <c r="F247" s="4" t="s">
        <v>993</v>
      </c>
      <c r="G247" s="64">
        <v>4</v>
      </c>
      <c r="H247" s="82">
        <v>0</v>
      </c>
      <c r="I247" s="14">
        <f t="shared" si="180"/>
        <v>0</v>
      </c>
      <c r="J247" s="14">
        <f t="shared" si="181"/>
        <v>0</v>
      </c>
      <c r="K247" s="14">
        <f t="shared" si="182"/>
        <v>0</v>
      </c>
      <c r="L247" s="25" t="s">
        <v>1014</v>
      </c>
      <c r="Z247" s="30">
        <f t="shared" si="183"/>
        <v>0</v>
      </c>
      <c r="AB247" s="30">
        <f t="shared" si="184"/>
        <v>0</v>
      </c>
      <c r="AC247" s="30">
        <f t="shared" si="185"/>
        <v>0</v>
      </c>
      <c r="AD247" s="30">
        <f t="shared" si="186"/>
        <v>0</v>
      </c>
      <c r="AE247" s="30">
        <f t="shared" si="187"/>
        <v>0</v>
      </c>
      <c r="AF247" s="30">
        <f t="shared" si="188"/>
        <v>0</v>
      </c>
      <c r="AG247" s="30">
        <f t="shared" si="189"/>
        <v>0</v>
      </c>
      <c r="AH247" s="30">
        <f t="shared" si="190"/>
        <v>0</v>
      </c>
      <c r="AI247" s="24" t="s">
        <v>1024</v>
      </c>
      <c r="AJ247" s="14">
        <f t="shared" si="191"/>
        <v>0</v>
      </c>
      <c r="AK247" s="14">
        <f t="shared" si="192"/>
        <v>0</v>
      </c>
      <c r="AL247" s="14">
        <f t="shared" si="193"/>
        <v>0</v>
      </c>
      <c r="AN247" s="30">
        <v>21</v>
      </c>
      <c r="AO247" s="30">
        <f t="shared" si="194"/>
        <v>0</v>
      </c>
      <c r="AP247" s="30">
        <f t="shared" si="195"/>
        <v>0</v>
      </c>
      <c r="AQ247" s="25" t="s">
        <v>13</v>
      </c>
      <c r="AV247" s="30">
        <f t="shared" si="196"/>
        <v>0</v>
      </c>
      <c r="AW247" s="30">
        <f t="shared" si="197"/>
        <v>0</v>
      </c>
      <c r="AX247" s="30">
        <f t="shared" si="198"/>
        <v>0</v>
      </c>
      <c r="AY247" s="31" t="s">
        <v>1053</v>
      </c>
      <c r="AZ247" s="31" t="s">
        <v>1070</v>
      </c>
      <c r="BA247" s="24" t="s">
        <v>1080</v>
      </c>
      <c r="BC247" s="30">
        <f t="shared" si="199"/>
        <v>0</v>
      </c>
      <c r="BD247" s="30">
        <f t="shared" si="200"/>
        <v>0</v>
      </c>
      <c r="BE247" s="30">
        <v>0</v>
      </c>
      <c r="BF247" s="30">
        <f>247</f>
        <v>247</v>
      </c>
      <c r="BH247" s="14">
        <f t="shared" si="201"/>
        <v>0</v>
      </c>
      <c r="BI247" s="14">
        <f t="shared" si="202"/>
        <v>0</v>
      </c>
      <c r="BJ247" s="14">
        <f t="shared" si="203"/>
        <v>0</v>
      </c>
    </row>
    <row r="248" spans="1:62" ht="12.75">
      <c r="A248" s="4" t="s">
        <v>209</v>
      </c>
      <c r="B248" s="4" t="s">
        <v>530</v>
      </c>
      <c r="C248" s="153" t="s">
        <v>871</v>
      </c>
      <c r="D248" s="154"/>
      <c r="E248" s="154"/>
      <c r="F248" s="4" t="s">
        <v>993</v>
      </c>
      <c r="G248" s="64">
        <v>1</v>
      </c>
      <c r="H248" s="82">
        <v>0</v>
      </c>
      <c r="I248" s="14">
        <f t="shared" si="180"/>
        <v>0</v>
      </c>
      <c r="J248" s="14">
        <f t="shared" si="181"/>
        <v>0</v>
      </c>
      <c r="K248" s="14">
        <f t="shared" si="182"/>
        <v>0</v>
      </c>
      <c r="L248" s="25" t="s">
        <v>1014</v>
      </c>
      <c r="Z248" s="30">
        <f t="shared" si="183"/>
        <v>0</v>
      </c>
      <c r="AB248" s="30">
        <f t="shared" si="184"/>
        <v>0</v>
      </c>
      <c r="AC248" s="30">
        <f t="shared" si="185"/>
        <v>0</v>
      </c>
      <c r="AD248" s="30">
        <f t="shared" si="186"/>
        <v>0</v>
      </c>
      <c r="AE248" s="30">
        <f t="shared" si="187"/>
        <v>0</v>
      </c>
      <c r="AF248" s="30">
        <f t="shared" si="188"/>
        <v>0</v>
      </c>
      <c r="AG248" s="30">
        <f t="shared" si="189"/>
        <v>0</v>
      </c>
      <c r="AH248" s="30">
        <f t="shared" si="190"/>
        <v>0</v>
      </c>
      <c r="AI248" s="24" t="s">
        <v>1024</v>
      </c>
      <c r="AJ248" s="14">
        <f t="shared" si="191"/>
        <v>0</v>
      </c>
      <c r="AK248" s="14">
        <f t="shared" si="192"/>
        <v>0</v>
      </c>
      <c r="AL248" s="14">
        <f t="shared" si="193"/>
        <v>0</v>
      </c>
      <c r="AN248" s="30">
        <v>21</v>
      </c>
      <c r="AO248" s="30">
        <f t="shared" si="194"/>
        <v>0</v>
      </c>
      <c r="AP248" s="30">
        <f t="shared" si="195"/>
        <v>0</v>
      </c>
      <c r="AQ248" s="25" t="s">
        <v>13</v>
      </c>
      <c r="AV248" s="30">
        <f t="shared" si="196"/>
        <v>0</v>
      </c>
      <c r="AW248" s="30">
        <f t="shared" si="197"/>
        <v>0</v>
      </c>
      <c r="AX248" s="30">
        <f t="shared" si="198"/>
        <v>0</v>
      </c>
      <c r="AY248" s="31" t="s">
        <v>1053</v>
      </c>
      <c r="AZ248" s="31" t="s">
        <v>1070</v>
      </c>
      <c r="BA248" s="24" t="s">
        <v>1080</v>
      </c>
      <c r="BC248" s="30">
        <f t="shared" si="199"/>
        <v>0</v>
      </c>
      <c r="BD248" s="30">
        <f t="shared" si="200"/>
        <v>0</v>
      </c>
      <c r="BE248" s="30">
        <v>0</v>
      </c>
      <c r="BF248" s="30">
        <f>248</f>
        <v>248</v>
      </c>
      <c r="BH248" s="14">
        <f t="shared" si="201"/>
        <v>0</v>
      </c>
      <c r="BI248" s="14">
        <f t="shared" si="202"/>
        <v>0</v>
      </c>
      <c r="BJ248" s="14">
        <f t="shared" si="203"/>
        <v>0</v>
      </c>
    </row>
    <row r="249" spans="1:62" ht="12.75">
      <c r="A249" s="4" t="s">
        <v>210</v>
      </c>
      <c r="B249" s="4" t="s">
        <v>531</v>
      </c>
      <c r="C249" s="153" t="s">
        <v>872</v>
      </c>
      <c r="D249" s="154"/>
      <c r="E249" s="154"/>
      <c r="F249" s="4" t="s">
        <v>993</v>
      </c>
      <c r="G249" s="64">
        <v>1</v>
      </c>
      <c r="H249" s="82">
        <v>0</v>
      </c>
      <c r="I249" s="14">
        <f t="shared" si="180"/>
        <v>0</v>
      </c>
      <c r="J249" s="14">
        <f t="shared" si="181"/>
        <v>0</v>
      </c>
      <c r="K249" s="14">
        <f t="shared" si="182"/>
        <v>0</v>
      </c>
      <c r="L249" s="25" t="s">
        <v>1014</v>
      </c>
      <c r="Z249" s="30">
        <f t="shared" si="183"/>
        <v>0</v>
      </c>
      <c r="AB249" s="30">
        <f t="shared" si="184"/>
        <v>0</v>
      </c>
      <c r="AC249" s="30">
        <f t="shared" si="185"/>
        <v>0</v>
      </c>
      <c r="AD249" s="30">
        <f t="shared" si="186"/>
        <v>0</v>
      </c>
      <c r="AE249" s="30">
        <f t="shared" si="187"/>
        <v>0</v>
      </c>
      <c r="AF249" s="30">
        <f t="shared" si="188"/>
        <v>0</v>
      </c>
      <c r="AG249" s="30">
        <f t="shared" si="189"/>
        <v>0</v>
      </c>
      <c r="AH249" s="30">
        <f t="shared" si="190"/>
        <v>0</v>
      </c>
      <c r="AI249" s="24" t="s">
        <v>1024</v>
      </c>
      <c r="AJ249" s="14">
        <f t="shared" si="191"/>
        <v>0</v>
      </c>
      <c r="AK249" s="14">
        <f t="shared" si="192"/>
        <v>0</v>
      </c>
      <c r="AL249" s="14">
        <f t="shared" si="193"/>
        <v>0</v>
      </c>
      <c r="AN249" s="30">
        <v>21</v>
      </c>
      <c r="AO249" s="30">
        <f t="shared" si="194"/>
        <v>0</v>
      </c>
      <c r="AP249" s="30">
        <f t="shared" si="195"/>
        <v>0</v>
      </c>
      <c r="AQ249" s="25" t="s">
        <v>13</v>
      </c>
      <c r="AV249" s="30">
        <f t="shared" si="196"/>
        <v>0</v>
      </c>
      <c r="AW249" s="30">
        <f t="shared" si="197"/>
        <v>0</v>
      </c>
      <c r="AX249" s="30">
        <f t="shared" si="198"/>
        <v>0</v>
      </c>
      <c r="AY249" s="31" t="s">
        <v>1053</v>
      </c>
      <c r="AZ249" s="31" t="s">
        <v>1070</v>
      </c>
      <c r="BA249" s="24" t="s">
        <v>1080</v>
      </c>
      <c r="BC249" s="30">
        <f t="shared" si="199"/>
        <v>0</v>
      </c>
      <c r="BD249" s="30">
        <f t="shared" si="200"/>
        <v>0</v>
      </c>
      <c r="BE249" s="30">
        <v>0</v>
      </c>
      <c r="BF249" s="30">
        <f>249</f>
        <v>249</v>
      </c>
      <c r="BH249" s="14">
        <f t="shared" si="201"/>
        <v>0</v>
      </c>
      <c r="BI249" s="14">
        <f t="shared" si="202"/>
        <v>0</v>
      </c>
      <c r="BJ249" s="14">
        <f t="shared" si="203"/>
        <v>0</v>
      </c>
    </row>
    <row r="250" spans="1:62" ht="12.75">
      <c r="A250" s="4" t="s">
        <v>211</v>
      </c>
      <c r="B250" s="4" t="s">
        <v>532</v>
      </c>
      <c r="C250" s="153" t="s">
        <v>873</v>
      </c>
      <c r="D250" s="154"/>
      <c r="E250" s="154"/>
      <c r="F250" s="4" t="s">
        <v>993</v>
      </c>
      <c r="G250" s="64">
        <v>1</v>
      </c>
      <c r="H250" s="82">
        <v>0</v>
      </c>
      <c r="I250" s="14">
        <f t="shared" si="180"/>
        <v>0</v>
      </c>
      <c r="J250" s="14">
        <f t="shared" si="181"/>
        <v>0</v>
      </c>
      <c r="K250" s="14">
        <f t="shared" si="182"/>
        <v>0</v>
      </c>
      <c r="L250" s="25" t="s">
        <v>1014</v>
      </c>
      <c r="Z250" s="30">
        <f t="shared" si="183"/>
        <v>0</v>
      </c>
      <c r="AB250" s="30">
        <f t="shared" si="184"/>
        <v>0</v>
      </c>
      <c r="AC250" s="30">
        <f t="shared" si="185"/>
        <v>0</v>
      </c>
      <c r="AD250" s="30">
        <f t="shared" si="186"/>
        <v>0</v>
      </c>
      <c r="AE250" s="30">
        <f t="shared" si="187"/>
        <v>0</v>
      </c>
      <c r="AF250" s="30">
        <f t="shared" si="188"/>
        <v>0</v>
      </c>
      <c r="AG250" s="30">
        <f t="shared" si="189"/>
        <v>0</v>
      </c>
      <c r="AH250" s="30">
        <f t="shared" si="190"/>
        <v>0</v>
      </c>
      <c r="AI250" s="24" t="s">
        <v>1024</v>
      </c>
      <c r="AJ250" s="14">
        <f t="shared" si="191"/>
        <v>0</v>
      </c>
      <c r="AK250" s="14">
        <f t="shared" si="192"/>
        <v>0</v>
      </c>
      <c r="AL250" s="14">
        <f t="shared" si="193"/>
        <v>0</v>
      </c>
      <c r="AN250" s="30">
        <v>21</v>
      </c>
      <c r="AO250" s="30">
        <f t="shared" si="194"/>
        <v>0</v>
      </c>
      <c r="AP250" s="30">
        <f t="shared" si="195"/>
        <v>0</v>
      </c>
      <c r="AQ250" s="25" t="s">
        <v>13</v>
      </c>
      <c r="AV250" s="30">
        <f t="shared" si="196"/>
        <v>0</v>
      </c>
      <c r="AW250" s="30">
        <f t="shared" si="197"/>
        <v>0</v>
      </c>
      <c r="AX250" s="30">
        <f t="shared" si="198"/>
        <v>0</v>
      </c>
      <c r="AY250" s="31" t="s">
        <v>1053</v>
      </c>
      <c r="AZ250" s="31" t="s">
        <v>1070</v>
      </c>
      <c r="BA250" s="24" t="s">
        <v>1080</v>
      </c>
      <c r="BC250" s="30">
        <f t="shared" si="199"/>
        <v>0</v>
      </c>
      <c r="BD250" s="30">
        <f t="shared" si="200"/>
        <v>0</v>
      </c>
      <c r="BE250" s="30">
        <v>0</v>
      </c>
      <c r="BF250" s="30">
        <f>250</f>
        <v>250</v>
      </c>
      <c r="BH250" s="14">
        <f t="shared" si="201"/>
        <v>0</v>
      </c>
      <c r="BI250" s="14">
        <f t="shared" si="202"/>
        <v>0</v>
      </c>
      <c r="BJ250" s="14">
        <f t="shared" si="203"/>
        <v>0</v>
      </c>
    </row>
    <row r="251" spans="1:62" ht="12.75">
      <c r="A251" s="4" t="s">
        <v>212</v>
      </c>
      <c r="B251" s="4" t="s">
        <v>533</v>
      </c>
      <c r="C251" s="153" t="s">
        <v>874</v>
      </c>
      <c r="D251" s="154"/>
      <c r="E251" s="154"/>
      <c r="F251" s="4" t="s">
        <v>993</v>
      </c>
      <c r="G251" s="64">
        <v>1</v>
      </c>
      <c r="H251" s="82">
        <v>0</v>
      </c>
      <c r="I251" s="14">
        <f t="shared" si="180"/>
        <v>0</v>
      </c>
      <c r="J251" s="14">
        <f t="shared" si="181"/>
        <v>0</v>
      </c>
      <c r="K251" s="14">
        <f t="shared" si="182"/>
        <v>0</v>
      </c>
      <c r="L251" s="25" t="s">
        <v>1014</v>
      </c>
      <c r="Z251" s="30">
        <f t="shared" si="183"/>
        <v>0</v>
      </c>
      <c r="AB251" s="30">
        <f t="shared" si="184"/>
        <v>0</v>
      </c>
      <c r="AC251" s="30">
        <f t="shared" si="185"/>
        <v>0</v>
      </c>
      <c r="AD251" s="30">
        <f t="shared" si="186"/>
        <v>0</v>
      </c>
      <c r="AE251" s="30">
        <f t="shared" si="187"/>
        <v>0</v>
      </c>
      <c r="AF251" s="30">
        <f t="shared" si="188"/>
        <v>0</v>
      </c>
      <c r="AG251" s="30">
        <f t="shared" si="189"/>
        <v>0</v>
      </c>
      <c r="AH251" s="30">
        <f t="shared" si="190"/>
        <v>0</v>
      </c>
      <c r="AI251" s="24" t="s">
        <v>1024</v>
      </c>
      <c r="AJ251" s="14">
        <f t="shared" si="191"/>
        <v>0</v>
      </c>
      <c r="AK251" s="14">
        <f t="shared" si="192"/>
        <v>0</v>
      </c>
      <c r="AL251" s="14">
        <f t="shared" si="193"/>
        <v>0</v>
      </c>
      <c r="AN251" s="30">
        <v>21</v>
      </c>
      <c r="AO251" s="30">
        <f t="shared" si="194"/>
        <v>0</v>
      </c>
      <c r="AP251" s="30">
        <f t="shared" si="195"/>
        <v>0</v>
      </c>
      <c r="AQ251" s="25" t="s">
        <v>13</v>
      </c>
      <c r="AV251" s="30">
        <f t="shared" si="196"/>
        <v>0</v>
      </c>
      <c r="AW251" s="30">
        <f t="shared" si="197"/>
        <v>0</v>
      </c>
      <c r="AX251" s="30">
        <f t="shared" si="198"/>
        <v>0</v>
      </c>
      <c r="AY251" s="31" t="s">
        <v>1053</v>
      </c>
      <c r="AZ251" s="31" t="s">
        <v>1070</v>
      </c>
      <c r="BA251" s="24" t="s">
        <v>1080</v>
      </c>
      <c r="BC251" s="30">
        <f t="shared" si="199"/>
        <v>0</v>
      </c>
      <c r="BD251" s="30">
        <f t="shared" si="200"/>
        <v>0</v>
      </c>
      <c r="BE251" s="30">
        <v>0</v>
      </c>
      <c r="BF251" s="30">
        <f>251</f>
        <v>251</v>
      </c>
      <c r="BH251" s="14">
        <f t="shared" si="201"/>
        <v>0</v>
      </c>
      <c r="BI251" s="14">
        <f t="shared" si="202"/>
        <v>0</v>
      </c>
      <c r="BJ251" s="14">
        <f t="shared" si="203"/>
        <v>0</v>
      </c>
    </row>
    <row r="252" spans="1:62" ht="12.75">
      <c r="A252" s="4" t="s">
        <v>213</v>
      </c>
      <c r="B252" s="4" t="s">
        <v>534</v>
      </c>
      <c r="C252" s="153" t="s">
        <v>875</v>
      </c>
      <c r="D252" s="154"/>
      <c r="E252" s="154"/>
      <c r="F252" s="4" t="s">
        <v>993</v>
      </c>
      <c r="G252" s="64">
        <v>2</v>
      </c>
      <c r="H252" s="82">
        <v>0</v>
      </c>
      <c r="I252" s="14">
        <f t="shared" si="180"/>
        <v>0</v>
      </c>
      <c r="J252" s="14">
        <f t="shared" si="181"/>
        <v>0</v>
      </c>
      <c r="K252" s="14">
        <f t="shared" si="182"/>
        <v>0</v>
      </c>
      <c r="L252" s="25" t="s">
        <v>1014</v>
      </c>
      <c r="Z252" s="30">
        <f t="shared" si="183"/>
        <v>0</v>
      </c>
      <c r="AB252" s="30">
        <f t="shared" si="184"/>
        <v>0</v>
      </c>
      <c r="AC252" s="30">
        <f t="shared" si="185"/>
        <v>0</v>
      </c>
      <c r="AD252" s="30">
        <f t="shared" si="186"/>
        <v>0</v>
      </c>
      <c r="AE252" s="30">
        <f t="shared" si="187"/>
        <v>0</v>
      </c>
      <c r="AF252" s="30">
        <f t="shared" si="188"/>
        <v>0</v>
      </c>
      <c r="AG252" s="30">
        <f t="shared" si="189"/>
        <v>0</v>
      </c>
      <c r="AH252" s="30">
        <f t="shared" si="190"/>
        <v>0</v>
      </c>
      <c r="AI252" s="24" t="s">
        <v>1024</v>
      </c>
      <c r="AJ252" s="14">
        <f t="shared" si="191"/>
        <v>0</v>
      </c>
      <c r="AK252" s="14">
        <f t="shared" si="192"/>
        <v>0</v>
      </c>
      <c r="AL252" s="14">
        <f t="shared" si="193"/>
        <v>0</v>
      </c>
      <c r="AN252" s="30">
        <v>21</v>
      </c>
      <c r="AO252" s="30">
        <f t="shared" si="194"/>
        <v>0</v>
      </c>
      <c r="AP252" s="30">
        <f t="shared" si="195"/>
        <v>0</v>
      </c>
      <c r="AQ252" s="25" t="s">
        <v>13</v>
      </c>
      <c r="AV252" s="30">
        <f t="shared" si="196"/>
        <v>0</v>
      </c>
      <c r="AW252" s="30">
        <f t="shared" si="197"/>
        <v>0</v>
      </c>
      <c r="AX252" s="30">
        <f t="shared" si="198"/>
        <v>0</v>
      </c>
      <c r="AY252" s="31" t="s">
        <v>1053</v>
      </c>
      <c r="AZ252" s="31" t="s">
        <v>1070</v>
      </c>
      <c r="BA252" s="24" t="s">
        <v>1080</v>
      </c>
      <c r="BC252" s="30">
        <f t="shared" si="199"/>
        <v>0</v>
      </c>
      <c r="BD252" s="30">
        <f t="shared" si="200"/>
        <v>0</v>
      </c>
      <c r="BE252" s="30">
        <v>0</v>
      </c>
      <c r="BF252" s="30">
        <f>252</f>
        <v>252</v>
      </c>
      <c r="BH252" s="14">
        <f t="shared" si="201"/>
        <v>0</v>
      </c>
      <c r="BI252" s="14">
        <f t="shared" si="202"/>
        <v>0</v>
      </c>
      <c r="BJ252" s="14">
        <f t="shared" si="203"/>
        <v>0</v>
      </c>
    </row>
    <row r="253" spans="1:62" ht="12.75">
      <c r="A253" s="4" t="s">
        <v>214</v>
      </c>
      <c r="B253" s="4" t="s">
        <v>535</v>
      </c>
      <c r="C253" s="153" t="s">
        <v>876</v>
      </c>
      <c r="D253" s="154"/>
      <c r="E253" s="154"/>
      <c r="F253" s="4" t="s">
        <v>993</v>
      </c>
      <c r="G253" s="64">
        <v>2</v>
      </c>
      <c r="H253" s="82">
        <v>0</v>
      </c>
      <c r="I253" s="14">
        <f t="shared" si="180"/>
        <v>0</v>
      </c>
      <c r="J253" s="14">
        <f t="shared" si="181"/>
        <v>0</v>
      </c>
      <c r="K253" s="14">
        <f t="shared" si="182"/>
        <v>0</v>
      </c>
      <c r="L253" s="25" t="s">
        <v>1014</v>
      </c>
      <c r="Z253" s="30">
        <f t="shared" si="183"/>
        <v>0</v>
      </c>
      <c r="AB253" s="30">
        <f t="shared" si="184"/>
        <v>0</v>
      </c>
      <c r="AC253" s="30">
        <f t="shared" si="185"/>
        <v>0</v>
      </c>
      <c r="AD253" s="30">
        <f t="shared" si="186"/>
        <v>0</v>
      </c>
      <c r="AE253" s="30">
        <f t="shared" si="187"/>
        <v>0</v>
      </c>
      <c r="AF253" s="30">
        <f t="shared" si="188"/>
        <v>0</v>
      </c>
      <c r="AG253" s="30">
        <f t="shared" si="189"/>
        <v>0</v>
      </c>
      <c r="AH253" s="30">
        <f t="shared" si="190"/>
        <v>0</v>
      </c>
      <c r="AI253" s="24" t="s">
        <v>1024</v>
      </c>
      <c r="AJ253" s="14">
        <f t="shared" si="191"/>
        <v>0</v>
      </c>
      <c r="AK253" s="14">
        <f t="shared" si="192"/>
        <v>0</v>
      </c>
      <c r="AL253" s="14">
        <f t="shared" si="193"/>
        <v>0</v>
      </c>
      <c r="AN253" s="30">
        <v>21</v>
      </c>
      <c r="AO253" s="30">
        <f t="shared" si="194"/>
        <v>0</v>
      </c>
      <c r="AP253" s="30">
        <f t="shared" si="195"/>
        <v>0</v>
      </c>
      <c r="AQ253" s="25" t="s">
        <v>13</v>
      </c>
      <c r="AV253" s="30">
        <f t="shared" si="196"/>
        <v>0</v>
      </c>
      <c r="AW253" s="30">
        <f t="shared" si="197"/>
        <v>0</v>
      </c>
      <c r="AX253" s="30">
        <f t="shared" si="198"/>
        <v>0</v>
      </c>
      <c r="AY253" s="31" t="s">
        <v>1053</v>
      </c>
      <c r="AZ253" s="31" t="s">
        <v>1070</v>
      </c>
      <c r="BA253" s="24" t="s">
        <v>1080</v>
      </c>
      <c r="BC253" s="30">
        <f t="shared" si="199"/>
        <v>0</v>
      </c>
      <c r="BD253" s="30">
        <f t="shared" si="200"/>
        <v>0</v>
      </c>
      <c r="BE253" s="30">
        <v>0</v>
      </c>
      <c r="BF253" s="30">
        <f>253</f>
        <v>253</v>
      </c>
      <c r="BH253" s="14">
        <f t="shared" si="201"/>
        <v>0</v>
      </c>
      <c r="BI253" s="14">
        <f t="shared" si="202"/>
        <v>0</v>
      </c>
      <c r="BJ253" s="14">
        <f t="shared" si="203"/>
        <v>0</v>
      </c>
    </row>
    <row r="254" spans="1:62" ht="12.75">
      <c r="A254" s="4" t="s">
        <v>215</v>
      </c>
      <c r="B254" s="4" t="s">
        <v>536</v>
      </c>
      <c r="C254" s="153" t="s">
        <v>877</v>
      </c>
      <c r="D254" s="154"/>
      <c r="E254" s="154"/>
      <c r="F254" s="4" t="s">
        <v>997</v>
      </c>
      <c r="G254" s="64">
        <v>1</v>
      </c>
      <c r="H254" s="82">
        <v>0</v>
      </c>
      <c r="I254" s="14">
        <f t="shared" si="180"/>
        <v>0</v>
      </c>
      <c r="J254" s="14">
        <f t="shared" si="181"/>
        <v>0</v>
      </c>
      <c r="K254" s="14">
        <f t="shared" si="182"/>
        <v>0</v>
      </c>
      <c r="L254" s="25" t="s">
        <v>1014</v>
      </c>
      <c r="Z254" s="30">
        <f t="shared" si="183"/>
        <v>0</v>
      </c>
      <c r="AB254" s="30">
        <f t="shared" si="184"/>
        <v>0</v>
      </c>
      <c r="AC254" s="30">
        <f t="shared" si="185"/>
        <v>0</v>
      </c>
      <c r="AD254" s="30">
        <f t="shared" si="186"/>
        <v>0</v>
      </c>
      <c r="AE254" s="30">
        <f t="shared" si="187"/>
        <v>0</v>
      </c>
      <c r="AF254" s="30">
        <f t="shared" si="188"/>
        <v>0</v>
      </c>
      <c r="AG254" s="30">
        <f t="shared" si="189"/>
        <v>0</v>
      </c>
      <c r="AH254" s="30">
        <f t="shared" si="190"/>
        <v>0</v>
      </c>
      <c r="AI254" s="24" t="s">
        <v>1024</v>
      </c>
      <c r="AJ254" s="14">
        <f t="shared" si="191"/>
        <v>0</v>
      </c>
      <c r="AK254" s="14">
        <f t="shared" si="192"/>
        <v>0</v>
      </c>
      <c r="AL254" s="14">
        <f t="shared" si="193"/>
        <v>0</v>
      </c>
      <c r="AN254" s="30">
        <v>21</v>
      </c>
      <c r="AO254" s="30">
        <f>H254*0.183548666666667</f>
        <v>0</v>
      </c>
      <c r="AP254" s="30">
        <f>H254*(1-0.183548666666667)</f>
        <v>0</v>
      </c>
      <c r="AQ254" s="25" t="s">
        <v>13</v>
      </c>
      <c r="AV254" s="30">
        <f t="shared" si="196"/>
        <v>0</v>
      </c>
      <c r="AW254" s="30">
        <f t="shared" si="197"/>
        <v>0</v>
      </c>
      <c r="AX254" s="30">
        <f t="shared" si="198"/>
        <v>0</v>
      </c>
      <c r="AY254" s="31" t="s">
        <v>1053</v>
      </c>
      <c r="AZ254" s="31" t="s">
        <v>1070</v>
      </c>
      <c r="BA254" s="24" t="s">
        <v>1080</v>
      </c>
      <c r="BC254" s="30">
        <f t="shared" si="199"/>
        <v>0</v>
      </c>
      <c r="BD254" s="30">
        <f t="shared" si="200"/>
        <v>0</v>
      </c>
      <c r="BE254" s="30">
        <v>0</v>
      </c>
      <c r="BF254" s="30">
        <f>254</f>
        <v>254</v>
      </c>
      <c r="BH254" s="14">
        <f t="shared" si="201"/>
        <v>0</v>
      </c>
      <c r="BI254" s="14">
        <f t="shared" si="202"/>
        <v>0</v>
      </c>
      <c r="BJ254" s="14">
        <f t="shared" si="203"/>
        <v>0</v>
      </c>
    </row>
    <row r="255" spans="1:62" ht="12.75">
      <c r="A255" s="4" t="s">
        <v>216</v>
      </c>
      <c r="B255" s="4" t="s">
        <v>537</v>
      </c>
      <c r="C255" s="153" t="s">
        <v>878</v>
      </c>
      <c r="D255" s="154"/>
      <c r="E255" s="154"/>
      <c r="F255" s="4" t="s">
        <v>991</v>
      </c>
      <c r="G255" s="64">
        <v>21</v>
      </c>
      <c r="H255" s="82">
        <v>0</v>
      </c>
      <c r="I255" s="14">
        <f t="shared" si="180"/>
        <v>0</v>
      </c>
      <c r="J255" s="14">
        <f t="shared" si="181"/>
        <v>0</v>
      </c>
      <c r="K255" s="14">
        <f t="shared" si="182"/>
        <v>0</v>
      </c>
      <c r="L255" s="25" t="s">
        <v>1014</v>
      </c>
      <c r="Z255" s="30">
        <f t="shared" si="183"/>
        <v>0</v>
      </c>
      <c r="AB255" s="30">
        <f t="shared" si="184"/>
        <v>0</v>
      </c>
      <c r="AC255" s="30">
        <f t="shared" si="185"/>
        <v>0</v>
      </c>
      <c r="AD255" s="30">
        <f t="shared" si="186"/>
        <v>0</v>
      </c>
      <c r="AE255" s="30">
        <f t="shared" si="187"/>
        <v>0</v>
      </c>
      <c r="AF255" s="30">
        <f t="shared" si="188"/>
        <v>0</v>
      </c>
      <c r="AG255" s="30">
        <f t="shared" si="189"/>
        <v>0</v>
      </c>
      <c r="AH255" s="30">
        <f t="shared" si="190"/>
        <v>0</v>
      </c>
      <c r="AI255" s="24" t="s">
        <v>1024</v>
      </c>
      <c r="AJ255" s="14">
        <f t="shared" si="191"/>
        <v>0</v>
      </c>
      <c r="AK255" s="14">
        <f t="shared" si="192"/>
        <v>0</v>
      </c>
      <c r="AL255" s="14">
        <f t="shared" si="193"/>
        <v>0</v>
      </c>
      <c r="AN255" s="30">
        <v>21</v>
      </c>
      <c r="AO255" s="30">
        <f>H255*0</f>
        <v>0</v>
      </c>
      <c r="AP255" s="30">
        <f>H255*(1-0)</f>
        <v>0</v>
      </c>
      <c r="AQ255" s="25" t="s">
        <v>13</v>
      </c>
      <c r="AV255" s="30">
        <f t="shared" si="196"/>
        <v>0</v>
      </c>
      <c r="AW255" s="30">
        <f t="shared" si="197"/>
        <v>0</v>
      </c>
      <c r="AX255" s="30">
        <f t="shared" si="198"/>
        <v>0</v>
      </c>
      <c r="AY255" s="31" t="s">
        <v>1053</v>
      </c>
      <c r="AZ255" s="31" t="s">
        <v>1070</v>
      </c>
      <c r="BA255" s="24" t="s">
        <v>1080</v>
      </c>
      <c r="BC255" s="30">
        <f t="shared" si="199"/>
        <v>0</v>
      </c>
      <c r="BD255" s="30">
        <f t="shared" si="200"/>
        <v>0</v>
      </c>
      <c r="BE255" s="30">
        <v>0</v>
      </c>
      <c r="BF255" s="30">
        <f>255</f>
        <v>255</v>
      </c>
      <c r="BH255" s="14">
        <f t="shared" si="201"/>
        <v>0</v>
      </c>
      <c r="BI255" s="14">
        <f t="shared" si="202"/>
        <v>0</v>
      </c>
      <c r="BJ255" s="14">
        <f t="shared" si="203"/>
        <v>0</v>
      </c>
    </row>
    <row r="256" spans="1:62" ht="12.75">
      <c r="A256" s="4" t="s">
        <v>217</v>
      </c>
      <c r="B256" s="4" t="s">
        <v>538</v>
      </c>
      <c r="C256" s="153" t="s">
        <v>879</v>
      </c>
      <c r="D256" s="154"/>
      <c r="E256" s="154"/>
      <c r="F256" s="4" t="s">
        <v>991</v>
      </c>
      <c r="G256" s="64">
        <v>2</v>
      </c>
      <c r="H256" s="82">
        <v>0</v>
      </c>
      <c r="I256" s="14">
        <f t="shared" si="180"/>
        <v>0</v>
      </c>
      <c r="J256" s="14">
        <f t="shared" si="181"/>
        <v>0</v>
      </c>
      <c r="K256" s="14">
        <f t="shared" si="182"/>
        <v>0</v>
      </c>
      <c r="L256" s="25" t="s">
        <v>1014</v>
      </c>
      <c r="Z256" s="30">
        <f t="shared" si="183"/>
        <v>0</v>
      </c>
      <c r="AB256" s="30">
        <f t="shared" si="184"/>
        <v>0</v>
      </c>
      <c r="AC256" s="30">
        <f t="shared" si="185"/>
        <v>0</v>
      </c>
      <c r="AD256" s="30">
        <f t="shared" si="186"/>
        <v>0</v>
      </c>
      <c r="AE256" s="30">
        <f t="shared" si="187"/>
        <v>0</v>
      </c>
      <c r="AF256" s="30">
        <f t="shared" si="188"/>
        <v>0</v>
      </c>
      <c r="AG256" s="30">
        <f t="shared" si="189"/>
        <v>0</v>
      </c>
      <c r="AH256" s="30">
        <f t="shared" si="190"/>
        <v>0</v>
      </c>
      <c r="AI256" s="24" t="s">
        <v>1024</v>
      </c>
      <c r="AJ256" s="14">
        <f t="shared" si="191"/>
        <v>0</v>
      </c>
      <c r="AK256" s="14">
        <f t="shared" si="192"/>
        <v>0</v>
      </c>
      <c r="AL256" s="14">
        <f t="shared" si="193"/>
        <v>0</v>
      </c>
      <c r="AN256" s="30">
        <v>21</v>
      </c>
      <c r="AO256" s="30">
        <f>H256*0.59</f>
        <v>0</v>
      </c>
      <c r="AP256" s="30">
        <f>H256*(1-0.59)</f>
        <v>0</v>
      </c>
      <c r="AQ256" s="25" t="s">
        <v>13</v>
      </c>
      <c r="AV256" s="30">
        <f t="shared" si="196"/>
        <v>0</v>
      </c>
      <c r="AW256" s="30">
        <f t="shared" si="197"/>
        <v>0</v>
      </c>
      <c r="AX256" s="30">
        <f t="shared" si="198"/>
        <v>0</v>
      </c>
      <c r="AY256" s="31" t="s">
        <v>1053</v>
      </c>
      <c r="AZ256" s="31" t="s">
        <v>1070</v>
      </c>
      <c r="BA256" s="24" t="s">
        <v>1080</v>
      </c>
      <c r="BC256" s="30">
        <f t="shared" si="199"/>
        <v>0</v>
      </c>
      <c r="BD256" s="30">
        <f t="shared" si="200"/>
        <v>0</v>
      </c>
      <c r="BE256" s="30">
        <v>0</v>
      </c>
      <c r="BF256" s="30">
        <f>256</f>
        <v>256</v>
      </c>
      <c r="BH256" s="14">
        <f t="shared" si="201"/>
        <v>0</v>
      </c>
      <c r="BI256" s="14">
        <f t="shared" si="202"/>
        <v>0</v>
      </c>
      <c r="BJ256" s="14">
        <f t="shared" si="203"/>
        <v>0</v>
      </c>
    </row>
    <row r="257" spans="1:62" ht="12.75">
      <c r="A257" s="4" t="s">
        <v>218</v>
      </c>
      <c r="B257" s="4" t="s">
        <v>539</v>
      </c>
      <c r="C257" s="153" t="s">
        <v>880</v>
      </c>
      <c r="D257" s="154"/>
      <c r="E257" s="154"/>
      <c r="F257" s="4" t="s">
        <v>991</v>
      </c>
      <c r="G257" s="64">
        <v>4</v>
      </c>
      <c r="H257" s="82">
        <v>0</v>
      </c>
      <c r="I257" s="14">
        <f t="shared" si="180"/>
        <v>0</v>
      </c>
      <c r="J257" s="14">
        <f t="shared" si="181"/>
        <v>0</v>
      </c>
      <c r="K257" s="14">
        <f t="shared" si="182"/>
        <v>0</v>
      </c>
      <c r="L257" s="25" t="s">
        <v>1014</v>
      </c>
      <c r="Z257" s="30">
        <f t="shared" si="183"/>
        <v>0</v>
      </c>
      <c r="AB257" s="30">
        <f t="shared" si="184"/>
        <v>0</v>
      </c>
      <c r="AC257" s="30">
        <f t="shared" si="185"/>
        <v>0</v>
      </c>
      <c r="AD257" s="30">
        <f t="shared" si="186"/>
        <v>0</v>
      </c>
      <c r="AE257" s="30">
        <f t="shared" si="187"/>
        <v>0</v>
      </c>
      <c r="AF257" s="30">
        <f t="shared" si="188"/>
        <v>0</v>
      </c>
      <c r="AG257" s="30">
        <f t="shared" si="189"/>
        <v>0</v>
      </c>
      <c r="AH257" s="30">
        <f t="shared" si="190"/>
        <v>0</v>
      </c>
      <c r="AI257" s="24" t="s">
        <v>1024</v>
      </c>
      <c r="AJ257" s="14">
        <f t="shared" si="191"/>
        <v>0</v>
      </c>
      <c r="AK257" s="14">
        <f t="shared" si="192"/>
        <v>0</v>
      </c>
      <c r="AL257" s="14">
        <f t="shared" si="193"/>
        <v>0</v>
      </c>
      <c r="AN257" s="30">
        <v>21</v>
      </c>
      <c r="AO257" s="30">
        <f>H257*0.59</f>
        <v>0</v>
      </c>
      <c r="AP257" s="30">
        <f>H257*(1-0.59)</f>
        <v>0</v>
      </c>
      <c r="AQ257" s="25" t="s">
        <v>13</v>
      </c>
      <c r="AV257" s="30">
        <f t="shared" si="196"/>
        <v>0</v>
      </c>
      <c r="AW257" s="30">
        <f t="shared" si="197"/>
        <v>0</v>
      </c>
      <c r="AX257" s="30">
        <f t="shared" si="198"/>
        <v>0</v>
      </c>
      <c r="AY257" s="31" t="s">
        <v>1053</v>
      </c>
      <c r="AZ257" s="31" t="s">
        <v>1070</v>
      </c>
      <c r="BA257" s="24" t="s">
        <v>1080</v>
      </c>
      <c r="BC257" s="30">
        <f t="shared" si="199"/>
        <v>0</v>
      </c>
      <c r="BD257" s="30">
        <f t="shared" si="200"/>
        <v>0</v>
      </c>
      <c r="BE257" s="30">
        <v>0</v>
      </c>
      <c r="BF257" s="30">
        <f>257</f>
        <v>257</v>
      </c>
      <c r="BH257" s="14">
        <f t="shared" si="201"/>
        <v>0</v>
      </c>
      <c r="BI257" s="14">
        <f t="shared" si="202"/>
        <v>0</v>
      </c>
      <c r="BJ257" s="14">
        <f t="shared" si="203"/>
        <v>0</v>
      </c>
    </row>
    <row r="258" spans="1:62" ht="12.75">
      <c r="A258" s="4" t="s">
        <v>219</v>
      </c>
      <c r="B258" s="4" t="s">
        <v>540</v>
      </c>
      <c r="C258" s="153" t="s">
        <v>881</v>
      </c>
      <c r="D258" s="154"/>
      <c r="E258" s="154"/>
      <c r="F258" s="4" t="s">
        <v>995</v>
      </c>
      <c r="G258" s="64">
        <v>86</v>
      </c>
      <c r="H258" s="82">
        <v>0</v>
      </c>
      <c r="I258" s="14">
        <f t="shared" si="180"/>
        <v>0</v>
      </c>
      <c r="J258" s="14">
        <f t="shared" si="181"/>
        <v>0</v>
      </c>
      <c r="K258" s="14">
        <f t="shared" si="182"/>
        <v>0</v>
      </c>
      <c r="L258" s="25" t="s">
        <v>1014</v>
      </c>
      <c r="Z258" s="30">
        <f t="shared" si="183"/>
        <v>0</v>
      </c>
      <c r="AB258" s="30">
        <f t="shared" si="184"/>
        <v>0</v>
      </c>
      <c r="AC258" s="30">
        <f t="shared" si="185"/>
        <v>0</v>
      </c>
      <c r="AD258" s="30">
        <f t="shared" si="186"/>
        <v>0</v>
      </c>
      <c r="AE258" s="30">
        <f t="shared" si="187"/>
        <v>0</v>
      </c>
      <c r="AF258" s="30">
        <f t="shared" si="188"/>
        <v>0</v>
      </c>
      <c r="AG258" s="30">
        <f t="shared" si="189"/>
        <v>0</v>
      </c>
      <c r="AH258" s="30">
        <f t="shared" si="190"/>
        <v>0</v>
      </c>
      <c r="AI258" s="24" t="s">
        <v>1024</v>
      </c>
      <c r="AJ258" s="14">
        <f t="shared" si="191"/>
        <v>0</v>
      </c>
      <c r="AK258" s="14">
        <f t="shared" si="192"/>
        <v>0</v>
      </c>
      <c r="AL258" s="14">
        <f t="shared" si="193"/>
        <v>0</v>
      </c>
      <c r="AN258" s="30">
        <v>21</v>
      </c>
      <c r="AO258" s="30">
        <f>H258*0.141470588235294</f>
        <v>0</v>
      </c>
      <c r="AP258" s="30">
        <f>H258*(1-0.141470588235294)</f>
        <v>0</v>
      </c>
      <c r="AQ258" s="25" t="s">
        <v>13</v>
      </c>
      <c r="AV258" s="30">
        <f t="shared" si="196"/>
        <v>0</v>
      </c>
      <c r="AW258" s="30">
        <f t="shared" si="197"/>
        <v>0</v>
      </c>
      <c r="AX258" s="30">
        <f t="shared" si="198"/>
        <v>0</v>
      </c>
      <c r="AY258" s="31" t="s">
        <v>1053</v>
      </c>
      <c r="AZ258" s="31" t="s">
        <v>1070</v>
      </c>
      <c r="BA258" s="24" t="s">
        <v>1080</v>
      </c>
      <c r="BC258" s="30">
        <f t="shared" si="199"/>
        <v>0</v>
      </c>
      <c r="BD258" s="30">
        <f t="shared" si="200"/>
        <v>0</v>
      </c>
      <c r="BE258" s="30">
        <v>0</v>
      </c>
      <c r="BF258" s="30">
        <f>258</f>
        <v>258</v>
      </c>
      <c r="BH258" s="14">
        <f t="shared" si="201"/>
        <v>0</v>
      </c>
      <c r="BI258" s="14">
        <f t="shared" si="202"/>
        <v>0</v>
      </c>
      <c r="BJ258" s="14">
        <f t="shared" si="203"/>
        <v>0</v>
      </c>
    </row>
    <row r="259" spans="1:62" ht="12.75">
      <c r="A259" s="4" t="s">
        <v>220</v>
      </c>
      <c r="B259" s="4" t="s">
        <v>541</v>
      </c>
      <c r="C259" s="153" t="s">
        <v>882</v>
      </c>
      <c r="D259" s="154"/>
      <c r="E259" s="154"/>
      <c r="F259" s="4" t="s">
        <v>991</v>
      </c>
      <c r="G259" s="64">
        <v>1</v>
      </c>
      <c r="H259" s="82">
        <v>0</v>
      </c>
      <c r="I259" s="14">
        <f t="shared" si="180"/>
        <v>0</v>
      </c>
      <c r="J259" s="14">
        <f t="shared" si="181"/>
        <v>0</v>
      </c>
      <c r="K259" s="14">
        <f t="shared" si="182"/>
        <v>0</v>
      </c>
      <c r="L259" s="25" t="s">
        <v>1014</v>
      </c>
      <c r="Z259" s="30">
        <f t="shared" si="183"/>
        <v>0</v>
      </c>
      <c r="AB259" s="30">
        <f t="shared" si="184"/>
        <v>0</v>
      </c>
      <c r="AC259" s="30">
        <f t="shared" si="185"/>
        <v>0</v>
      </c>
      <c r="AD259" s="30">
        <f t="shared" si="186"/>
        <v>0</v>
      </c>
      <c r="AE259" s="30">
        <f t="shared" si="187"/>
        <v>0</v>
      </c>
      <c r="AF259" s="30">
        <f t="shared" si="188"/>
        <v>0</v>
      </c>
      <c r="AG259" s="30">
        <f t="shared" si="189"/>
        <v>0</v>
      </c>
      <c r="AH259" s="30">
        <f t="shared" si="190"/>
        <v>0</v>
      </c>
      <c r="AI259" s="24" t="s">
        <v>1024</v>
      </c>
      <c r="AJ259" s="14">
        <f t="shared" si="191"/>
        <v>0</v>
      </c>
      <c r="AK259" s="14">
        <f t="shared" si="192"/>
        <v>0</v>
      </c>
      <c r="AL259" s="14">
        <f t="shared" si="193"/>
        <v>0</v>
      </c>
      <c r="AN259" s="30">
        <v>21</v>
      </c>
      <c r="AO259" s="30">
        <f>H259*0.1414704</f>
        <v>0</v>
      </c>
      <c r="AP259" s="30">
        <f>H259*(1-0.1414704)</f>
        <v>0</v>
      </c>
      <c r="AQ259" s="25" t="s">
        <v>13</v>
      </c>
      <c r="AV259" s="30">
        <f t="shared" si="196"/>
        <v>0</v>
      </c>
      <c r="AW259" s="30">
        <f t="shared" si="197"/>
        <v>0</v>
      </c>
      <c r="AX259" s="30">
        <f t="shared" si="198"/>
        <v>0</v>
      </c>
      <c r="AY259" s="31" t="s">
        <v>1053</v>
      </c>
      <c r="AZ259" s="31" t="s">
        <v>1070</v>
      </c>
      <c r="BA259" s="24" t="s">
        <v>1080</v>
      </c>
      <c r="BC259" s="30">
        <f t="shared" si="199"/>
        <v>0</v>
      </c>
      <c r="BD259" s="30">
        <f t="shared" si="200"/>
        <v>0</v>
      </c>
      <c r="BE259" s="30">
        <v>0</v>
      </c>
      <c r="BF259" s="30">
        <f>259</f>
        <v>259</v>
      </c>
      <c r="BH259" s="14">
        <f t="shared" si="201"/>
        <v>0</v>
      </c>
      <c r="BI259" s="14">
        <f t="shared" si="202"/>
        <v>0</v>
      </c>
      <c r="BJ259" s="14">
        <f t="shared" si="203"/>
        <v>0</v>
      </c>
    </row>
    <row r="260" spans="1:62" ht="12.75">
      <c r="A260" s="4" t="s">
        <v>221</v>
      </c>
      <c r="B260" s="4" t="s">
        <v>542</v>
      </c>
      <c r="C260" s="153" t="s">
        <v>883</v>
      </c>
      <c r="D260" s="154"/>
      <c r="E260" s="154"/>
      <c r="F260" s="4" t="s">
        <v>994</v>
      </c>
      <c r="G260" s="64">
        <v>4.589</v>
      </c>
      <c r="H260" s="82">
        <v>0</v>
      </c>
      <c r="I260" s="14">
        <f t="shared" si="180"/>
        <v>0</v>
      </c>
      <c r="J260" s="14">
        <f t="shared" si="181"/>
        <v>0</v>
      </c>
      <c r="K260" s="14">
        <f t="shared" si="182"/>
        <v>0</v>
      </c>
      <c r="L260" s="25" t="s">
        <v>1014</v>
      </c>
      <c r="Z260" s="30">
        <f t="shared" si="183"/>
        <v>0</v>
      </c>
      <c r="AB260" s="30">
        <f t="shared" si="184"/>
        <v>0</v>
      </c>
      <c r="AC260" s="30">
        <f t="shared" si="185"/>
        <v>0</v>
      </c>
      <c r="AD260" s="30">
        <f t="shared" si="186"/>
        <v>0</v>
      </c>
      <c r="AE260" s="30">
        <f t="shared" si="187"/>
        <v>0</v>
      </c>
      <c r="AF260" s="30">
        <f t="shared" si="188"/>
        <v>0</v>
      </c>
      <c r="AG260" s="30">
        <f t="shared" si="189"/>
        <v>0</v>
      </c>
      <c r="AH260" s="30">
        <f t="shared" si="190"/>
        <v>0</v>
      </c>
      <c r="AI260" s="24" t="s">
        <v>1024</v>
      </c>
      <c r="AJ260" s="14">
        <f t="shared" si="191"/>
        <v>0</v>
      </c>
      <c r="AK260" s="14">
        <f t="shared" si="192"/>
        <v>0</v>
      </c>
      <c r="AL260" s="14">
        <f t="shared" si="193"/>
        <v>0</v>
      </c>
      <c r="AN260" s="30">
        <v>21</v>
      </c>
      <c r="AO260" s="30">
        <f>H260*0</f>
        <v>0</v>
      </c>
      <c r="AP260" s="30">
        <f>H260*(1-0)</f>
        <v>0</v>
      </c>
      <c r="AQ260" s="25" t="s">
        <v>11</v>
      </c>
      <c r="AV260" s="30">
        <f t="shared" si="196"/>
        <v>0</v>
      </c>
      <c r="AW260" s="30">
        <f t="shared" si="197"/>
        <v>0</v>
      </c>
      <c r="AX260" s="30">
        <f t="shared" si="198"/>
        <v>0</v>
      </c>
      <c r="AY260" s="31" t="s">
        <v>1053</v>
      </c>
      <c r="AZ260" s="31" t="s">
        <v>1070</v>
      </c>
      <c r="BA260" s="24" t="s">
        <v>1080</v>
      </c>
      <c r="BC260" s="30">
        <f t="shared" si="199"/>
        <v>0</v>
      </c>
      <c r="BD260" s="30">
        <f t="shared" si="200"/>
        <v>0</v>
      </c>
      <c r="BE260" s="30">
        <v>0</v>
      </c>
      <c r="BF260" s="30">
        <f>260</f>
        <v>260</v>
      </c>
      <c r="BH260" s="14">
        <f t="shared" si="201"/>
        <v>0</v>
      </c>
      <c r="BI260" s="14">
        <f t="shared" si="202"/>
        <v>0</v>
      </c>
      <c r="BJ260" s="14">
        <f t="shared" si="203"/>
        <v>0</v>
      </c>
    </row>
    <row r="261" spans="1:47" ht="12.75">
      <c r="A261" s="3"/>
      <c r="B261" s="11" t="s">
        <v>543</v>
      </c>
      <c r="C261" s="151" t="s">
        <v>884</v>
      </c>
      <c r="D261" s="152"/>
      <c r="E261" s="152"/>
      <c r="F261" s="3" t="s">
        <v>6</v>
      </c>
      <c r="G261" s="3" t="s">
        <v>6</v>
      </c>
      <c r="H261" s="3" t="s">
        <v>6</v>
      </c>
      <c r="I261" s="32">
        <f>SUM(I262:I268)</f>
        <v>0</v>
      </c>
      <c r="J261" s="32">
        <f>SUM(J262:J268)</f>
        <v>0</v>
      </c>
      <c r="K261" s="32">
        <f>SUM(K262:K268)</f>
        <v>0</v>
      </c>
      <c r="L261" s="24"/>
      <c r="AI261" s="24" t="s">
        <v>1024</v>
      </c>
      <c r="AS261" s="32">
        <f>SUM(AJ262:AJ268)</f>
        <v>0</v>
      </c>
      <c r="AT261" s="32">
        <f>SUM(AK262:AK268)</f>
        <v>0</v>
      </c>
      <c r="AU261" s="32">
        <f>SUM(AL262:AL268)</f>
        <v>0</v>
      </c>
    </row>
    <row r="262" spans="1:62" ht="12.75">
      <c r="A262" s="4" t="s">
        <v>222</v>
      </c>
      <c r="B262" s="4" t="s">
        <v>544</v>
      </c>
      <c r="C262" s="153" t="s">
        <v>885</v>
      </c>
      <c r="D262" s="154"/>
      <c r="E262" s="154"/>
      <c r="F262" s="4" t="s">
        <v>993</v>
      </c>
      <c r="G262" s="64">
        <v>3.585</v>
      </c>
      <c r="H262" s="82">
        <v>0</v>
      </c>
      <c r="I262" s="14">
        <f aca="true" t="shared" si="204" ref="I262:I268">G262*AO262</f>
        <v>0</v>
      </c>
      <c r="J262" s="14">
        <f aca="true" t="shared" si="205" ref="J262:J268">G262*AP262</f>
        <v>0</v>
      </c>
      <c r="K262" s="14">
        <f aca="true" t="shared" si="206" ref="K262:K268">G262*H262</f>
        <v>0</v>
      </c>
      <c r="L262" s="25" t="s">
        <v>1014</v>
      </c>
      <c r="Z262" s="30">
        <f aca="true" t="shared" si="207" ref="Z262:Z268">IF(AQ262="5",BJ262,0)</f>
        <v>0</v>
      </c>
      <c r="AB262" s="30">
        <f aca="true" t="shared" si="208" ref="AB262:AB268">IF(AQ262="1",BH262,0)</f>
        <v>0</v>
      </c>
      <c r="AC262" s="30">
        <f aca="true" t="shared" si="209" ref="AC262:AC268">IF(AQ262="1",BI262,0)</f>
        <v>0</v>
      </c>
      <c r="AD262" s="30">
        <f aca="true" t="shared" si="210" ref="AD262:AD268">IF(AQ262="7",BH262,0)</f>
        <v>0</v>
      </c>
      <c r="AE262" s="30">
        <f aca="true" t="shared" si="211" ref="AE262:AE268">IF(AQ262="7",BI262,0)</f>
        <v>0</v>
      </c>
      <c r="AF262" s="30">
        <f aca="true" t="shared" si="212" ref="AF262:AF268">IF(AQ262="2",BH262,0)</f>
        <v>0</v>
      </c>
      <c r="AG262" s="30">
        <f aca="true" t="shared" si="213" ref="AG262:AG268">IF(AQ262="2",BI262,0)</f>
        <v>0</v>
      </c>
      <c r="AH262" s="30">
        <f aca="true" t="shared" si="214" ref="AH262:AH268">IF(AQ262="0",BJ262,0)</f>
        <v>0</v>
      </c>
      <c r="AI262" s="24" t="s">
        <v>1024</v>
      </c>
      <c r="AJ262" s="14">
        <f aca="true" t="shared" si="215" ref="AJ262:AJ268">IF(AN262=0,K262,0)</f>
        <v>0</v>
      </c>
      <c r="AK262" s="14">
        <f aca="true" t="shared" si="216" ref="AK262:AK268">IF(AN262=15,K262,0)</f>
        <v>0</v>
      </c>
      <c r="AL262" s="14">
        <f aca="true" t="shared" si="217" ref="AL262:AL268">IF(AN262=21,K262,0)</f>
        <v>0</v>
      </c>
      <c r="AN262" s="30">
        <v>21</v>
      </c>
      <c r="AO262" s="30">
        <f>H262*0.466673665266947</f>
        <v>0</v>
      </c>
      <c r="AP262" s="30">
        <f>H262*(1-0.466673665266947)</f>
        <v>0</v>
      </c>
      <c r="AQ262" s="25" t="s">
        <v>13</v>
      </c>
      <c r="AV262" s="30">
        <f aca="true" t="shared" si="218" ref="AV262:AV268">AW262+AX262</f>
        <v>0</v>
      </c>
      <c r="AW262" s="30">
        <f aca="true" t="shared" si="219" ref="AW262:AW268">G262*AO262</f>
        <v>0</v>
      </c>
      <c r="AX262" s="30">
        <f aca="true" t="shared" si="220" ref="AX262:AX268">G262*AP262</f>
        <v>0</v>
      </c>
      <c r="AY262" s="31" t="s">
        <v>1054</v>
      </c>
      <c r="AZ262" s="31" t="s">
        <v>1071</v>
      </c>
      <c r="BA262" s="24" t="s">
        <v>1080</v>
      </c>
      <c r="BC262" s="30">
        <f aca="true" t="shared" si="221" ref="BC262:BC268">AW262+AX262</f>
        <v>0</v>
      </c>
      <c r="BD262" s="30">
        <f aca="true" t="shared" si="222" ref="BD262:BD268">H262/(100-BE262)*100</f>
        <v>0</v>
      </c>
      <c r="BE262" s="30">
        <v>0</v>
      </c>
      <c r="BF262" s="30">
        <f>262</f>
        <v>262</v>
      </c>
      <c r="BH262" s="14">
        <f aca="true" t="shared" si="223" ref="BH262:BH268">G262*AO262</f>
        <v>0</v>
      </c>
      <c r="BI262" s="14">
        <f aca="true" t="shared" si="224" ref="BI262:BI268">G262*AP262</f>
        <v>0</v>
      </c>
      <c r="BJ262" s="14">
        <f aca="true" t="shared" si="225" ref="BJ262:BJ268">G262*H262</f>
        <v>0</v>
      </c>
    </row>
    <row r="263" spans="1:62" ht="12.75">
      <c r="A263" s="4" t="s">
        <v>223</v>
      </c>
      <c r="B263" s="4" t="s">
        <v>545</v>
      </c>
      <c r="C263" s="153" t="s">
        <v>886</v>
      </c>
      <c r="D263" s="154"/>
      <c r="E263" s="154"/>
      <c r="F263" s="4" t="s">
        <v>995</v>
      </c>
      <c r="G263" s="64">
        <v>17.62</v>
      </c>
      <c r="H263" s="82">
        <v>0</v>
      </c>
      <c r="I263" s="14">
        <f t="shared" si="204"/>
        <v>0</v>
      </c>
      <c r="J263" s="14">
        <f t="shared" si="205"/>
        <v>0</v>
      </c>
      <c r="K263" s="14">
        <f t="shared" si="206"/>
        <v>0</v>
      </c>
      <c r="L263" s="25" t="s">
        <v>1014</v>
      </c>
      <c r="Z263" s="30">
        <f t="shared" si="207"/>
        <v>0</v>
      </c>
      <c r="AB263" s="30">
        <f t="shared" si="208"/>
        <v>0</v>
      </c>
      <c r="AC263" s="30">
        <f t="shared" si="209"/>
        <v>0</v>
      </c>
      <c r="AD263" s="30">
        <f t="shared" si="210"/>
        <v>0</v>
      </c>
      <c r="AE263" s="30">
        <f t="shared" si="211"/>
        <v>0</v>
      </c>
      <c r="AF263" s="30">
        <f t="shared" si="212"/>
        <v>0</v>
      </c>
      <c r="AG263" s="30">
        <f t="shared" si="213"/>
        <v>0</v>
      </c>
      <c r="AH263" s="30">
        <f t="shared" si="214"/>
        <v>0</v>
      </c>
      <c r="AI263" s="24" t="s">
        <v>1024</v>
      </c>
      <c r="AJ263" s="14">
        <f t="shared" si="215"/>
        <v>0</v>
      </c>
      <c r="AK263" s="14">
        <f t="shared" si="216"/>
        <v>0</v>
      </c>
      <c r="AL263" s="14">
        <f t="shared" si="217"/>
        <v>0</v>
      </c>
      <c r="AN263" s="30">
        <v>21</v>
      </c>
      <c r="AO263" s="30">
        <f>H263*0</f>
        <v>0</v>
      </c>
      <c r="AP263" s="30">
        <f>H263*(1-0)</f>
        <v>0</v>
      </c>
      <c r="AQ263" s="25" t="s">
        <v>13</v>
      </c>
      <c r="AV263" s="30">
        <f t="shared" si="218"/>
        <v>0</v>
      </c>
      <c r="AW263" s="30">
        <f t="shared" si="219"/>
        <v>0</v>
      </c>
      <c r="AX263" s="30">
        <f t="shared" si="220"/>
        <v>0</v>
      </c>
      <c r="AY263" s="31" t="s">
        <v>1054</v>
      </c>
      <c r="AZ263" s="31" t="s">
        <v>1071</v>
      </c>
      <c r="BA263" s="24" t="s">
        <v>1080</v>
      </c>
      <c r="BC263" s="30">
        <f t="shared" si="221"/>
        <v>0</v>
      </c>
      <c r="BD263" s="30">
        <f t="shared" si="222"/>
        <v>0</v>
      </c>
      <c r="BE263" s="30">
        <v>0</v>
      </c>
      <c r="BF263" s="30">
        <f>263</f>
        <v>263</v>
      </c>
      <c r="BH263" s="14">
        <f t="shared" si="223"/>
        <v>0</v>
      </c>
      <c r="BI263" s="14">
        <f t="shared" si="224"/>
        <v>0</v>
      </c>
      <c r="BJ263" s="14">
        <f t="shared" si="225"/>
        <v>0</v>
      </c>
    </row>
    <row r="264" spans="1:62" ht="12.75">
      <c r="A264" s="5" t="s">
        <v>224</v>
      </c>
      <c r="B264" s="5" t="s">
        <v>546</v>
      </c>
      <c r="C264" s="157" t="s">
        <v>887</v>
      </c>
      <c r="D264" s="158"/>
      <c r="E264" s="158"/>
      <c r="F264" s="5" t="s">
        <v>993</v>
      </c>
      <c r="G264" s="67">
        <v>4.84</v>
      </c>
      <c r="H264" s="84">
        <v>0</v>
      </c>
      <c r="I264" s="15">
        <f t="shared" si="204"/>
        <v>0</v>
      </c>
      <c r="J264" s="15">
        <f t="shared" si="205"/>
        <v>0</v>
      </c>
      <c r="K264" s="15">
        <f t="shared" si="206"/>
        <v>0</v>
      </c>
      <c r="L264" s="26" t="s">
        <v>1014</v>
      </c>
      <c r="Z264" s="30">
        <f t="shared" si="207"/>
        <v>0</v>
      </c>
      <c r="AB264" s="30">
        <f t="shared" si="208"/>
        <v>0</v>
      </c>
      <c r="AC264" s="30">
        <f t="shared" si="209"/>
        <v>0</v>
      </c>
      <c r="AD264" s="30">
        <f t="shared" si="210"/>
        <v>0</v>
      </c>
      <c r="AE264" s="30">
        <f t="shared" si="211"/>
        <v>0</v>
      </c>
      <c r="AF264" s="30">
        <f t="shared" si="212"/>
        <v>0</v>
      </c>
      <c r="AG264" s="30">
        <f t="shared" si="213"/>
        <v>0</v>
      </c>
      <c r="AH264" s="30">
        <f t="shared" si="214"/>
        <v>0</v>
      </c>
      <c r="AI264" s="24" t="s">
        <v>1024</v>
      </c>
      <c r="AJ264" s="15">
        <f t="shared" si="215"/>
        <v>0</v>
      </c>
      <c r="AK264" s="15">
        <f t="shared" si="216"/>
        <v>0</v>
      </c>
      <c r="AL264" s="15">
        <f t="shared" si="217"/>
        <v>0</v>
      </c>
      <c r="AN264" s="30">
        <v>21</v>
      </c>
      <c r="AO264" s="30">
        <f>H264*1</f>
        <v>0</v>
      </c>
      <c r="AP264" s="30">
        <f>H264*(1-1)</f>
        <v>0</v>
      </c>
      <c r="AQ264" s="26" t="s">
        <v>13</v>
      </c>
      <c r="AV264" s="30">
        <f t="shared" si="218"/>
        <v>0</v>
      </c>
      <c r="AW264" s="30">
        <f t="shared" si="219"/>
        <v>0</v>
      </c>
      <c r="AX264" s="30">
        <f t="shared" si="220"/>
        <v>0</v>
      </c>
      <c r="AY264" s="31" t="s">
        <v>1054</v>
      </c>
      <c r="AZ264" s="31" t="s">
        <v>1071</v>
      </c>
      <c r="BA264" s="24" t="s">
        <v>1080</v>
      </c>
      <c r="BC264" s="30">
        <f t="shared" si="221"/>
        <v>0</v>
      </c>
      <c r="BD264" s="30">
        <f t="shared" si="222"/>
        <v>0</v>
      </c>
      <c r="BE264" s="30">
        <v>0</v>
      </c>
      <c r="BF264" s="30">
        <f>264</f>
        <v>264</v>
      </c>
      <c r="BH264" s="15">
        <f t="shared" si="223"/>
        <v>0</v>
      </c>
      <c r="BI264" s="15">
        <f t="shared" si="224"/>
        <v>0</v>
      </c>
      <c r="BJ264" s="15">
        <f t="shared" si="225"/>
        <v>0</v>
      </c>
    </row>
    <row r="265" spans="1:62" ht="12.75">
      <c r="A265" s="4" t="s">
        <v>225</v>
      </c>
      <c r="B265" s="4" t="s">
        <v>547</v>
      </c>
      <c r="C265" s="153" t="s">
        <v>888</v>
      </c>
      <c r="D265" s="154"/>
      <c r="E265" s="154"/>
      <c r="F265" s="4" t="s">
        <v>995</v>
      </c>
      <c r="G265" s="64">
        <v>17.62</v>
      </c>
      <c r="H265" s="82">
        <v>0</v>
      </c>
      <c r="I265" s="14">
        <f t="shared" si="204"/>
        <v>0</v>
      </c>
      <c r="J265" s="14">
        <f t="shared" si="205"/>
        <v>0</v>
      </c>
      <c r="K265" s="14">
        <f t="shared" si="206"/>
        <v>0</v>
      </c>
      <c r="L265" s="25" t="s">
        <v>1014</v>
      </c>
      <c r="Z265" s="30">
        <f t="shared" si="207"/>
        <v>0</v>
      </c>
      <c r="AB265" s="30">
        <f t="shared" si="208"/>
        <v>0</v>
      </c>
      <c r="AC265" s="30">
        <f t="shared" si="209"/>
        <v>0</v>
      </c>
      <c r="AD265" s="30">
        <f t="shared" si="210"/>
        <v>0</v>
      </c>
      <c r="AE265" s="30">
        <f t="shared" si="211"/>
        <v>0</v>
      </c>
      <c r="AF265" s="30">
        <f t="shared" si="212"/>
        <v>0</v>
      </c>
      <c r="AG265" s="30">
        <f t="shared" si="213"/>
        <v>0</v>
      </c>
      <c r="AH265" s="30">
        <f t="shared" si="214"/>
        <v>0</v>
      </c>
      <c r="AI265" s="24" t="s">
        <v>1024</v>
      </c>
      <c r="AJ265" s="14">
        <f t="shared" si="215"/>
        <v>0</v>
      </c>
      <c r="AK265" s="14">
        <f t="shared" si="216"/>
        <v>0</v>
      </c>
      <c r="AL265" s="14">
        <f t="shared" si="217"/>
        <v>0</v>
      </c>
      <c r="AN265" s="30">
        <v>21</v>
      </c>
      <c r="AO265" s="30">
        <f>H265*0</f>
        <v>0</v>
      </c>
      <c r="AP265" s="30">
        <f>H265*(1-0)</f>
        <v>0</v>
      </c>
      <c r="AQ265" s="25" t="s">
        <v>13</v>
      </c>
      <c r="AV265" s="30">
        <f t="shared" si="218"/>
        <v>0</v>
      </c>
      <c r="AW265" s="30">
        <f t="shared" si="219"/>
        <v>0</v>
      </c>
      <c r="AX265" s="30">
        <f t="shared" si="220"/>
        <v>0</v>
      </c>
      <c r="AY265" s="31" t="s">
        <v>1054</v>
      </c>
      <c r="AZ265" s="31" t="s">
        <v>1071</v>
      </c>
      <c r="BA265" s="24" t="s">
        <v>1080</v>
      </c>
      <c r="BC265" s="30">
        <f t="shared" si="221"/>
        <v>0</v>
      </c>
      <c r="BD265" s="30">
        <f t="shared" si="222"/>
        <v>0</v>
      </c>
      <c r="BE265" s="30">
        <v>0</v>
      </c>
      <c r="BF265" s="30">
        <f>265</f>
        <v>265</v>
      </c>
      <c r="BH265" s="14">
        <f t="shared" si="223"/>
        <v>0</v>
      </c>
      <c r="BI265" s="14">
        <f t="shared" si="224"/>
        <v>0</v>
      </c>
      <c r="BJ265" s="14">
        <f t="shared" si="225"/>
        <v>0</v>
      </c>
    </row>
    <row r="266" spans="1:62" ht="12.75">
      <c r="A266" s="5" t="s">
        <v>226</v>
      </c>
      <c r="B266" s="5" t="s">
        <v>548</v>
      </c>
      <c r="C266" s="157" t="s">
        <v>889</v>
      </c>
      <c r="D266" s="158"/>
      <c r="E266" s="158"/>
      <c r="F266" s="5" t="s">
        <v>995</v>
      </c>
      <c r="G266" s="67">
        <v>19.382</v>
      </c>
      <c r="H266" s="84">
        <v>0</v>
      </c>
      <c r="I266" s="15">
        <f t="shared" si="204"/>
        <v>0</v>
      </c>
      <c r="J266" s="15">
        <f t="shared" si="205"/>
        <v>0</v>
      </c>
      <c r="K266" s="15">
        <f t="shared" si="206"/>
        <v>0</v>
      </c>
      <c r="L266" s="26" t="s">
        <v>1014</v>
      </c>
      <c r="Z266" s="30">
        <f t="shared" si="207"/>
        <v>0</v>
      </c>
      <c r="AB266" s="30">
        <f t="shared" si="208"/>
        <v>0</v>
      </c>
      <c r="AC266" s="30">
        <f t="shared" si="209"/>
        <v>0</v>
      </c>
      <c r="AD266" s="30">
        <f t="shared" si="210"/>
        <v>0</v>
      </c>
      <c r="AE266" s="30">
        <f t="shared" si="211"/>
        <v>0</v>
      </c>
      <c r="AF266" s="30">
        <f t="shared" si="212"/>
        <v>0</v>
      </c>
      <c r="AG266" s="30">
        <f t="shared" si="213"/>
        <v>0</v>
      </c>
      <c r="AH266" s="30">
        <f t="shared" si="214"/>
        <v>0</v>
      </c>
      <c r="AI266" s="24" t="s">
        <v>1024</v>
      </c>
      <c r="AJ266" s="15">
        <f t="shared" si="215"/>
        <v>0</v>
      </c>
      <c r="AK266" s="15">
        <f t="shared" si="216"/>
        <v>0</v>
      </c>
      <c r="AL266" s="15">
        <f t="shared" si="217"/>
        <v>0</v>
      </c>
      <c r="AN266" s="30">
        <v>21</v>
      </c>
      <c r="AO266" s="30">
        <f>H266*1</f>
        <v>0</v>
      </c>
      <c r="AP266" s="30">
        <f>H266*(1-1)</f>
        <v>0</v>
      </c>
      <c r="AQ266" s="26" t="s">
        <v>13</v>
      </c>
      <c r="AV266" s="30">
        <f t="shared" si="218"/>
        <v>0</v>
      </c>
      <c r="AW266" s="30">
        <f t="shared" si="219"/>
        <v>0</v>
      </c>
      <c r="AX266" s="30">
        <f t="shared" si="220"/>
        <v>0</v>
      </c>
      <c r="AY266" s="31" t="s">
        <v>1054</v>
      </c>
      <c r="AZ266" s="31" t="s">
        <v>1071</v>
      </c>
      <c r="BA266" s="24" t="s">
        <v>1080</v>
      </c>
      <c r="BC266" s="30">
        <f t="shared" si="221"/>
        <v>0</v>
      </c>
      <c r="BD266" s="30">
        <f t="shared" si="222"/>
        <v>0</v>
      </c>
      <c r="BE266" s="30">
        <v>0</v>
      </c>
      <c r="BF266" s="30">
        <f>266</f>
        <v>266</v>
      </c>
      <c r="BH266" s="15">
        <f t="shared" si="223"/>
        <v>0</v>
      </c>
      <c r="BI266" s="15">
        <f t="shared" si="224"/>
        <v>0</v>
      </c>
      <c r="BJ266" s="15">
        <f t="shared" si="225"/>
        <v>0</v>
      </c>
    </row>
    <row r="267" spans="1:62" ht="12.75">
      <c r="A267" s="4" t="s">
        <v>227</v>
      </c>
      <c r="B267" s="4" t="s">
        <v>549</v>
      </c>
      <c r="C267" s="153" t="s">
        <v>890</v>
      </c>
      <c r="D267" s="154"/>
      <c r="E267" s="154"/>
      <c r="F267" s="4" t="s">
        <v>993</v>
      </c>
      <c r="G267" s="64">
        <v>3.585</v>
      </c>
      <c r="H267" s="82">
        <v>0</v>
      </c>
      <c r="I267" s="14">
        <f t="shared" si="204"/>
        <v>0</v>
      </c>
      <c r="J267" s="14">
        <f t="shared" si="205"/>
        <v>0</v>
      </c>
      <c r="K267" s="14">
        <f t="shared" si="206"/>
        <v>0</v>
      </c>
      <c r="L267" s="25" t="s">
        <v>1014</v>
      </c>
      <c r="Z267" s="30">
        <f t="shared" si="207"/>
        <v>0</v>
      </c>
      <c r="AB267" s="30">
        <f t="shared" si="208"/>
        <v>0</v>
      </c>
      <c r="AC267" s="30">
        <f t="shared" si="209"/>
        <v>0</v>
      </c>
      <c r="AD267" s="30">
        <f t="shared" si="210"/>
        <v>0</v>
      </c>
      <c r="AE267" s="30">
        <f t="shared" si="211"/>
        <v>0</v>
      </c>
      <c r="AF267" s="30">
        <f t="shared" si="212"/>
        <v>0</v>
      </c>
      <c r="AG267" s="30">
        <f t="shared" si="213"/>
        <v>0</v>
      </c>
      <c r="AH267" s="30">
        <f t="shared" si="214"/>
        <v>0</v>
      </c>
      <c r="AI267" s="24" t="s">
        <v>1024</v>
      </c>
      <c r="AJ267" s="14">
        <f t="shared" si="215"/>
        <v>0</v>
      </c>
      <c r="AK267" s="14">
        <f t="shared" si="216"/>
        <v>0</v>
      </c>
      <c r="AL267" s="14">
        <f t="shared" si="217"/>
        <v>0</v>
      </c>
      <c r="AN267" s="30">
        <v>21</v>
      </c>
      <c r="AO267" s="30">
        <f>H267*1.00002021345407</f>
        <v>0</v>
      </c>
      <c r="AP267" s="30">
        <f>H267*(1-1.00002021345407)</f>
        <v>0</v>
      </c>
      <c r="AQ267" s="25" t="s">
        <v>13</v>
      </c>
      <c r="AV267" s="30">
        <f t="shared" si="218"/>
        <v>0</v>
      </c>
      <c r="AW267" s="30">
        <f t="shared" si="219"/>
        <v>0</v>
      </c>
      <c r="AX267" s="30">
        <f t="shared" si="220"/>
        <v>0</v>
      </c>
      <c r="AY267" s="31" t="s">
        <v>1054</v>
      </c>
      <c r="AZ267" s="31" t="s">
        <v>1071</v>
      </c>
      <c r="BA267" s="24" t="s">
        <v>1080</v>
      </c>
      <c r="BC267" s="30">
        <f t="shared" si="221"/>
        <v>0</v>
      </c>
      <c r="BD267" s="30">
        <f t="shared" si="222"/>
        <v>0</v>
      </c>
      <c r="BE267" s="30">
        <v>0</v>
      </c>
      <c r="BF267" s="30">
        <f>267</f>
        <v>267</v>
      </c>
      <c r="BH267" s="14">
        <f t="shared" si="223"/>
        <v>0</v>
      </c>
      <c r="BI267" s="14">
        <f t="shared" si="224"/>
        <v>0</v>
      </c>
      <c r="BJ267" s="14">
        <f t="shared" si="225"/>
        <v>0</v>
      </c>
    </row>
    <row r="268" spans="1:62" ht="12.75">
      <c r="A268" s="4" t="s">
        <v>228</v>
      </c>
      <c r="B268" s="4" t="s">
        <v>550</v>
      </c>
      <c r="C268" s="153" t="s">
        <v>891</v>
      </c>
      <c r="D268" s="154"/>
      <c r="E268" s="154"/>
      <c r="F268" s="4" t="s">
        <v>994</v>
      </c>
      <c r="G268" s="64">
        <v>0.074</v>
      </c>
      <c r="H268" s="82">
        <v>0</v>
      </c>
      <c r="I268" s="14">
        <f t="shared" si="204"/>
        <v>0</v>
      </c>
      <c r="J268" s="14">
        <f t="shared" si="205"/>
        <v>0</v>
      </c>
      <c r="K268" s="14">
        <f t="shared" si="206"/>
        <v>0</v>
      </c>
      <c r="L268" s="25" t="s">
        <v>1014</v>
      </c>
      <c r="Z268" s="30">
        <f t="shared" si="207"/>
        <v>0</v>
      </c>
      <c r="AB268" s="30">
        <f t="shared" si="208"/>
        <v>0</v>
      </c>
      <c r="AC268" s="30">
        <f t="shared" si="209"/>
        <v>0</v>
      </c>
      <c r="AD268" s="30">
        <f t="shared" si="210"/>
        <v>0</v>
      </c>
      <c r="AE268" s="30">
        <f t="shared" si="211"/>
        <v>0</v>
      </c>
      <c r="AF268" s="30">
        <f t="shared" si="212"/>
        <v>0</v>
      </c>
      <c r="AG268" s="30">
        <f t="shared" si="213"/>
        <v>0</v>
      </c>
      <c r="AH268" s="30">
        <f t="shared" si="214"/>
        <v>0</v>
      </c>
      <c r="AI268" s="24" t="s">
        <v>1024</v>
      </c>
      <c r="AJ268" s="14">
        <f t="shared" si="215"/>
        <v>0</v>
      </c>
      <c r="AK268" s="14">
        <f t="shared" si="216"/>
        <v>0</v>
      </c>
      <c r="AL268" s="14">
        <f t="shared" si="217"/>
        <v>0</v>
      </c>
      <c r="AN268" s="30">
        <v>21</v>
      </c>
      <c r="AO268" s="30">
        <f>H268*0</f>
        <v>0</v>
      </c>
      <c r="AP268" s="30">
        <f>H268*(1-0)</f>
        <v>0</v>
      </c>
      <c r="AQ268" s="25" t="s">
        <v>11</v>
      </c>
      <c r="AV268" s="30">
        <f t="shared" si="218"/>
        <v>0</v>
      </c>
      <c r="AW268" s="30">
        <f t="shared" si="219"/>
        <v>0</v>
      </c>
      <c r="AX268" s="30">
        <f t="shared" si="220"/>
        <v>0</v>
      </c>
      <c r="AY268" s="31" t="s">
        <v>1054</v>
      </c>
      <c r="AZ268" s="31" t="s">
        <v>1071</v>
      </c>
      <c r="BA268" s="24" t="s">
        <v>1080</v>
      </c>
      <c r="BC268" s="30">
        <f t="shared" si="221"/>
        <v>0</v>
      </c>
      <c r="BD268" s="30">
        <f t="shared" si="222"/>
        <v>0</v>
      </c>
      <c r="BE268" s="30">
        <v>0</v>
      </c>
      <c r="BF268" s="30">
        <f>268</f>
        <v>268</v>
      </c>
      <c r="BH268" s="14">
        <f t="shared" si="223"/>
        <v>0</v>
      </c>
      <c r="BI268" s="14">
        <f t="shared" si="224"/>
        <v>0</v>
      </c>
      <c r="BJ268" s="14">
        <f t="shared" si="225"/>
        <v>0</v>
      </c>
    </row>
    <row r="269" spans="1:47" ht="12.75">
      <c r="A269" s="3"/>
      <c r="B269" s="11" t="s">
        <v>551</v>
      </c>
      <c r="C269" s="151" t="s">
        <v>892</v>
      </c>
      <c r="D269" s="152"/>
      <c r="E269" s="152"/>
      <c r="F269" s="3" t="s">
        <v>6</v>
      </c>
      <c r="G269" s="3" t="s">
        <v>6</v>
      </c>
      <c r="H269" s="3" t="s">
        <v>6</v>
      </c>
      <c r="I269" s="32">
        <f>SUM(I270:I271)</f>
        <v>0</v>
      </c>
      <c r="J269" s="32">
        <f>SUM(J270:J271)</f>
        <v>0</v>
      </c>
      <c r="K269" s="32">
        <f>SUM(K270:K271)</f>
        <v>0</v>
      </c>
      <c r="L269" s="24"/>
      <c r="AI269" s="24" t="s">
        <v>1024</v>
      </c>
      <c r="AS269" s="32">
        <f>SUM(AJ270:AJ271)</f>
        <v>0</v>
      </c>
      <c r="AT269" s="32">
        <f>SUM(AK270:AK271)</f>
        <v>0</v>
      </c>
      <c r="AU269" s="32">
        <f>SUM(AL270:AL271)</f>
        <v>0</v>
      </c>
    </row>
    <row r="270" spans="1:62" ht="12.75">
      <c r="A270" s="4" t="s">
        <v>229</v>
      </c>
      <c r="B270" s="4" t="s">
        <v>552</v>
      </c>
      <c r="C270" s="153" t="s">
        <v>893</v>
      </c>
      <c r="D270" s="154"/>
      <c r="E270" s="154"/>
      <c r="F270" s="4" t="s">
        <v>993</v>
      </c>
      <c r="G270" s="64">
        <v>81.01</v>
      </c>
      <c r="H270" s="82">
        <v>0</v>
      </c>
      <c r="I270" s="14">
        <f>G270*AO270</f>
        <v>0</v>
      </c>
      <c r="J270" s="14">
        <f>G270*AP270</f>
        <v>0</v>
      </c>
      <c r="K270" s="14">
        <f>G270*H270</f>
        <v>0</v>
      </c>
      <c r="L270" s="25" t="s">
        <v>1014</v>
      </c>
      <c r="Z270" s="30">
        <f>IF(AQ270="5",BJ270,0)</f>
        <v>0</v>
      </c>
      <c r="AB270" s="30">
        <f>IF(AQ270="1",BH270,0)</f>
        <v>0</v>
      </c>
      <c r="AC270" s="30">
        <f>IF(AQ270="1",BI270,0)</f>
        <v>0</v>
      </c>
      <c r="AD270" s="30">
        <f>IF(AQ270="7",BH270,0)</f>
        <v>0</v>
      </c>
      <c r="AE270" s="30">
        <f>IF(AQ270="7",BI270,0)</f>
        <v>0</v>
      </c>
      <c r="AF270" s="30">
        <f>IF(AQ270="2",BH270,0)</f>
        <v>0</v>
      </c>
      <c r="AG270" s="30">
        <f>IF(AQ270="2",BI270,0)</f>
        <v>0</v>
      </c>
      <c r="AH270" s="30">
        <f>IF(AQ270="0",BJ270,0)</f>
        <v>0</v>
      </c>
      <c r="AI270" s="24" t="s">
        <v>1024</v>
      </c>
      <c r="AJ270" s="14">
        <f>IF(AN270=0,K270,0)</f>
        <v>0</v>
      </c>
      <c r="AK270" s="14">
        <f>IF(AN270=15,K270,0)</f>
        <v>0</v>
      </c>
      <c r="AL270" s="14">
        <f>IF(AN270=21,K270,0)</f>
        <v>0</v>
      </c>
      <c r="AN270" s="30">
        <v>21</v>
      </c>
      <c r="AO270" s="30">
        <f>H270*0.57251724137931</f>
        <v>0</v>
      </c>
      <c r="AP270" s="30">
        <f>H270*(1-0.57251724137931)</f>
        <v>0</v>
      </c>
      <c r="AQ270" s="25" t="s">
        <v>13</v>
      </c>
      <c r="AV270" s="30">
        <f>AW270+AX270</f>
        <v>0</v>
      </c>
      <c r="AW270" s="30">
        <f>G270*AO270</f>
        <v>0</v>
      </c>
      <c r="AX270" s="30">
        <f>G270*AP270</f>
        <v>0</v>
      </c>
      <c r="AY270" s="31" t="s">
        <v>1055</v>
      </c>
      <c r="AZ270" s="31" t="s">
        <v>1071</v>
      </c>
      <c r="BA270" s="24" t="s">
        <v>1080</v>
      </c>
      <c r="BC270" s="30">
        <f>AW270+AX270</f>
        <v>0</v>
      </c>
      <c r="BD270" s="30">
        <f>H270/(100-BE270)*100</f>
        <v>0</v>
      </c>
      <c r="BE270" s="30">
        <v>0</v>
      </c>
      <c r="BF270" s="30">
        <f>270</f>
        <v>270</v>
      </c>
      <c r="BH270" s="14">
        <f>G270*AO270</f>
        <v>0</v>
      </c>
      <c r="BI270" s="14">
        <f>G270*AP270</f>
        <v>0</v>
      </c>
      <c r="BJ270" s="14">
        <f>G270*H270</f>
        <v>0</v>
      </c>
    </row>
    <row r="271" spans="1:62" ht="12.75">
      <c r="A271" s="4" t="s">
        <v>230</v>
      </c>
      <c r="B271" s="4" t="s">
        <v>553</v>
      </c>
      <c r="C271" s="153" t="s">
        <v>894</v>
      </c>
      <c r="D271" s="154"/>
      <c r="E271" s="154"/>
      <c r="F271" s="4" t="s">
        <v>994</v>
      </c>
      <c r="G271" s="64">
        <v>0.085</v>
      </c>
      <c r="H271" s="82">
        <v>0</v>
      </c>
      <c r="I271" s="14">
        <f>G271*AO271</f>
        <v>0</v>
      </c>
      <c r="J271" s="14">
        <f>G271*AP271</f>
        <v>0</v>
      </c>
      <c r="K271" s="14">
        <f>G271*H271</f>
        <v>0</v>
      </c>
      <c r="L271" s="25" t="s">
        <v>1014</v>
      </c>
      <c r="Z271" s="30">
        <f>IF(AQ271="5",BJ271,0)</f>
        <v>0</v>
      </c>
      <c r="AB271" s="30">
        <f>IF(AQ271="1",BH271,0)</f>
        <v>0</v>
      </c>
      <c r="AC271" s="30">
        <f>IF(AQ271="1",BI271,0)</f>
        <v>0</v>
      </c>
      <c r="AD271" s="30">
        <f>IF(AQ271="7",BH271,0)</f>
        <v>0</v>
      </c>
      <c r="AE271" s="30">
        <f>IF(AQ271="7",BI271,0)</f>
        <v>0</v>
      </c>
      <c r="AF271" s="30">
        <f>IF(AQ271="2",BH271,0)</f>
        <v>0</v>
      </c>
      <c r="AG271" s="30">
        <f>IF(AQ271="2",BI271,0)</f>
        <v>0</v>
      </c>
      <c r="AH271" s="30">
        <f>IF(AQ271="0",BJ271,0)</f>
        <v>0</v>
      </c>
      <c r="AI271" s="24" t="s">
        <v>1024</v>
      </c>
      <c r="AJ271" s="14">
        <f>IF(AN271=0,K271,0)</f>
        <v>0</v>
      </c>
      <c r="AK271" s="14">
        <f>IF(AN271=15,K271,0)</f>
        <v>0</v>
      </c>
      <c r="AL271" s="14">
        <f>IF(AN271=21,K271,0)</f>
        <v>0</v>
      </c>
      <c r="AN271" s="30">
        <v>21</v>
      </c>
      <c r="AO271" s="30">
        <f>H271*0</f>
        <v>0</v>
      </c>
      <c r="AP271" s="30">
        <f>H271*(1-0)</f>
        <v>0</v>
      </c>
      <c r="AQ271" s="25" t="s">
        <v>11</v>
      </c>
      <c r="AV271" s="30">
        <f>AW271+AX271</f>
        <v>0</v>
      </c>
      <c r="AW271" s="30">
        <f>G271*AO271</f>
        <v>0</v>
      </c>
      <c r="AX271" s="30">
        <f>G271*AP271</f>
        <v>0</v>
      </c>
      <c r="AY271" s="31" t="s">
        <v>1055</v>
      </c>
      <c r="AZ271" s="31" t="s">
        <v>1071</v>
      </c>
      <c r="BA271" s="24" t="s">
        <v>1080</v>
      </c>
      <c r="BC271" s="30">
        <f>AW271+AX271</f>
        <v>0</v>
      </c>
      <c r="BD271" s="30">
        <f>H271/(100-BE271)*100</f>
        <v>0</v>
      </c>
      <c r="BE271" s="30">
        <v>0</v>
      </c>
      <c r="BF271" s="30">
        <f>271</f>
        <v>271</v>
      </c>
      <c r="BH271" s="14">
        <f>G271*AO271</f>
        <v>0</v>
      </c>
      <c r="BI271" s="14">
        <f>G271*AP271</f>
        <v>0</v>
      </c>
      <c r="BJ271" s="14">
        <f>G271*H271</f>
        <v>0</v>
      </c>
    </row>
    <row r="272" spans="1:47" ht="12.75">
      <c r="A272" s="3"/>
      <c r="B272" s="11" t="s">
        <v>554</v>
      </c>
      <c r="C272" s="151" t="s">
        <v>895</v>
      </c>
      <c r="D272" s="152"/>
      <c r="E272" s="152"/>
      <c r="F272" s="3" t="s">
        <v>6</v>
      </c>
      <c r="G272" s="3" t="s">
        <v>6</v>
      </c>
      <c r="H272" s="3" t="s">
        <v>6</v>
      </c>
      <c r="I272" s="32">
        <f>SUM(I273:I298)</f>
        <v>0</v>
      </c>
      <c r="J272" s="32">
        <f>SUM(J273:J298)</f>
        <v>0</v>
      </c>
      <c r="K272" s="32">
        <f>SUM(K273:K298)</f>
        <v>0</v>
      </c>
      <c r="L272" s="24"/>
      <c r="AI272" s="24" t="s">
        <v>1024</v>
      </c>
      <c r="AS272" s="32">
        <f>SUM(AJ273:AJ298)</f>
        <v>0</v>
      </c>
      <c r="AT272" s="32">
        <f>SUM(AK273:AK298)</f>
        <v>0</v>
      </c>
      <c r="AU272" s="32">
        <f>SUM(AL273:AL298)</f>
        <v>0</v>
      </c>
    </row>
    <row r="273" spans="1:62" ht="12.75">
      <c r="A273" s="4" t="s">
        <v>231</v>
      </c>
      <c r="B273" s="4" t="s">
        <v>555</v>
      </c>
      <c r="C273" s="153" t="s">
        <v>896</v>
      </c>
      <c r="D273" s="154"/>
      <c r="E273" s="154"/>
      <c r="F273" s="4" t="s">
        <v>991</v>
      </c>
      <c r="G273" s="64">
        <v>1</v>
      </c>
      <c r="H273" s="82">
        <v>0</v>
      </c>
      <c r="I273" s="14">
        <f aca="true" t="shared" si="226" ref="I273:I298">G273*AO273</f>
        <v>0</v>
      </c>
      <c r="J273" s="14">
        <f aca="true" t="shared" si="227" ref="J273:J298">G273*AP273</f>
        <v>0</v>
      </c>
      <c r="K273" s="14">
        <f aca="true" t="shared" si="228" ref="K273:K298">G273*H273</f>
        <v>0</v>
      </c>
      <c r="L273" s="25" t="s">
        <v>1014</v>
      </c>
      <c r="Z273" s="30">
        <f aca="true" t="shared" si="229" ref="Z273:Z298">IF(AQ273="5",BJ273,0)</f>
        <v>0</v>
      </c>
      <c r="AB273" s="30">
        <f aca="true" t="shared" si="230" ref="AB273:AB298">IF(AQ273="1",BH273,0)</f>
        <v>0</v>
      </c>
      <c r="AC273" s="30">
        <f aca="true" t="shared" si="231" ref="AC273:AC298">IF(AQ273="1",BI273,0)</f>
        <v>0</v>
      </c>
      <c r="AD273" s="30">
        <f aca="true" t="shared" si="232" ref="AD273:AD298">IF(AQ273="7",BH273,0)</f>
        <v>0</v>
      </c>
      <c r="AE273" s="30">
        <f aca="true" t="shared" si="233" ref="AE273:AE298">IF(AQ273="7",BI273,0)</f>
        <v>0</v>
      </c>
      <c r="AF273" s="30">
        <f aca="true" t="shared" si="234" ref="AF273:AF298">IF(AQ273="2",BH273,0)</f>
        <v>0</v>
      </c>
      <c r="AG273" s="30">
        <f aca="true" t="shared" si="235" ref="AG273:AG298">IF(AQ273="2",BI273,0)</f>
        <v>0</v>
      </c>
      <c r="AH273" s="30">
        <f aca="true" t="shared" si="236" ref="AH273:AH298">IF(AQ273="0",BJ273,0)</f>
        <v>0</v>
      </c>
      <c r="AI273" s="24" t="s">
        <v>1024</v>
      </c>
      <c r="AJ273" s="14">
        <f aca="true" t="shared" si="237" ref="AJ273:AJ298">IF(AN273=0,K273,0)</f>
        <v>0</v>
      </c>
      <c r="AK273" s="14">
        <f aca="true" t="shared" si="238" ref="AK273:AK298">IF(AN273=15,K273,0)</f>
        <v>0</v>
      </c>
      <c r="AL273" s="14">
        <f aca="true" t="shared" si="239" ref="AL273:AL298">IF(AN273=21,K273,0)</f>
        <v>0</v>
      </c>
      <c r="AN273" s="30">
        <v>21</v>
      </c>
      <c r="AO273" s="30">
        <f>H273*0</f>
        <v>0</v>
      </c>
      <c r="AP273" s="30">
        <f>H273*(1-0)</f>
        <v>0</v>
      </c>
      <c r="AQ273" s="25" t="s">
        <v>8</v>
      </c>
      <c r="AV273" s="30">
        <f aca="true" t="shared" si="240" ref="AV273:AV298">AW273+AX273</f>
        <v>0</v>
      </c>
      <c r="AW273" s="30">
        <f aca="true" t="shared" si="241" ref="AW273:AW298">G273*AO273</f>
        <v>0</v>
      </c>
      <c r="AX273" s="30">
        <f aca="true" t="shared" si="242" ref="AX273:AX298">G273*AP273</f>
        <v>0</v>
      </c>
      <c r="AY273" s="31" t="s">
        <v>1056</v>
      </c>
      <c r="AZ273" s="31" t="s">
        <v>1067</v>
      </c>
      <c r="BA273" s="24" t="s">
        <v>1080</v>
      </c>
      <c r="BC273" s="30">
        <f aca="true" t="shared" si="243" ref="BC273:BC298">AW273+AX273</f>
        <v>0</v>
      </c>
      <c r="BD273" s="30">
        <f aca="true" t="shared" si="244" ref="BD273:BD298">H273/(100-BE273)*100</f>
        <v>0</v>
      </c>
      <c r="BE273" s="30">
        <v>0</v>
      </c>
      <c r="BF273" s="30">
        <f>273</f>
        <v>273</v>
      </c>
      <c r="BH273" s="14">
        <f aca="true" t="shared" si="245" ref="BH273:BH298">G273*AO273</f>
        <v>0</v>
      </c>
      <c r="BI273" s="14">
        <f aca="true" t="shared" si="246" ref="BI273:BI298">G273*AP273</f>
        <v>0</v>
      </c>
      <c r="BJ273" s="14">
        <f aca="true" t="shared" si="247" ref="BJ273:BJ298">G273*H273</f>
        <v>0</v>
      </c>
    </row>
    <row r="274" spans="1:62" ht="12.75">
      <c r="A274" s="4" t="s">
        <v>232</v>
      </c>
      <c r="B274" s="4" t="s">
        <v>556</v>
      </c>
      <c r="C274" s="153" t="s">
        <v>897</v>
      </c>
      <c r="D274" s="154"/>
      <c r="E274" s="154"/>
      <c r="F274" s="4" t="s">
        <v>991</v>
      </c>
      <c r="G274" s="64">
        <v>1</v>
      </c>
      <c r="H274" s="82">
        <v>0</v>
      </c>
      <c r="I274" s="14">
        <f t="shared" si="226"/>
        <v>0</v>
      </c>
      <c r="J274" s="14">
        <f t="shared" si="227"/>
        <v>0</v>
      </c>
      <c r="K274" s="14">
        <f t="shared" si="228"/>
        <v>0</v>
      </c>
      <c r="L274" s="25" t="s">
        <v>1014</v>
      </c>
      <c r="Z274" s="30">
        <f t="shared" si="229"/>
        <v>0</v>
      </c>
      <c r="AB274" s="30">
        <f t="shared" si="230"/>
        <v>0</v>
      </c>
      <c r="AC274" s="30">
        <f t="shared" si="231"/>
        <v>0</v>
      </c>
      <c r="AD274" s="30">
        <f t="shared" si="232"/>
        <v>0</v>
      </c>
      <c r="AE274" s="30">
        <f t="shared" si="233"/>
        <v>0</v>
      </c>
      <c r="AF274" s="30">
        <f t="shared" si="234"/>
        <v>0</v>
      </c>
      <c r="AG274" s="30">
        <f t="shared" si="235"/>
        <v>0</v>
      </c>
      <c r="AH274" s="30">
        <f t="shared" si="236"/>
        <v>0</v>
      </c>
      <c r="AI274" s="24" t="s">
        <v>1024</v>
      </c>
      <c r="AJ274" s="14">
        <f t="shared" si="237"/>
        <v>0</v>
      </c>
      <c r="AK274" s="14">
        <f t="shared" si="238"/>
        <v>0</v>
      </c>
      <c r="AL274" s="14">
        <f t="shared" si="239"/>
        <v>0</v>
      </c>
      <c r="AN274" s="30">
        <v>21</v>
      </c>
      <c r="AO274" s="30">
        <f>H274*0</f>
        <v>0</v>
      </c>
      <c r="AP274" s="30">
        <f>H274*(1-0)</f>
        <v>0</v>
      </c>
      <c r="AQ274" s="25" t="s">
        <v>8</v>
      </c>
      <c r="AV274" s="30">
        <f t="shared" si="240"/>
        <v>0</v>
      </c>
      <c r="AW274" s="30">
        <f t="shared" si="241"/>
        <v>0</v>
      </c>
      <c r="AX274" s="30">
        <f t="shared" si="242"/>
        <v>0</v>
      </c>
      <c r="AY274" s="31" t="s">
        <v>1056</v>
      </c>
      <c r="AZ274" s="31" t="s">
        <v>1067</v>
      </c>
      <c r="BA274" s="24" t="s">
        <v>1080</v>
      </c>
      <c r="BC274" s="30">
        <f t="shared" si="243"/>
        <v>0</v>
      </c>
      <c r="BD274" s="30">
        <f t="shared" si="244"/>
        <v>0</v>
      </c>
      <c r="BE274" s="30">
        <v>0</v>
      </c>
      <c r="BF274" s="30">
        <f>274</f>
        <v>274</v>
      </c>
      <c r="BH274" s="14">
        <f t="shared" si="245"/>
        <v>0</v>
      </c>
      <c r="BI274" s="14">
        <f t="shared" si="246"/>
        <v>0</v>
      </c>
      <c r="BJ274" s="14">
        <f t="shared" si="247"/>
        <v>0</v>
      </c>
    </row>
    <row r="275" spans="1:62" ht="12.75">
      <c r="A275" s="4" t="s">
        <v>233</v>
      </c>
      <c r="B275" s="4" t="s">
        <v>557</v>
      </c>
      <c r="C275" s="153" t="s">
        <v>898</v>
      </c>
      <c r="D275" s="154"/>
      <c r="E275" s="154"/>
      <c r="F275" s="4" t="s">
        <v>991</v>
      </c>
      <c r="G275" s="64">
        <v>1</v>
      </c>
      <c r="H275" s="82">
        <v>0</v>
      </c>
      <c r="I275" s="14">
        <f t="shared" si="226"/>
        <v>0</v>
      </c>
      <c r="J275" s="14">
        <f t="shared" si="227"/>
        <v>0</v>
      </c>
      <c r="K275" s="14">
        <f t="shared" si="228"/>
        <v>0</v>
      </c>
      <c r="L275" s="25" t="s">
        <v>1014</v>
      </c>
      <c r="Z275" s="30">
        <f t="shared" si="229"/>
        <v>0</v>
      </c>
      <c r="AB275" s="30">
        <f t="shared" si="230"/>
        <v>0</v>
      </c>
      <c r="AC275" s="30">
        <f t="shared" si="231"/>
        <v>0</v>
      </c>
      <c r="AD275" s="30">
        <f t="shared" si="232"/>
        <v>0</v>
      </c>
      <c r="AE275" s="30">
        <f t="shared" si="233"/>
        <v>0</v>
      </c>
      <c r="AF275" s="30">
        <f t="shared" si="234"/>
        <v>0</v>
      </c>
      <c r="AG275" s="30">
        <f t="shared" si="235"/>
        <v>0</v>
      </c>
      <c r="AH275" s="30">
        <f t="shared" si="236"/>
        <v>0</v>
      </c>
      <c r="AI275" s="24" t="s">
        <v>1024</v>
      </c>
      <c r="AJ275" s="14">
        <f t="shared" si="237"/>
        <v>0</v>
      </c>
      <c r="AK275" s="14">
        <f t="shared" si="238"/>
        <v>0</v>
      </c>
      <c r="AL275" s="14">
        <f t="shared" si="239"/>
        <v>0</v>
      </c>
      <c r="AN275" s="30">
        <v>21</v>
      </c>
      <c r="AO275" s="30">
        <f>H275*0</f>
        <v>0</v>
      </c>
      <c r="AP275" s="30">
        <f>H275*(1-0)</f>
        <v>0</v>
      </c>
      <c r="AQ275" s="25" t="s">
        <v>8</v>
      </c>
      <c r="AV275" s="30">
        <f t="shared" si="240"/>
        <v>0</v>
      </c>
      <c r="AW275" s="30">
        <f t="shared" si="241"/>
        <v>0</v>
      </c>
      <c r="AX275" s="30">
        <f t="shared" si="242"/>
        <v>0</v>
      </c>
      <c r="AY275" s="31" t="s">
        <v>1056</v>
      </c>
      <c r="AZ275" s="31" t="s">
        <v>1067</v>
      </c>
      <c r="BA275" s="24" t="s">
        <v>1080</v>
      </c>
      <c r="BC275" s="30">
        <f t="shared" si="243"/>
        <v>0</v>
      </c>
      <c r="BD275" s="30">
        <f t="shared" si="244"/>
        <v>0</v>
      </c>
      <c r="BE275" s="30">
        <v>0</v>
      </c>
      <c r="BF275" s="30">
        <f>275</f>
        <v>275</v>
      </c>
      <c r="BH275" s="14">
        <f t="shared" si="245"/>
        <v>0</v>
      </c>
      <c r="BI275" s="14">
        <f t="shared" si="246"/>
        <v>0</v>
      </c>
      <c r="BJ275" s="14">
        <f t="shared" si="247"/>
        <v>0</v>
      </c>
    </row>
    <row r="276" spans="1:62" ht="12.75">
      <c r="A276" s="4" t="s">
        <v>234</v>
      </c>
      <c r="B276" s="4" t="s">
        <v>558</v>
      </c>
      <c r="C276" s="153" t="s">
        <v>899</v>
      </c>
      <c r="D276" s="154"/>
      <c r="E276" s="154"/>
      <c r="F276" s="4" t="s">
        <v>991</v>
      </c>
      <c r="G276" s="64">
        <v>60</v>
      </c>
      <c r="H276" s="82">
        <v>0</v>
      </c>
      <c r="I276" s="14">
        <f t="shared" si="226"/>
        <v>0</v>
      </c>
      <c r="J276" s="14">
        <f t="shared" si="227"/>
        <v>0</v>
      </c>
      <c r="K276" s="14">
        <f t="shared" si="228"/>
        <v>0</v>
      </c>
      <c r="L276" s="25"/>
      <c r="Z276" s="30">
        <f t="shared" si="229"/>
        <v>0</v>
      </c>
      <c r="AB276" s="30">
        <f t="shared" si="230"/>
        <v>0</v>
      </c>
      <c r="AC276" s="30">
        <f t="shared" si="231"/>
        <v>0</v>
      </c>
      <c r="AD276" s="30">
        <f t="shared" si="232"/>
        <v>0</v>
      </c>
      <c r="AE276" s="30">
        <f t="shared" si="233"/>
        <v>0</v>
      </c>
      <c r="AF276" s="30">
        <f t="shared" si="234"/>
        <v>0</v>
      </c>
      <c r="AG276" s="30">
        <f t="shared" si="235"/>
        <v>0</v>
      </c>
      <c r="AH276" s="30">
        <f t="shared" si="236"/>
        <v>0</v>
      </c>
      <c r="AI276" s="24" t="s">
        <v>1024</v>
      </c>
      <c r="AJ276" s="14">
        <f t="shared" si="237"/>
        <v>0</v>
      </c>
      <c r="AK276" s="14">
        <f t="shared" si="238"/>
        <v>0</v>
      </c>
      <c r="AL276" s="14">
        <f t="shared" si="239"/>
        <v>0</v>
      </c>
      <c r="AN276" s="30">
        <v>21</v>
      </c>
      <c r="AO276" s="30">
        <f aca="true" t="shared" si="248" ref="AO276:AO294">H276*0.59</f>
        <v>0</v>
      </c>
      <c r="AP276" s="30">
        <f aca="true" t="shared" si="249" ref="AP276:AP294">H276*(1-0.59)</f>
        <v>0</v>
      </c>
      <c r="AQ276" s="25" t="s">
        <v>7</v>
      </c>
      <c r="AV276" s="30">
        <f t="shared" si="240"/>
        <v>0</v>
      </c>
      <c r="AW276" s="30">
        <f t="shared" si="241"/>
        <v>0</v>
      </c>
      <c r="AX276" s="30">
        <f t="shared" si="242"/>
        <v>0</v>
      </c>
      <c r="AY276" s="31" t="s">
        <v>1056</v>
      </c>
      <c r="AZ276" s="31" t="s">
        <v>1067</v>
      </c>
      <c r="BA276" s="24" t="s">
        <v>1080</v>
      </c>
      <c r="BC276" s="30">
        <f t="shared" si="243"/>
        <v>0</v>
      </c>
      <c r="BD276" s="30">
        <f t="shared" si="244"/>
        <v>0</v>
      </c>
      <c r="BE276" s="30">
        <v>0</v>
      </c>
      <c r="BF276" s="30">
        <f>276</f>
        <v>276</v>
      </c>
      <c r="BH276" s="14">
        <f t="shared" si="245"/>
        <v>0</v>
      </c>
      <c r="BI276" s="14">
        <f t="shared" si="246"/>
        <v>0</v>
      </c>
      <c r="BJ276" s="14">
        <f t="shared" si="247"/>
        <v>0</v>
      </c>
    </row>
    <row r="277" spans="1:62" ht="12.75">
      <c r="A277" s="4" t="s">
        <v>235</v>
      </c>
      <c r="B277" s="4" t="s">
        <v>559</v>
      </c>
      <c r="C277" s="153" t="s">
        <v>900</v>
      </c>
      <c r="D277" s="154"/>
      <c r="E277" s="154"/>
      <c r="F277" s="4" t="s">
        <v>991</v>
      </c>
      <c r="G277" s="64">
        <v>6</v>
      </c>
      <c r="H277" s="82">
        <v>0</v>
      </c>
      <c r="I277" s="14">
        <f t="shared" si="226"/>
        <v>0</v>
      </c>
      <c r="J277" s="14">
        <f t="shared" si="227"/>
        <v>0</v>
      </c>
      <c r="K277" s="14">
        <f t="shared" si="228"/>
        <v>0</v>
      </c>
      <c r="L277" s="25"/>
      <c r="Z277" s="30">
        <f t="shared" si="229"/>
        <v>0</v>
      </c>
      <c r="AB277" s="30">
        <f t="shared" si="230"/>
        <v>0</v>
      </c>
      <c r="AC277" s="30">
        <f t="shared" si="231"/>
        <v>0</v>
      </c>
      <c r="AD277" s="30">
        <f t="shared" si="232"/>
        <v>0</v>
      </c>
      <c r="AE277" s="30">
        <f t="shared" si="233"/>
        <v>0</v>
      </c>
      <c r="AF277" s="30">
        <f t="shared" si="234"/>
        <v>0</v>
      </c>
      <c r="AG277" s="30">
        <f t="shared" si="235"/>
        <v>0</v>
      </c>
      <c r="AH277" s="30">
        <f t="shared" si="236"/>
        <v>0</v>
      </c>
      <c r="AI277" s="24" t="s">
        <v>1024</v>
      </c>
      <c r="AJ277" s="14">
        <f t="shared" si="237"/>
        <v>0</v>
      </c>
      <c r="AK277" s="14">
        <f t="shared" si="238"/>
        <v>0</v>
      </c>
      <c r="AL277" s="14">
        <f t="shared" si="239"/>
        <v>0</v>
      </c>
      <c r="AN277" s="30">
        <v>21</v>
      </c>
      <c r="AO277" s="30">
        <f t="shared" si="248"/>
        <v>0</v>
      </c>
      <c r="AP277" s="30">
        <f t="shared" si="249"/>
        <v>0</v>
      </c>
      <c r="AQ277" s="25" t="s">
        <v>7</v>
      </c>
      <c r="AV277" s="30">
        <f t="shared" si="240"/>
        <v>0</v>
      </c>
      <c r="AW277" s="30">
        <f t="shared" si="241"/>
        <v>0</v>
      </c>
      <c r="AX277" s="30">
        <f t="shared" si="242"/>
        <v>0</v>
      </c>
      <c r="AY277" s="31" t="s">
        <v>1056</v>
      </c>
      <c r="AZ277" s="31" t="s">
        <v>1067</v>
      </c>
      <c r="BA277" s="24" t="s">
        <v>1080</v>
      </c>
      <c r="BC277" s="30">
        <f t="shared" si="243"/>
        <v>0</v>
      </c>
      <c r="BD277" s="30">
        <f t="shared" si="244"/>
        <v>0</v>
      </c>
      <c r="BE277" s="30">
        <v>0</v>
      </c>
      <c r="BF277" s="30">
        <f>277</f>
        <v>277</v>
      </c>
      <c r="BH277" s="14">
        <f t="shared" si="245"/>
        <v>0</v>
      </c>
      <c r="BI277" s="14">
        <f t="shared" si="246"/>
        <v>0</v>
      </c>
      <c r="BJ277" s="14">
        <f t="shared" si="247"/>
        <v>0</v>
      </c>
    </row>
    <row r="278" spans="1:62" ht="12.75">
      <c r="A278" s="4" t="s">
        <v>236</v>
      </c>
      <c r="B278" s="4" t="s">
        <v>560</v>
      </c>
      <c r="C278" s="153" t="s">
        <v>901</v>
      </c>
      <c r="D278" s="154"/>
      <c r="E278" s="154"/>
      <c r="F278" s="4" t="s">
        <v>991</v>
      </c>
      <c r="G278" s="64">
        <v>6</v>
      </c>
      <c r="H278" s="82">
        <v>0</v>
      </c>
      <c r="I278" s="14">
        <f t="shared" si="226"/>
        <v>0</v>
      </c>
      <c r="J278" s="14">
        <f t="shared" si="227"/>
        <v>0</v>
      </c>
      <c r="K278" s="14">
        <f t="shared" si="228"/>
        <v>0</v>
      </c>
      <c r="L278" s="25"/>
      <c r="Z278" s="30">
        <f t="shared" si="229"/>
        <v>0</v>
      </c>
      <c r="AB278" s="30">
        <f t="shared" si="230"/>
        <v>0</v>
      </c>
      <c r="AC278" s="30">
        <f t="shared" si="231"/>
        <v>0</v>
      </c>
      <c r="AD278" s="30">
        <f t="shared" si="232"/>
        <v>0</v>
      </c>
      <c r="AE278" s="30">
        <f t="shared" si="233"/>
        <v>0</v>
      </c>
      <c r="AF278" s="30">
        <f t="shared" si="234"/>
        <v>0</v>
      </c>
      <c r="AG278" s="30">
        <f t="shared" si="235"/>
        <v>0</v>
      </c>
      <c r="AH278" s="30">
        <f t="shared" si="236"/>
        <v>0</v>
      </c>
      <c r="AI278" s="24" t="s">
        <v>1024</v>
      </c>
      <c r="AJ278" s="14">
        <f t="shared" si="237"/>
        <v>0</v>
      </c>
      <c r="AK278" s="14">
        <f t="shared" si="238"/>
        <v>0</v>
      </c>
      <c r="AL278" s="14">
        <f t="shared" si="239"/>
        <v>0</v>
      </c>
      <c r="AN278" s="30">
        <v>21</v>
      </c>
      <c r="AO278" s="30">
        <f t="shared" si="248"/>
        <v>0</v>
      </c>
      <c r="AP278" s="30">
        <f t="shared" si="249"/>
        <v>0</v>
      </c>
      <c r="AQ278" s="25" t="s">
        <v>7</v>
      </c>
      <c r="AV278" s="30">
        <f t="shared" si="240"/>
        <v>0</v>
      </c>
      <c r="AW278" s="30">
        <f t="shared" si="241"/>
        <v>0</v>
      </c>
      <c r="AX278" s="30">
        <f t="shared" si="242"/>
        <v>0</v>
      </c>
      <c r="AY278" s="31" t="s">
        <v>1056</v>
      </c>
      <c r="AZ278" s="31" t="s">
        <v>1067</v>
      </c>
      <c r="BA278" s="24" t="s">
        <v>1080</v>
      </c>
      <c r="BC278" s="30">
        <f t="shared" si="243"/>
        <v>0</v>
      </c>
      <c r="BD278" s="30">
        <f t="shared" si="244"/>
        <v>0</v>
      </c>
      <c r="BE278" s="30">
        <v>0</v>
      </c>
      <c r="BF278" s="30">
        <f>278</f>
        <v>278</v>
      </c>
      <c r="BH278" s="14">
        <f t="shared" si="245"/>
        <v>0</v>
      </c>
      <c r="BI278" s="14">
        <f t="shared" si="246"/>
        <v>0</v>
      </c>
      <c r="BJ278" s="14">
        <f t="shared" si="247"/>
        <v>0</v>
      </c>
    </row>
    <row r="279" spans="1:62" ht="12.75">
      <c r="A279" s="4" t="s">
        <v>237</v>
      </c>
      <c r="B279" s="4" t="s">
        <v>561</v>
      </c>
      <c r="C279" s="153" t="s">
        <v>902</v>
      </c>
      <c r="D279" s="154"/>
      <c r="E279" s="154"/>
      <c r="F279" s="4" t="s">
        <v>991</v>
      </c>
      <c r="G279" s="64">
        <v>3</v>
      </c>
      <c r="H279" s="82">
        <v>0</v>
      </c>
      <c r="I279" s="14">
        <f t="shared" si="226"/>
        <v>0</v>
      </c>
      <c r="J279" s="14">
        <f t="shared" si="227"/>
        <v>0</v>
      </c>
      <c r="K279" s="14">
        <f t="shared" si="228"/>
        <v>0</v>
      </c>
      <c r="L279" s="25"/>
      <c r="Z279" s="30">
        <f t="shared" si="229"/>
        <v>0</v>
      </c>
      <c r="AB279" s="30">
        <f t="shared" si="230"/>
        <v>0</v>
      </c>
      <c r="AC279" s="30">
        <f t="shared" si="231"/>
        <v>0</v>
      </c>
      <c r="AD279" s="30">
        <f t="shared" si="232"/>
        <v>0</v>
      </c>
      <c r="AE279" s="30">
        <f t="shared" si="233"/>
        <v>0</v>
      </c>
      <c r="AF279" s="30">
        <f t="shared" si="234"/>
        <v>0</v>
      </c>
      <c r="AG279" s="30">
        <f t="shared" si="235"/>
        <v>0</v>
      </c>
      <c r="AH279" s="30">
        <f t="shared" si="236"/>
        <v>0</v>
      </c>
      <c r="AI279" s="24" t="s">
        <v>1024</v>
      </c>
      <c r="AJ279" s="14">
        <f t="shared" si="237"/>
        <v>0</v>
      </c>
      <c r="AK279" s="14">
        <f t="shared" si="238"/>
        <v>0</v>
      </c>
      <c r="AL279" s="14">
        <f t="shared" si="239"/>
        <v>0</v>
      </c>
      <c r="AN279" s="30">
        <v>21</v>
      </c>
      <c r="AO279" s="30">
        <f t="shared" si="248"/>
        <v>0</v>
      </c>
      <c r="AP279" s="30">
        <f t="shared" si="249"/>
        <v>0</v>
      </c>
      <c r="AQ279" s="25" t="s">
        <v>7</v>
      </c>
      <c r="AV279" s="30">
        <f t="shared" si="240"/>
        <v>0</v>
      </c>
      <c r="AW279" s="30">
        <f t="shared" si="241"/>
        <v>0</v>
      </c>
      <c r="AX279" s="30">
        <f t="shared" si="242"/>
        <v>0</v>
      </c>
      <c r="AY279" s="31" t="s">
        <v>1056</v>
      </c>
      <c r="AZ279" s="31" t="s">
        <v>1067</v>
      </c>
      <c r="BA279" s="24" t="s">
        <v>1080</v>
      </c>
      <c r="BC279" s="30">
        <f t="shared" si="243"/>
        <v>0</v>
      </c>
      <c r="BD279" s="30">
        <f t="shared" si="244"/>
        <v>0</v>
      </c>
      <c r="BE279" s="30">
        <v>0</v>
      </c>
      <c r="BF279" s="30">
        <f>279</f>
        <v>279</v>
      </c>
      <c r="BH279" s="14">
        <f t="shared" si="245"/>
        <v>0</v>
      </c>
      <c r="BI279" s="14">
        <f t="shared" si="246"/>
        <v>0</v>
      </c>
      <c r="BJ279" s="14">
        <f t="shared" si="247"/>
        <v>0</v>
      </c>
    </row>
    <row r="280" spans="1:62" ht="12.75">
      <c r="A280" s="4" t="s">
        <v>238</v>
      </c>
      <c r="B280" s="4" t="s">
        <v>562</v>
      </c>
      <c r="C280" s="153" t="s">
        <v>903</v>
      </c>
      <c r="D280" s="154"/>
      <c r="E280" s="154"/>
      <c r="F280" s="4" t="s">
        <v>991</v>
      </c>
      <c r="G280" s="64">
        <v>6</v>
      </c>
      <c r="H280" s="82">
        <v>0</v>
      </c>
      <c r="I280" s="14">
        <f t="shared" si="226"/>
        <v>0</v>
      </c>
      <c r="J280" s="14">
        <f t="shared" si="227"/>
        <v>0</v>
      </c>
      <c r="K280" s="14">
        <f t="shared" si="228"/>
        <v>0</v>
      </c>
      <c r="L280" s="25"/>
      <c r="Z280" s="30">
        <f t="shared" si="229"/>
        <v>0</v>
      </c>
      <c r="AB280" s="30">
        <f t="shared" si="230"/>
        <v>0</v>
      </c>
      <c r="AC280" s="30">
        <f t="shared" si="231"/>
        <v>0</v>
      </c>
      <c r="AD280" s="30">
        <f t="shared" si="232"/>
        <v>0</v>
      </c>
      <c r="AE280" s="30">
        <f t="shared" si="233"/>
        <v>0</v>
      </c>
      <c r="AF280" s="30">
        <f t="shared" si="234"/>
        <v>0</v>
      </c>
      <c r="AG280" s="30">
        <f t="shared" si="235"/>
        <v>0</v>
      </c>
      <c r="AH280" s="30">
        <f t="shared" si="236"/>
        <v>0</v>
      </c>
      <c r="AI280" s="24" t="s">
        <v>1024</v>
      </c>
      <c r="AJ280" s="14">
        <f t="shared" si="237"/>
        <v>0</v>
      </c>
      <c r="AK280" s="14">
        <f t="shared" si="238"/>
        <v>0</v>
      </c>
      <c r="AL280" s="14">
        <f t="shared" si="239"/>
        <v>0</v>
      </c>
      <c r="AN280" s="30">
        <v>21</v>
      </c>
      <c r="AO280" s="30">
        <f t="shared" si="248"/>
        <v>0</v>
      </c>
      <c r="AP280" s="30">
        <f t="shared" si="249"/>
        <v>0</v>
      </c>
      <c r="AQ280" s="25" t="s">
        <v>7</v>
      </c>
      <c r="AV280" s="30">
        <f t="shared" si="240"/>
        <v>0</v>
      </c>
      <c r="AW280" s="30">
        <f t="shared" si="241"/>
        <v>0</v>
      </c>
      <c r="AX280" s="30">
        <f t="shared" si="242"/>
        <v>0</v>
      </c>
      <c r="AY280" s="31" t="s">
        <v>1056</v>
      </c>
      <c r="AZ280" s="31" t="s">
        <v>1067</v>
      </c>
      <c r="BA280" s="24" t="s">
        <v>1080</v>
      </c>
      <c r="BC280" s="30">
        <f t="shared" si="243"/>
        <v>0</v>
      </c>
      <c r="BD280" s="30">
        <f t="shared" si="244"/>
        <v>0</v>
      </c>
      <c r="BE280" s="30">
        <v>0</v>
      </c>
      <c r="BF280" s="30">
        <f>280</f>
        <v>280</v>
      </c>
      <c r="BH280" s="14">
        <f t="shared" si="245"/>
        <v>0</v>
      </c>
      <c r="BI280" s="14">
        <f t="shared" si="246"/>
        <v>0</v>
      </c>
      <c r="BJ280" s="14">
        <f t="shared" si="247"/>
        <v>0</v>
      </c>
    </row>
    <row r="281" spans="1:62" ht="12.75">
      <c r="A281" s="4" t="s">
        <v>239</v>
      </c>
      <c r="B281" s="4" t="s">
        <v>563</v>
      </c>
      <c r="C281" s="153" t="s">
        <v>904</v>
      </c>
      <c r="D281" s="154"/>
      <c r="E281" s="154"/>
      <c r="F281" s="4" t="s">
        <v>991</v>
      </c>
      <c r="G281" s="64">
        <v>12</v>
      </c>
      <c r="H281" s="82">
        <v>0</v>
      </c>
      <c r="I281" s="14">
        <f t="shared" si="226"/>
        <v>0</v>
      </c>
      <c r="J281" s="14">
        <f t="shared" si="227"/>
        <v>0</v>
      </c>
      <c r="K281" s="14">
        <f t="shared" si="228"/>
        <v>0</v>
      </c>
      <c r="L281" s="25"/>
      <c r="Z281" s="30">
        <f t="shared" si="229"/>
        <v>0</v>
      </c>
      <c r="AB281" s="30">
        <f t="shared" si="230"/>
        <v>0</v>
      </c>
      <c r="AC281" s="30">
        <f t="shared" si="231"/>
        <v>0</v>
      </c>
      <c r="AD281" s="30">
        <f t="shared" si="232"/>
        <v>0</v>
      </c>
      <c r="AE281" s="30">
        <f t="shared" si="233"/>
        <v>0</v>
      </c>
      <c r="AF281" s="30">
        <f t="shared" si="234"/>
        <v>0</v>
      </c>
      <c r="AG281" s="30">
        <f t="shared" si="235"/>
        <v>0</v>
      </c>
      <c r="AH281" s="30">
        <f t="shared" si="236"/>
        <v>0</v>
      </c>
      <c r="AI281" s="24" t="s">
        <v>1024</v>
      </c>
      <c r="AJ281" s="14">
        <f t="shared" si="237"/>
        <v>0</v>
      </c>
      <c r="AK281" s="14">
        <f t="shared" si="238"/>
        <v>0</v>
      </c>
      <c r="AL281" s="14">
        <f t="shared" si="239"/>
        <v>0</v>
      </c>
      <c r="AN281" s="30">
        <v>21</v>
      </c>
      <c r="AO281" s="30">
        <f t="shared" si="248"/>
        <v>0</v>
      </c>
      <c r="AP281" s="30">
        <f t="shared" si="249"/>
        <v>0</v>
      </c>
      <c r="AQ281" s="25" t="s">
        <v>7</v>
      </c>
      <c r="AV281" s="30">
        <f t="shared" si="240"/>
        <v>0</v>
      </c>
      <c r="AW281" s="30">
        <f t="shared" si="241"/>
        <v>0</v>
      </c>
      <c r="AX281" s="30">
        <f t="shared" si="242"/>
        <v>0</v>
      </c>
      <c r="AY281" s="31" t="s">
        <v>1056</v>
      </c>
      <c r="AZ281" s="31" t="s">
        <v>1067</v>
      </c>
      <c r="BA281" s="24" t="s">
        <v>1080</v>
      </c>
      <c r="BC281" s="30">
        <f t="shared" si="243"/>
        <v>0</v>
      </c>
      <c r="BD281" s="30">
        <f t="shared" si="244"/>
        <v>0</v>
      </c>
      <c r="BE281" s="30">
        <v>0</v>
      </c>
      <c r="BF281" s="30">
        <f>281</f>
        <v>281</v>
      </c>
      <c r="BH281" s="14">
        <f t="shared" si="245"/>
        <v>0</v>
      </c>
      <c r="BI281" s="14">
        <f t="shared" si="246"/>
        <v>0</v>
      </c>
      <c r="BJ281" s="14">
        <f t="shared" si="247"/>
        <v>0</v>
      </c>
    </row>
    <row r="282" spans="1:62" ht="12.75">
      <c r="A282" s="4" t="s">
        <v>240</v>
      </c>
      <c r="B282" s="4" t="s">
        <v>564</v>
      </c>
      <c r="C282" s="153" t="s">
        <v>905</v>
      </c>
      <c r="D282" s="154"/>
      <c r="E282" s="154"/>
      <c r="F282" s="4" t="s">
        <v>991</v>
      </c>
      <c r="G282" s="64">
        <v>3</v>
      </c>
      <c r="H282" s="82">
        <v>0</v>
      </c>
      <c r="I282" s="14">
        <f t="shared" si="226"/>
        <v>0</v>
      </c>
      <c r="J282" s="14">
        <f t="shared" si="227"/>
        <v>0</v>
      </c>
      <c r="K282" s="14">
        <f t="shared" si="228"/>
        <v>0</v>
      </c>
      <c r="L282" s="25"/>
      <c r="Z282" s="30">
        <f t="shared" si="229"/>
        <v>0</v>
      </c>
      <c r="AB282" s="30">
        <f t="shared" si="230"/>
        <v>0</v>
      </c>
      <c r="AC282" s="30">
        <f t="shared" si="231"/>
        <v>0</v>
      </c>
      <c r="AD282" s="30">
        <f t="shared" si="232"/>
        <v>0</v>
      </c>
      <c r="AE282" s="30">
        <f t="shared" si="233"/>
        <v>0</v>
      </c>
      <c r="AF282" s="30">
        <f t="shared" si="234"/>
        <v>0</v>
      </c>
      <c r="AG282" s="30">
        <f t="shared" si="235"/>
        <v>0</v>
      </c>
      <c r="AH282" s="30">
        <f t="shared" si="236"/>
        <v>0</v>
      </c>
      <c r="AI282" s="24" t="s">
        <v>1024</v>
      </c>
      <c r="AJ282" s="14">
        <f t="shared" si="237"/>
        <v>0</v>
      </c>
      <c r="AK282" s="14">
        <f t="shared" si="238"/>
        <v>0</v>
      </c>
      <c r="AL282" s="14">
        <f t="shared" si="239"/>
        <v>0</v>
      </c>
      <c r="AN282" s="30">
        <v>21</v>
      </c>
      <c r="AO282" s="30">
        <f t="shared" si="248"/>
        <v>0</v>
      </c>
      <c r="AP282" s="30">
        <f t="shared" si="249"/>
        <v>0</v>
      </c>
      <c r="AQ282" s="25" t="s">
        <v>7</v>
      </c>
      <c r="AV282" s="30">
        <f t="shared" si="240"/>
        <v>0</v>
      </c>
      <c r="AW282" s="30">
        <f t="shared" si="241"/>
        <v>0</v>
      </c>
      <c r="AX282" s="30">
        <f t="shared" si="242"/>
        <v>0</v>
      </c>
      <c r="AY282" s="31" t="s">
        <v>1056</v>
      </c>
      <c r="AZ282" s="31" t="s">
        <v>1067</v>
      </c>
      <c r="BA282" s="24" t="s">
        <v>1080</v>
      </c>
      <c r="BC282" s="30">
        <f t="shared" si="243"/>
        <v>0</v>
      </c>
      <c r="BD282" s="30">
        <f t="shared" si="244"/>
        <v>0</v>
      </c>
      <c r="BE282" s="30">
        <v>0</v>
      </c>
      <c r="BF282" s="30">
        <f>282</f>
        <v>282</v>
      </c>
      <c r="BH282" s="14">
        <f t="shared" si="245"/>
        <v>0</v>
      </c>
      <c r="BI282" s="14">
        <f t="shared" si="246"/>
        <v>0</v>
      </c>
      <c r="BJ282" s="14">
        <f t="shared" si="247"/>
        <v>0</v>
      </c>
    </row>
    <row r="283" spans="1:62" ht="12.75">
      <c r="A283" s="4" t="s">
        <v>241</v>
      </c>
      <c r="B283" s="4" t="s">
        <v>565</v>
      </c>
      <c r="C283" s="153" t="s">
        <v>906</v>
      </c>
      <c r="D283" s="154"/>
      <c r="E283" s="154"/>
      <c r="F283" s="4" t="s">
        <v>991</v>
      </c>
      <c r="G283" s="64">
        <v>3</v>
      </c>
      <c r="H283" s="82">
        <v>0</v>
      </c>
      <c r="I283" s="14">
        <f t="shared" si="226"/>
        <v>0</v>
      </c>
      <c r="J283" s="14">
        <f t="shared" si="227"/>
        <v>0</v>
      </c>
      <c r="K283" s="14">
        <f t="shared" si="228"/>
        <v>0</v>
      </c>
      <c r="L283" s="25"/>
      <c r="Z283" s="30">
        <f t="shared" si="229"/>
        <v>0</v>
      </c>
      <c r="AB283" s="30">
        <f t="shared" si="230"/>
        <v>0</v>
      </c>
      <c r="AC283" s="30">
        <f t="shared" si="231"/>
        <v>0</v>
      </c>
      <c r="AD283" s="30">
        <f t="shared" si="232"/>
        <v>0</v>
      </c>
      <c r="AE283" s="30">
        <f t="shared" si="233"/>
        <v>0</v>
      </c>
      <c r="AF283" s="30">
        <f t="shared" si="234"/>
        <v>0</v>
      </c>
      <c r="AG283" s="30">
        <f t="shared" si="235"/>
        <v>0</v>
      </c>
      <c r="AH283" s="30">
        <f t="shared" si="236"/>
        <v>0</v>
      </c>
      <c r="AI283" s="24" t="s">
        <v>1024</v>
      </c>
      <c r="AJ283" s="14">
        <f t="shared" si="237"/>
        <v>0</v>
      </c>
      <c r="AK283" s="14">
        <f t="shared" si="238"/>
        <v>0</v>
      </c>
      <c r="AL283" s="14">
        <f t="shared" si="239"/>
        <v>0</v>
      </c>
      <c r="AN283" s="30">
        <v>21</v>
      </c>
      <c r="AO283" s="30">
        <f t="shared" si="248"/>
        <v>0</v>
      </c>
      <c r="AP283" s="30">
        <f t="shared" si="249"/>
        <v>0</v>
      </c>
      <c r="AQ283" s="25" t="s">
        <v>7</v>
      </c>
      <c r="AV283" s="30">
        <f t="shared" si="240"/>
        <v>0</v>
      </c>
      <c r="AW283" s="30">
        <f t="shared" si="241"/>
        <v>0</v>
      </c>
      <c r="AX283" s="30">
        <f t="shared" si="242"/>
        <v>0</v>
      </c>
      <c r="AY283" s="31" t="s">
        <v>1056</v>
      </c>
      <c r="AZ283" s="31" t="s">
        <v>1067</v>
      </c>
      <c r="BA283" s="24" t="s">
        <v>1080</v>
      </c>
      <c r="BC283" s="30">
        <f t="shared" si="243"/>
        <v>0</v>
      </c>
      <c r="BD283" s="30">
        <f t="shared" si="244"/>
        <v>0</v>
      </c>
      <c r="BE283" s="30">
        <v>0</v>
      </c>
      <c r="BF283" s="30">
        <f>283</f>
        <v>283</v>
      </c>
      <c r="BH283" s="14">
        <f t="shared" si="245"/>
        <v>0</v>
      </c>
      <c r="BI283" s="14">
        <f t="shared" si="246"/>
        <v>0</v>
      </c>
      <c r="BJ283" s="14">
        <f t="shared" si="247"/>
        <v>0</v>
      </c>
    </row>
    <row r="284" spans="1:62" ht="12.75">
      <c r="A284" s="4" t="s">
        <v>242</v>
      </c>
      <c r="B284" s="4" t="s">
        <v>566</v>
      </c>
      <c r="C284" s="153" t="s">
        <v>907</v>
      </c>
      <c r="D284" s="154"/>
      <c r="E284" s="154"/>
      <c r="F284" s="4" t="s">
        <v>991</v>
      </c>
      <c r="G284" s="64">
        <v>7</v>
      </c>
      <c r="H284" s="82">
        <v>0</v>
      </c>
      <c r="I284" s="14">
        <f t="shared" si="226"/>
        <v>0</v>
      </c>
      <c r="J284" s="14">
        <f t="shared" si="227"/>
        <v>0</v>
      </c>
      <c r="K284" s="14">
        <f t="shared" si="228"/>
        <v>0</v>
      </c>
      <c r="L284" s="25"/>
      <c r="Z284" s="30">
        <f t="shared" si="229"/>
        <v>0</v>
      </c>
      <c r="AB284" s="30">
        <f t="shared" si="230"/>
        <v>0</v>
      </c>
      <c r="AC284" s="30">
        <f t="shared" si="231"/>
        <v>0</v>
      </c>
      <c r="AD284" s="30">
        <f t="shared" si="232"/>
        <v>0</v>
      </c>
      <c r="AE284" s="30">
        <f t="shared" si="233"/>
        <v>0</v>
      </c>
      <c r="AF284" s="30">
        <f t="shared" si="234"/>
        <v>0</v>
      </c>
      <c r="AG284" s="30">
        <f t="shared" si="235"/>
        <v>0</v>
      </c>
      <c r="AH284" s="30">
        <f t="shared" si="236"/>
        <v>0</v>
      </c>
      <c r="AI284" s="24" t="s">
        <v>1024</v>
      </c>
      <c r="AJ284" s="14">
        <f t="shared" si="237"/>
        <v>0</v>
      </c>
      <c r="AK284" s="14">
        <f t="shared" si="238"/>
        <v>0</v>
      </c>
      <c r="AL284" s="14">
        <f t="shared" si="239"/>
        <v>0</v>
      </c>
      <c r="AN284" s="30">
        <v>21</v>
      </c>
      <c r="AO284" s="30">
        <f t="shared" si="248"/>
        <v>0</v>
      </c>
      <c r="AP284" s="30">
        <f t="shared" si="249"/>
        <v>0</v>
      </c>
      <c r="AQ284" s="25" t="s">
        <v>7</v>
      </c>
      <c r="AV284" s="30">
        <f t="shared" si="240"/>
        <v>0</v>
      </c>
      <c r="AW284" s="30">
        <f t="shared" si="241"/>
        <v>0</v>
      </c>
      <c r="AX284" s="30">
        <f t="shared" si="242"/>
        <v>0</v>
      </c>
      <c r="AY284" s="31" t="s">
        <v>1056</v>
      </c>
      <c r="AZ284" s="31" t="s">
        <v>1067</v>
      </c>
      <c r="BA284" s="24" t="s">
        <v>1080</v>
      </c>
      <c r="BC284" s="30">
        <f t="shared" si="243"/>
        <v>0</v>
      </c>
      <c r="BD284" s="30">
        <f t="shared" si="244"/>
        <v>0</v>
      </c>
      <c r="BE284" s="30">
        <v>0</v>
      </c>
      <c r="BF284" s="30">
        <f>284</f>
        <v>284</v>
      </c>
      <c r="BH284" s="14">
        <f t="shared" si="245"/>
        <v>0</v>
      </c>
      <c r="BI284" s="14">
        <f t="shared" si="246"/>
        <v>0</v>
      </c>
      <c r="BJ284" s="14">
        <f t="shared" si="247"/>
        <v>0</v>
      </c>
    </row>
    <row r="285" spans="1:62" ht="12.75">
      <c r="A285" s="4" t="s">
        <v>243</v>
      </c>
      <c r="B285" s="4" t="s">
        <v>567</v>
      </c>
      <c r="C285" s="153" t="s">
        <v>908</v>
      </c>
      <c r="D285" s="154"/>
      <c r="E285" s="154"/>
      <c r="F285" s="4" t="s">
        <v>991</v>
      </c>
      <c r="G285" s="64">
        <v>30</v>
      </c>
      <c r="H285" s="82">
        <v>0</v>
      </c>
      <c r="I285" s="14">
        <f t="shared" si="226"/>
        <v>0</v>
      </c>
      <c r="J285" s="14">
        <f t="shared" si="227"/>
        <v>0</v>
      </c>
      <c r="K285" s="14">
        <f t="shared" si="228"/>
        <v>0</v>
      </c>
      <c r="L285" s="25"/>
      <c r="Z285" s="30">
        <f t="shared" si="229"/>
        <v>0</v>
      </c>
      <c r="AB285" s="30">
        <f t="shared" si="230"/>
        <v>0</v>
      </c>
      <c r="AC285" s="30">
        <f t="shared" si="231"/>
        <v>0</v>
      </c>
      <c r="AD285" s="30">
        <f t="shared" si="232"/>
        <v>0</v>
      </c>
      <c r="AE285" s="30">
        <f t="shared" si="233"/>
        <v>0</v>
      </c>
      <c r="AF285" s="30">
        <f t="shared" si="234"/>
        <v>0</v>
      </c>
      <c r="AG285" s="30">
        <f t="shared" si="235"/>
        <v>0</v>
      </c>
      <c r="AH285" s="30">
        <f t="shared" si="236"/>
        <v>0</v>
      </c>
      <c r="AI285" s="24" t="s">
        <v>1024</v>
      </c>
      <c r="AJ285" s="14">
        <f t="shared" si="237"/>
        <v>0</v>
      </c>
      <c r="AK285" s="14">
        <f t="shared" si="238"/>
        <v>0</v>
      </c>
      <c r="AL285" s="14">
        <f t="shared" si="239"/>
        <v>0</v>
      </c>
      <c r="AN285" s="30">
        <v>21</v>
      </c>
      <c r="AO285" s="30">
        <f t="shared" si="248"/>
        <v>0</v>
      </c>
      <c r="AP285" s="30">
        <f t="shared" si="249"/>
        <v>0</v>
      </c>
      <c r="AQ285" s="25" t="s">
        <v>7</v>
      </c>
      <c r="AV285" s="30">
        <f t="shared" si="240"/>
        <v>0</v>
      </c>
      <c r="AW285" s="30">
        <f t="shared" si="241"/>
        <v>0</v>
      </c>
      <c r="AX285" s="30">
        <f t="shared" si="242"/>
        <v>0</v>
      </c>
      <c r="AY285" s="31" t="s">
        <v>1056</v>
      </c>
      <c r="AZ285" s="31" t="s">
        <v>1067</v>
      </c>
      <c r="BA285" s="24" t="s">
        <v>1080</v>
      </c>
      <c r="BC285" s="30">
        <f t="shared" si="243"/>
        <v>0</v>
      </c>
      <c r="BD285" s="30">
        <f t="shared" si="244"/>
        <v>0</v>
      </c>
      <c r="BE285" s="30">
        <v>0</v>
      </c>
      <c r="BF285" s="30">
        <f>285</f>
        <v>285</v>
      </c>
      <c r="BH285" s="14">
        <f t="shared" si="245"/>
        <v>0</v>
      </c>
      <c r="BI285" s="14">
        <f t="shared" si="246"/>
        <v>0</v>
      </c>
      <c r="BJ285" s="14">
        <f t="shared" si="247"/>
        <v>0</v>
      </c>
    </row>
    <row r="286" spans="1:62" ht="12.75">
      <c r="A286" s="4" t="s">
        <v>244</v>
      </c>
      <c r="B286" s="4" t="s">
        <v>568</v>
      </c>
      <c r="C286" s="153" t="s">
        <v>909</v>
      </c>
      <c r="D286" s="154"/>
      <c r="E286" s="154"/>
      <c r="F286" s="4" t="s">
        <v>991</v>
      </c>
      <c r="G286" s="64">
        <v>85</v>
      </c>
      <c r="H286" s="82">
        <v>0</v>
      </c>
      <c r="I286" s="14">
        <f t="shared" si="226"/>
        <v>0</v>
      </c>
      <c r="J286" s="14">
        <f t="shared" si="227"/>
        <v>0</v>
      </c>
      <c r="K286" s="14">
        <f t="shared" si="228"/>
        <v>0</v>
      </c>
      <c r="L286" s="25"/>
      <c r="Z286" s="30">
        <f t="shared" si="229"/>
        <v>0</v>
      </c>
      <c r="AB286" s="30">
        <f t="shared" si="230"/>
        <v>0</v>
      </c>
      <c r="AC286" s="30">
        <f t="shared" si="231"/>
        <v>0</v>
      </c>
      <c r="AD286" s="30">
        <f t="shared" si="232"/>
        <v>0</v>
      </c>
      <c r="AE286" s="30">
        <f t="shared" si="233"/>
        <v>0</v>
      </c>
      <c r="AF286" s="30">
        <f t="shared" si="234"/>
        <v>0</v>
      </c>
      <c r="AG286" s="30">
        <f t="shared" si="235"/>
        <v>0</v>
      </c>
      <c r="AH286" s="30">
        <f t="shared" si="236"/>
        <v>0</v>
      </c>
      <c r="AI286" s="24" t="s">
        <v>1024</v>
      </c>
      <c r="AJ286" s="14">
        <f t="shared" si="237"/>
        <v>0</v>
      </c>
      <c r="AK286" s="14">
        <f t="shared" si="238"/>
        <v>0</v>
      </c>
      <c r="AL286" s="14">
        <f t="shared" si="239"/>
        <v>0</v>
      </c>
      <c r="AN286" s="30">
        <v>21</v>
      </c>
      <c r="AO286" s="30">
        <f t="shared" si="248"/>
        <v>0</v>
      </c>
      <c r="AP286" s="30">
        <f t="shared" si="249"/>
        <v>0</v>
      </c>
      <c r="AQ286" s="25" t="s">
        <v>7</v>
      </c>
      <c r="AV286" s="30">
        <f t="shared" si="240"/>
        <v>0</v>
      </c>
      <c r="AW286" s="30">
        <f t="shared" si="241"/>
        <v>0</v>
      </c>
      <c r="AX286" s="30">
        <f t="shared" si="242"/>
        <v>0</v>
      </c>
      <c r="AY286" s="31" t="s">
        <v>1056</v>
      </c>
      <c r="AZ286" s="31" t="s">
        <v>1067</v>
      </c>
      <c r="BA286" s="24" t="s">
        <v>1080</v>
      </c>
      <c r="BC286" s="30">
        <f t="shared" si="243"/>
        <v>0</v>
      </c>
      <c r="BD286" s="30">
        <f t="shared" si="244"/>
        <v>0</v>
      </c>
      <c r="BE286" s="30">
        <v>0</v>
      </c>
      <c r="BF286" s="30">
        <f>286</f>
        <v>286</v>
      </c>
      <c r="BH286" s="14">
        <f t="shared" si="245"/>
        <v>0</v>
      </c>
      <c r="BI286" s="14">
        <f t="shared" si="246"/>
        <v>0</v>
      </c>
      <c r="BJ286" s="14">
        <f t="shared" si="247"/>
        <v>0</v>
      </c>
    </row>
    <row r="287" spans="1:62" ht="12.75">
      <c r="A287" s="4" t="s">
        <v>245</v>
      </c>
      <c r="B287" s="4" t="s">
        <v>569</v>
      </c>
      <c r="C287" s="153" t="s">
        <v>910</v>
      </c>
      <c r="D287" s="154"/>
      <c r="E287" s="154"/>
      <c r="F287" s="4" t="s">
        <v>995</v>
      </c>
      <c r="G287" s="64">
        <v>135</v>
      </c>
      <c r="H287" s="82">
        <v>0</v>
      </c>
      <c r="I287" s="14">
        <f t="shared" si="226"/>
        <v>0</v>
      </c>
      <c r="J287" s="14">
        <f t="shared" si="227"/>
        <v>0</v>
      </c>
      <c r="K287" s="14">
        <f t="shared" si="228"/>
        <v>0</v>
      </c>
      <c r="L287" s="25"/>
      <c r="Z287" s="30">
        <f t="shared" si="229"/>
        <v>0</v>
      </c>
      <c r="AB287" s="30">
        <f t="shared" si="230"/>
        <v>0</v>
      </c>
      <c r="AC287" s="30">
        <f t="shared" si="231"/>
        <v>0</v>
      </c>
      <c r="AD287" s="30">
        <f t="shared" si="232"/>
        <v>0</v>
      </c>
      <c r="AE287" s="30">
        <f t="shared" si="233"/>
        <v>0</v>
      </c>
      <c r="AF287" s="30">
        <f t="shared" si="234"/>
        <v>0</v>
      </c>
      <c r="AG287" s="30">
        <f t="shared" si="235"/>
        <v>0</v>
      </c>
      <c r="AH287" s="30">
        <f t="shared" si="236"/>
        <v>0</v>
      </c>
      <c r="AI287" s="24" t="s">
        <v>1024</v>
      </c>
      <c r="AJ287" s="14">
        <f t="shared" si="237"/>
        <v>0</v>
      </c>
      <c r="AK287" s="14">
        <f t="shared" si="238"/>
        <v>0</v>
      </c>
      <c r="AL287" s="14">
        <f t="shared" si="239"/>
        <v>0</v>
      </c>
      <c r="AN287" s="30">
        <v>21</v>
      </c>
      <c r="AO287" s="30">
        <f t="shared" si="248"/>
        <v>0</v>
      </c>
      <c r="AP287" s="30">
        <f t="shared" si="249"/>
        <v>0</v>
      </c>
      <c r="AQ287" s="25" t="s">
        <v>7</v>
      </c>
      <c r="AV287" s="30">
        <f t="shared" si="240"/>
        <v>0</v>
      </c>
      <c r="AW287" s="30">
        <f t="shared" si="241"/>
        <v>0</v>
      </c>
      <c r="AX287" s="30">
        <f t="shared" si="242"/>
        <v>0</v>
      </c>
      <c r="AY287" s="31" t="s">
        <v>1056</v>
      </c>
      <c r="AZ287" s="31" t="s">
        <v>1067</v>
      </c>
      <c r="BA287" s="24" t="s">
        <v>1080</v>
      </c>
      <c r="BC287" s="30">
        <f t="shared" si="243"/>
        <v>0</v>
      </c>
      <c r="BD287" s="30">
        <f t="shared" si="244"/>
        <v>0</v>
      </c>
      <c r="BE287" s="30">
        <v>0</v>
      </c>
      <c r="BF287" s="30">
        <f>287</f>
        <v>287</v>
      </c>
      <c r="BH287" s="14">
        <f t="shared" si="245"/>
        <v>0</v>
      </c>
      <c r="BI287" s="14">
        <f t="shared" si="246"/>
        <v>0</v>
      </c>
      <c r="BJ287" s="14">
        <f t="shared" si="247"/>
        <v>0</v>
      </c>
    </row>
    <row r="288" spans="1:62" ht="12.75">
      <c r="A288" s="4" t="s">
        <v>246</v>
      </c>
      <c r="B288" s="4" t="s">
        <v>570</v>
      </c>
      <c r="C288" s="153" t="s">
        <v>911</v>
      </c>
      <c r="D288" s="154"/>
      <c r="E288" s="154"/>
      <c r="F288" s="4" t="s">
        <v>991</v>
      </c>
      <c r="G288" s="64">
        <v>6</v>
      </c>
      <c r="H288" s="82">
        <v>0</v>
      </c>
      <c r="I288" s="14">
        <f t="shared" si="226"/>
        <v>0</v>
      </c>
      <c r="J288" s="14">
        <f t="shared" si="227"/>
        <v>0</v>
      </c>
      <c r="K288" s="14">
        <f t="shared" si="228"/>
        <v>0</v>
      </c>
      <c r="L288" s="25"/>
      <c r="Z288" s="30">
        <f t="shared" si="229"/>
        <v>0</v>
      </c>
      <c r="AB288" s="30">
        <f t="shared" si="230"/>
        <v>0</v>
      </c>
      <c r="AC288" s="30">
        <f t="shared" si="231"/>
        <v>0</v>
      </c>
      <c r="AD288" s="30">
        <f t="shared" si="232"/>
        <v>0</v>
      </c>
      <c r="AE288" s="30">
        <f t="shared" si="233"/>
        <v>0</v>
      </c>
      <c r="AF288" s="30">
        <f t="shared" si="234"/>
        <v>0</v>
      </c>
      <c r="AG288" s="30">
        <f t="shared" si="235"/>
        <v>0</v>
      </c>
      <c r="AH288" s="30">
        <f t="shared" si="236"/>
        <v>0</v>
      </c>
      <c r="AI288" s="24" t="s">
        <v>1024</v>
      </c>
      <c r="AJ288" s="14">
        <f t="shared" si="237"/>
        <v>0</v>
      </c>
      <c r="AK288" s="14">
        <f t="shared" si="238"/>
        <v>0</v>
      </c>
      <c r="AL288" s="14">
        <f t="shared" si="239"/>
        <v>0</v>
      </c>
      <c r="AN288" s="30">
        <v>21</v>
      </c>
      <c r="AO288" s="30">
        <f t="shared" si="248"/>
        <v>0</v>
      </c>
      <c r="AP288" s="30">
        <f t="shared" si="249"/>
        <v>0</v>
      </c>
      <c r="AQ288" s="25" t="s">
        <v>7</v>
      </c>
      <c r="AV288" s="30">
        <f t="shared" si="240"/>
        <v>0</v>
      </c>
      <c r="AW288" s="30">
        <f t="shared" si="241"/>
        <v>0</v>
      </c>
      <c r="AX288" s="30">
        <f t="shared" si="242"/>
        <v>0</v>
      </c>
      <c r="AY288" s="31" t="s">
        <v>1056</v>
      </c>
      <c r="AZ288" s="31" t="s">
        <v>1067</v>
      </c>
      <c r="BA288" s="24" t="s">
        <v>1080</v>
      </c>
      <c r="BC288" s="30">
        <f t="shared" si="243"/>
        <v>0</v>
      </c>
      <c r="BD288" s="30">
        <f t="shared" si="244"/>
        <v>0</v>
      </c>
      <c r="BE288" s="30">
        <v>0</v>
      </c>
      <c r="BF288" s="30">
        <f>288</f>
        <v>288</v>
      </c>
      <c r="BH288" s="14">
        <f t="shared" si="245"/>
        <v>0</v>
      </c>
      <c r="BI288" s="14">
        <f t="shared" si="246"/>
        <v>0</v>
      </c>
      <c r="BJ288" s="14">
        <f t="shared" si="247"/>
        <v>0</v>
      </c>
    </row>
    <row r="289" spans="1:62" ht="12.75">
      <c r="A289" s="4" t="s">
        <v>247</v>
      </c>
      <c r="B289" s="4" t="s">
        <v>571</v>
      </c>
      <c r="C289" s="153" t="s">
        <v>912</v>
      </c>
      <c r="D289" s="154"/>
      <c r="E289" s="154"/>
      <c r="F289" s="4" t="s">
        <v>995</v>
      </c>
      <c r="G289" s="64">
        <v>155</v>
      </c>
      <c r="H289" s="82">
        <v>0</v>
      </c>
      <c r="I289" s="14">
        <f t="shared" si="226"/>
        <v>0</v>
      </c>
      <c r="J289" s="14">
        <f t="shared" si="227"/>
        <v>0</v>
      </c>
      <c r="K289" s="14">
        <f t="shared" si="228"/>
        <v>0</v>
      </c>
      <c r="L289" s="25"/>
      <c r="Z289" s="30">
        <f t="shared" si="229"/>
        <v>0</v>
      </c>
      <c r="AB289" s="30">
        <f t="shared" si="230"/>
        <v>0</v>
      </c>
      <c r="AC289" s="30">
        <f t="shared" si="231"/>
        <v>0</v>
      </c>
      <c r="AD289" s="30">
        <f t="shared" si="232"/>
        <v>0</v>
      </c>
      <c r="AE289" s="30">
        <f t="shared" si="233"/>
        <v>0</v>
      </c>
      <c r="AF289" s="30">
        <f t="shared" si="234"/>
        <v>0</v>
      </c>
      <c r="AG289" s="30">
        <f t="shared" si="235"/>
        <v>0</v>
      </c>
      <c r="AH289" s="30">
        <f t="shared" si="236"/>
        <v>0</v>
      </c>
      <c r="AI289" s="24" t="s">
        <v>1024</v>
      </c>
      <c r="AJ289" s="14">
        <f t="shared" si="237"/>
        <v>0</v>
      </c>
      <c r="AK289" s="14">
        <f t="shared" si="238"/>
        <v>0</v>
      </c>
      <c r="AL289" s="14">
        <f t="shared" si="239"/>
        <v>0</v>
      </c>
      <c r="AN289" s="30">
        <v>21</v>
      </c>
      <c r="AO289" s="30">
        <f t="shared" si="248"/>
        <v>0</v>
      </c>
      <c r="AP289" s="30">
        <f t="shared" si="249"/>
        <v>0</v>
      </c>
      <c r="AQ289" s="25" t="s">
        <v>7</v>
      </c>
      <c r="AV289" s="30">
        <f t="shared" si="240"/>
        <v>0</v>
      </c>
      <c r="AW289" s="30">
        <f t="shared" si="241"/>
        <v>0</v>
      </c>
      <c r="AX289" s="30">
        <f t="shared" si="242"/>
        <v>0</v>
      </c>
      <c r="AY289" s="31" t="s">
        <v>1056</v>
      </c>
      <c r="AZ289" s="31" t="s">
        <v>1067</v>
      </c>
      <c r="BA289" s="24" t="s">
        <v>1080</v>
      </c>
      <c r="BC289" s="30">
        <f t="shared" si="243"/>
        <v>0</v>
      </c>
      <c r="BD289" s="30">
        <f t="shared" si="244"/>
        <v>0</v>
      </c>
      <c r="BE289" s="30">
        <v>0</v>
      </c>
      <c r="BF289" s="30">
        <f>289</f>
        <v>289</v>
      </c>
      <c r="BH289" s="14">
        <f t="shared" si="245"/>
        <v>0</v>
      </c>
      <c r="BI289" s="14">
        <f t="shared" si="246"/>
        <v>0</v>
      </c>
      <c r="BJ289" s="14">
        <f t="shared" si="247"/>
        <v>0</v>
      </c>
    </row>
    <row r="290" spans="1:62" ht="12.75">
      <c r="A290" s="4" t="s">
        <v>248</v>
      </c>
      <c r="B290" s="4" t="s">
        <v>572</v>
      </c>
      <c r="C290" s="153" t="s">
        <v>913</v>
      </c>
      <c r="D290" s="154"/>
      <c r="E290" s="154"/>
      <c r="F290" s="4" t="s">
        <v>995</v>
      </c>
      <c r="G290" s="64">
        <v>9</v>
      </c>
      <c r="H290" s="82">
        <v>0</v>
      </c>
      <c r="I290" s="14">
        <f t="shared" si="226"/>
        <v>0</v>
      </c>
      <c r="J290" s="14">
        <f t="shared" si="227"/>
        <v>0</v>
      </c>
      <c r="K290" s="14">
        <f t="shared" si="228"/>
        <v>0</v>
      </c>
      <c r="L290" s="25"/>
      <c r="Z290" s="30">
        <f t="shared" si="229"/>
        <v>0</v>
      </c>
      <c r="AB290" s="30">
        <f t="shared" si="230"/>
        <v>0</v>
      </c>
      <c r="AC290" s="30">
        <f t="shared" si="231"/>
        <v>0</v>
      </c>
      <c r="AD290" s="30">
        <f t="shared" si="232"/>
        <v>0</v>
      </c>
      <c r="AE290" s="30">
        <f t="shared" si="233"/>
        <v>0</v>
      </c>
      <c r="AF290" s="30">
        <f t="shared" si="234"/>
        <v>0</v>
      </c>
      <c r="AG290" s="30">
        <f t="shared" si="235"/>
        <v>0</v>
      </c>
      <c r="AH290" s="30">
        <f t="shared" si="236"/>
        <v>0</v>
      </c>
      <c r="AI290" s="24" t="s">
        <v>1024</v>
      </c>
      <c r="AJ290" s="14">
        <f t="shared" si="237"/>
        <v>0</v>
      </c>
      <c r="AK290" s="14">
        <f t="shared" si="238"/>
        <v>0</v>
      </c>
      <c r="AL290" s="14">
        <f t="shared" si="239"/>
        <v>0</v>
      </c>
      <c r="AN290" s="30">
        <v>21</v>
      </c>
      <c r="AO290" s="30">
        <f t="shared" si="248"/>
        <v>0</v>
      </c>
      <c r="AP290" s="30">
        <f t="shared" si="249"/>
        <v>0</v>
      </c>
      <c r="AQ290" s="25" t="s">
        <v>7</v>
      </c>
      <c r="AV290" s="30">
        <f t="shared" si="240"/>
        <v>0</v>
      </c>
      <c r="AW290" s="30">
        <f t="shared" si="241"/>
        <v>0</v>
      </c>
      <c r="AX290" s="30">
        <f t="shared" si="242"/>
        <v>0</v>
      </c>
      <c r="AY290" s="31" t="s">
        <v>1056</v>
      </c>
      <c r="AZ290" s="31" t="s">
        <v>1067</v>
      </c>
      <c r="BA290" s="24" t="s">
        <v>1080</v>
      </c>
      <c r="BC290" s="30">
        <f t="shared" si="243"/>
        <v>0</v>
      </c>
      <c r="BD290" s="30">
        <f t="shared" si="244"/>
        <v>0</v>
      </c>
      <c r="BE290" s="30">
        <v>0</v>
      </c>
      <c r="BF290" s="30">
        <f>290</f>
        <v>290</v>
      </c>
      <c r="BH290" s="14">
        <f t="shared" si="245"/>
        <v>0</v>
      </c>
      <c r="BI290" s="14">
        <f t="shared" si="246"/>
        <v>0</v>
      </c>
      <c r="BJ290" s="14">
        <f t="shared" si="247"/>
        <v>0</v>
      </c>
    </row>
    <row r="291" spans="1:62" ht="12.75">
      <c r="A291" s="4" t="s">
        <v>249</v>
      </c>
      <c r="B291" s="4" t="s">
        <v>573</v>
      </c>
      <c r="C291" s="153" t="s">
        <v>914</v>
      </c>
      <c r="D291" s="154"/>
      <c r="E291" s="154"/>
      <c r="F291" s="4" t="s">
        <v>995</v>
      </c>
      <c r="G291" s="64">
        <v>21</v>
      </c>
      <c r="H291" s="82">
        <v>0</v>
      </c>
      <c r="I291" s="14">
        <f t="shared" si="226"/>
        <v>0</v>
      </c>
      <c r="J291" s="14">
        <f t="shared" si="227"/>
        <v>0</v>
      </c>
      <c r="K291" s="14">
        <f t="shared" si="228"/>
        <v>0</v>
      </c>
      <c r="L291" s="25"/>
      <c r="Z291" s="30">
        <f t="shared" si="229"/>
        <v>0</v>
      </c>
      <c r="AB291" s="30">
        <f t="shared" si="230"/>
        <v>0</v>
      </c>
      <c r="AC291" s="30">
        <f t="shared" si="231"/>
        <v>0</v>
      </c>
      <c r="AD291" s="30">
        <f t="shared" si="232"/>
        <v>0</v>
      </c>
      <c r="AE291" s="30">
        <f t="shared" si="233"/>
        <v>0</v>
      </c>
      <c r="AF291" s="30">
        <f t="shared" si="234"/>
        <v>0</v>
      </c>
      <c r="AG291" s="30">
        <f t="shared" si="235"/>
        <v>0</v>
      </c>
      <c r="AH291" s="30">
        <f t="shared" si="236"/>
        <v>0</v>
      </c>
      <c r="AI291" s="24" t="s">
        <v>1024</v>
      </c>
      <c r="AJ291" s="14">
        <f t="shared" si="237"/>
        <v>0</v>
      </c>
      <c r="AK291" s="14">
        <f t="shared" si="238"/>
        <v>0</v>
      </c>
      <c r="AL291" s="14">
        <f t="shared" si="239"/>
        <v>0</v>
      </c>
      <c r="AN291" s="30">
        <v>21</v>
      </c>
      <c r="AO291" s="30">
        <f t="shared" si="248"/>
        <v>0</v>
      </c>
      <c r="AP291" s="30">
        <f t="shared" si="249"/>
        <v>0</v>
      </c>
      <c r="AQ291" s="25" t="s">
        <v>7</v>
      </c>
      <c r="AV291" s="30">
        <f t="shared" si="240"/>
        <v>0</v>
      </c>
      <c r="AW291" s="30">
        <f t="shared" si="241"/>
        <v>0</v>
      </c>
      <c r="AX291" s="30">
        <f t="shared" si="242"/>
        <v>0</v>
      </c>
      <c r="AY291" s="31" t="s">
        <v>1056</v>
      </c>
      <c r="AZ291" s="31" t="s">
        <v>1067</v>
      </c>
      <c r="BA291" s="24" t="s">
        <v>1080</v>
      </c>
      <c r="BC291" s="30">
        <f t="shared" si="243"/>
        <v>0</v>
      </c>
      <c r="BD291" s="30">
        <f t="shared" si="244"/>
        <v>0</v>
      </c>
      <c r="BE291" s="30">
        <v>0</v>
      </c>
      <c r="BF291" s="30">
        <f>291</f>
        <v>291</v>
      </c>
      <c r="BH291" s="14">
        <f t="shared" si="245"/>
        <v>0</v>
      </c>
      <c r="BI291" s="14">
        <f t="shared" si="246"/>
        <v>0</v>
      </c>
      <c r="BJ291" s="14">
        <f t="shared" si="247"/>
        <v>0</v>
      </c>
    </row>
    <row r="292" spans="1:62" ht="12.75">
      <c r="A292" s="4" t="s">
        <v>250</v>
      </c>
      <c r="B292" s="4" t="s">
        <v>574</v>
      </c>
      <c r="C292" s="153" t="s">
        <v>915</v>
      </c>
      <c r="D292" s="154"/>
      <c r="E292" s="154"/>
      <c r="F292" s="4" t="s">
        <v>995</v>
      </c>
      <c r="G292" s="64">
        <v>130</v>
      </c>
      <c r="H292" s="82">
        <v>0</v>
      </c>
      <c r="I292" s="14">
        <f t="shared" si="226"/>
        <v>0</v>
      </c>
      <c r="J292" s="14">
        <f t="shared" si="227"/>
        <v>0</v>
      </c>
      <c r="K292" s="14">
        <f t="shared" si="228"/>
        <v>0</v>
      </c>
      <c r="L292" s="25"/>
      <c r="Z292" s="30">
        <f t="shared" si="229"/>
        <v>0</v>
      </c>
      <c r="AB292" s="30">
        <f t="shared" si="230"/>
        <v>0</v>
      </c>
      <c r="AC292" s="30">
        <f t="shared" si="231"/>
        <v>0</v>
      </c>
      <c r="AD292" s="30">
        <f t="shared" si="232"/>
        <v>0</v>
      </c>
      <c r="AE292" s="30">
        <f t="shared" si="233"/>
        <v>0</v>
      </c>
      <c r="AF292" s="30">
        <f t="shared" si="234"/>
        <v>0</v>
      </c>
      <c r="AG292" s="30">
        <f t="shared" si="235"/>
        <v>0</v>
      </c>
      <c r="AH292" s="30">
        <f t="shared" si="236"/>
        <v>0</v>
      </c>
      <c r="AI292" s="24" t="s">
        <v>1024</v>
      </c>
      <c r="AJ292" s="14">
        <f t="shared" si="237"/>
        <v>0</v>
      </c>
      <c r="AK292" s="14">
        <f t="shared" si="238"/>
        <v>0</v>
      </c>
      <c r="AL292" s="14">
        <f t="shared" si="239"/>
        <v>0</v>
      </c>
      <c r="AN292" s="30">
        <v>21</v>
      </c>
      <c r="AO292" s="30">
        <f t="shared" si="248"/>
        <v>0</v>
      </c>
      <c r="AP292" s="30">
        <f t="shared" si="249"/>
        <v>0</v>
      </c>
      <c r="AQ292" s="25" t="s">
        <v>7</v>
      </c>
      <c r="AV292" s="30">
        <f t="shared" si="240"/>
        <v>0</v>
      </c>
      <c r="AW292" s="30">
        <f t="shared" si="241"/>
        <v>0</v>
      </c>
      <c r="AX292" s="30">
        <f t="shared" si="242"/>
        <v>0</v>
      </c>
      <c r="AY292" s="31" t="s">
        <v>1056</v>
      </c>
      <c r="AZ292" s="31" t="s">
        <v>1067</v>
      </c>
      <c r="BA292" s="24" t="s">
        <v>1080</v>
      </c>
      <c r="BC292" s="30">
        <f t="shared" si="243"/>
        <v>0</v>
      </c>
      <c r="BD292" s="30">
        <f t="shared" si="244"/>
        <v>0</v>
      </c>
      <c r="BE292" s="30">
        <v>0</v>
      </c>
      <c r="BF292" s="30">
        <f>292</f>
        <v>292</v>
      </c>
      <c r="BH292" s="14">
        <f t="shared" si="245"/>
        <v>0</v>
      </c>
      <c r="BI292" s="14">
        <f t="shared" si="246"/>
        <v>0</v>
      </c>
      <c r="BJ292" s="14">
        <f t="shared" si="247"/>
        <v>0</v>
      </c>
    </row>
    <row r="293" spans="1:62" ht="12.75">
      <c r="A293" s="4" t="s">
        <v>251</v>
      </c>
      <c r="B293" s="4" t="s">
        <v>575</v>
      </c>
      <c r="C293" s="153" t="s">
        <v>916</v>
      </c>
      <c r="D293" s="154"/>
      <c r="E293" s="154"/>
      <c r="F293" s="4" t="s">
        <v>991</v>
      </c>
      <c r="G293" s="64">
        <v>1</v>
      </c>
      <c r="H293" s="82">
        <v>0</v>
      </c>
      <c r="I293" s="14">
        <f t="shared" si="226"/>
        <v>0</v>
      </c>
      <c r="J293" s="14">
        <f t="shared" si="227"/>
        <v>0</v>
      </c>
      <c r="K293" s="14">
        <f t="shared" si="228"/>
        <v>0</v>
      </c>
      <c r="L293" s="25"/>
      <c r="Z293" s="30">
        <f t="shared" si="229"/>
        <v>0</v>
      </c>
      <c r="AB293" s="30">
        <f t="shared" si="230"/>
        <v>0</v>
      </c>
      <c r="AC293" s="30">
        <f t="shared" si="231"/>
        <v>0</v>
      </c>
      <c r="AD293" s="30">
        <f t="shared" si="232"/>
        <v>0</v>
      </c>
      <c r="AE293" s="30">
        <f t="shared" si="233"/>
        <v>0</v>
      </c>
      <c r="AF293" s="30">
        <f t="shared" si="234"/>
        <v>0</v>
      </c>
      <c r="AG293" s="30">
        <f t="shared" si="235"/>
        <v>0</v>
      </c>
      <c r="AH293" s="30">
        <f t="shared" si="236"/>
        <v>0</v>
      </c>
      <c r="AI293" s="24" t="s">
        <v>1024</v>
      </c>
      <c r="AJ293" s="14">
        <f t="shared" si="237"/>
        <v>0</v>
      </c>
      <c r="AK293" s="14">
        <f t="shared" si="238"/>
        <v>0</v>
      </c>
      <c r="AL293" s="14">
        <f t="shared" si="239"/>
        <v>0</v>
      </c>
      <c r="AN293" s="30">
        <v>21</v>
      </c>
      <c r="AO293" s="30">
        <f t="shared" si="248"/>
        <v>0</v>
      </c>
      <c r="AP293" s="30">
        <f t="shared" si="249"/>
        <v>0</v>
      </c>
      <c r="AQ293" s="25" t="s">
        <v>7</v>
      </c>
      <c r="AV293" s="30">
        <f t="shared" si="240"/>
        <v>0</v>
      </c>
      <c r="AW293" s="30">
        <f t="shared" si="241"/>
        <v>0</v>
      </c>
      <c r="AX293" s="30">
        <f t="shared" si="242"/>
        <v>0</v>
      </c>
      <c r="AY293" s="31" t="s">
        <v>1056</v>
      </c>
      <c r="AZ293" s="31" t="s">
        <v>1067</v>
      </c>
      <c r="BA293" s="24" t="s">
        <v>1080</v>
      </c>
      <c r="BC293" s="30">
        <f t="shared" si="243"/>
        <v>0</v>
      </c>
      <c r="BD293" s="30">
        <f t="shared" si="244"/>
        <v>0</v>
      </c>
      <c r="BE293" s="30">
        <v>0</v>
      </c>
      <c r="BF293" s="30">
        <f>293</f>
        <v>293</v>
      </c>
      <c r="BH293" s="14">
        <f t="shared" si="245"/>
        <v>0</v>
      </c>
      <c r="BI293" s="14">
        <f t="shared" si="246"/>
        <v>0</v>
      </c>
      <c r="BJ293" s="14">
        <f t="shared" si="247"/>
        <v>0</v>
      </c>
    </row>
    <row r="294" spans="1:62" ht="12.75">
      <c r="A294" s="4" t="s">
        <v>252</v>
      </c>
      <c r="B294" s="4" t="s">
        <v>576</v>
      </c>
      <c r="C294" s="153" t="s">
        <v>917</v>
      </c>
      <c r="D294" s="154"/>
      <c r="E294" s="154"/>
      <c r="F294" s="4" t="s">
        <v>991</v>
      </c>
      <c r="G294" s="64">
        <v>1</v>
      </c>
      <c r="H294" s="82">
        <v>0</v>
      </c>
      <c r="I294" s="14">
        <f t="shared" si="226"/>
        <v>0</v>
      </c>
      <c r="J294" s="14">
        <f t="shared" si="227"/>
        <v>0</v>
      </c>
      <c r="K294" s="14">
        <f t="shared" si="228"/>
        <v>0</v>
      </c>
      <c r="L294" s="25"/>
      <c r="Z294" s="30">
        <f t="shared" si="229"/>
        <v>0</v>
      </c>
      <c r="AB294" s="30">
        <f t="shared" si="230"/>
        <v>0</v>
      </c>
      <c r="AC294" s="30">
        <f t="shared" si="231"/>
        <v>0</v>
      </c>
      <c r="AD294" s="30">
        <f t="shared" si="232"/>
        <v>0</v>
      </c>
      <c r="AE294" s="30">
        <f t="shared" si="233"/>
        <v>0</v>
      </c>
      <c r="AF294" s="30">
        <f t="shared" si="234"/>
        <v>0</v>
      </c>
      <c r="AG294" s="30">
        <f t="shared" si="235"/>
        <v>0</v>
      </c>
      <c r="AH294" s="30">
        <f t="shared" si="236"/>
        <v>0</v>
      </c>
      <c r="AI294" s="24" t="s">
        <v>1024</v>
      </c>
      <c r="AJ294" s="14">
        <f t="shared" si="237"/>
        <v>0</v>
      </c>
      <c r="AK294" s="14">
        <f t="shared" si="238"/>
        <v>0</v>
      </c>
      <c r="AL294" s="14">
        <f t="shared" si="239"/>
        <v>0</v>
      </c>
      <c r="AN294" s="30">
        <v>21</v>
      </c>
      <c r="AO294" s="30">
        <f t="shared" si="248"/>
        <v>0</v>
      </c>
      <c r="AP294" s="30">
        <f t="shared" si="249"/>
        <v>0</v>
      </c>
      <c r="AQ294" s="25" t="s">
        <v>7</v>
      </c>
      <c r="AV294" s="30">
        <f t="shared" si="240"/>
        <v>0</v>
      </c>
      <c r="AW294" s="30">
        <f t="shared" si="241"/>
        <v>0</v>
      </c>
      <c r="AX294" s="30">
        <f t="shared" si="242"/>
        <v>0</v>
      </c>
      <c r="AY294" s="31" t="s">
        <v>1056</v>
      </c>
      <c r="AZ294" s="31" t="s">
        <v>1067</v>
      </c>
      <c r="BA294" s="24" t="s">
        <v>1080</v>
      </c>
      <c r="BC294" s="30">
        <f t="shared" si="243"/>
        <v>0</v>
      </c>
      <c r="BD294" s="30">
        <f t="shared" si="244"/>
        <v>0</v>
      </c>
      <c r="BE294" s="30">
        <v>0</v>
      </c>
      <c r="BF294" s="30">
        <f>294</f>
        <v>294</v>
      </c>
      <c r="BH294" s="14">
        <f t="shared" si="245"/>
        <v>0</v>
      </c>
      <c r="BI294" s="14">
        <f t="shared" si="246"/>
        <v>0</v>
      </c>
      <c r="BJ294" s="14">
        <f t="shared" si="247"/>
        <v>0</v>
      </c>
    </row>
    <row r="295" spans="1:62" ht="12.75">
      <c r="A295" s="4" t="s">
        <v>253</v>
      </c>
      <c r="B295" s="4" t="s">
        <v>577</v>
      </c>
      <c r="C295" s="153" t="s">
        <v>918</v>
      </c>
      <c r="D295" s="154"/>
      <c r="E295" s="154"/>
      <c r="F295" s="4" t="s">
        <v>991</v>
      </c>
      <c r="G295" s="64">
        <v>1</v>
      </c>
      <c r="H295" s="82">
        <v>0</v>
      </c>
      <c r="I295" s="14">
        <f t="shared" si="226"/>
        <v>0</v>
      </c>
      <c r="J295" s="14">
        <f t="shared" si="227"/>
        <v>0</v>
      </c>
      <c r="K295" s="14">
        <f t="shared" si="228"/>
        <v>0</v>
      </c>
      <c r="L295" s="25"/>
      <c r="Z295" s="30">
        <f t="shared" si="229"/>
        <v>0</v>
      </c>
      <c r="AB295" s="30">
        <f t="shared" si="230"/>
        <v>0</v>
      </c>
      <c r="AC295" s="30">
        <f t="shared" si="231"/>
        <v>0</v>
      </c>
      <c r="AD295" s="30">
        <f t="shared" si="232"/>
        <v>0</v>
      </c>
      <c r="AE295" s="30">
        <f t="shared" si="233"/>
        <v>0</v>
      </c>
      <c r="AF295" s="30">
        <f t="shared" si="234"/>
        <v>0</v>
      </c>
      <c r="AG295" s="30">
        <f t="shared" si="235"/>
        <v>0</v>
      </c>
      <c r="AH295" s="30">
        <f t="shared" si="236"/>
        <v>0</v>
      </c>
      <c r="AI295" s="24" t="s">
        <v>1024</v>
      </c>
      <c r="AJ295" s="14">
        <f t="shared" si="237"/>
        <v>0</v>
      </c>
      <c r="AK295" s="14">
        <f t="shared" si="238"/>
        <v>0</v>
      </c>
      <c r="AL295" s="14">
        <f t="shared" si="239"/>
        <v>0</v>
      </c>
      <c r="AN295" s="30">
        <v>21</v>
      </c>
      <c r="AO295" s="30">
        <f>H295*0</f>
        <v>0</v>
      </c>
      <c r="AP295" s="30">
        <f>H295*(1-0)</f>
        <v>0</v>
      </c>
      <c r="AQ295" s="25" t="s">
        <v>7</v>
      </c>
      <c r="AV295" s="30">
        <f t="shared" si="240"/>
        <v>0</v>
      </c>
      <c r="AW295" s="30">
        <f t="shared" si="241"/>
        <v>0</v>
      </c>
      <c r="AX295" s="30">
        <f t="shared" si="242"/>
        <v>0</v>
      </c>
      <c r="AY295" s="31" t="s">
        <v>1056</v>
      </c>
      <c r="AZ295" s="31" t="s">
        <v>1067</v>
      </c>
      <c r="BA295" s="24" t="s">
        <v>1080</v>
      </c>
      <c r="BC295" s="30">
        <f t="shared" si="243"/>
        <v>0</v>
      </c>
      <c r="BD295" s="30">
        <f t="shared" si="244"/>
        <v>0</v>
      </c>
      <c r="BE295" s="30">
        <v>0</v>
      </c>
      <c r="BF295" s="30">
        <f>295</f>
        <v>295</v>
      </c>
      <c r="BH295" s="14">
        <f t="shared" si="245"/>
        <v>0</v>
      </c>
      <c r="BI295" s="14">
        <f t="shared" si="246"/>
        <v>0</v>
      </c>
      <c r="BJ295" s="14">
        <f t="shared" si="247"/>
        <v>0</v>
      </c>
    </row>
    <row r="296" spans="1:62" ht="12.75">
      <c r="A296" s="4" t="s">
        <v>254</v>
      </c>
      <c r="B296" s="4" t="s">
        <v>578</v>
      </c>
      <c r="C296" s="153" t="s">
        <v>919</v>
      </c>
      <c r="D296" s="154"/>
      <c r="E296" s="154"/>
      <c r="F296" s="4" t="s">
        <v>991</v>
      </c>
      <c r="G296" s="64">
        <v>1</v>
      </c>
      <c r="H296" s="82">
        <v>0</v>
      </c>
      <c r="I296" s="14">
        <f t="shared" si="226"/>
        <v>0</v>
      </c>
      <c r="J296" s="14">
        <f t="shared" si="227"/>
        <v>0</v>
      </c>
      <c r="K296" s="14">
        <f t="shared" si="228"/>
        <v>0</v>
      </c>
      <c r="L296" s="25"/>
      <c r="Z296" s="30">
        <f t="shared" si="229"/>
        <v>0</v>
      </c>
      <c r="AB296" s="30">
        <f t="shared" si="230"/>
        <v>0</v>
      </c>
      <c r="AC296" s="30">
        <f t="shared" si="231"/>
        <v>0</v>
      </c>
      <c r="AD296" s="30">
        <f t="shared" si="232"/>
        <v>0</v>
      </c>
      <c r="AE296" s="30">
        <f t="shared" si="233"/>
        <v>0</v>
      </c>
      <c r="AF296" s="30">
        <f t="shared" si="234"/>
        <v>0</v>
      </c>
      <c r="AG296" s="30">
        <f t="shared" si="235"/>
        <v>0</v>
      </c>
      <c r="AH296" s="30">
        <f t="shared" si="236"/>
        <v>0</v>
      </c>
      <c r="AI296" s="24" t="s">
        <v>1024</v>
      </c>
      <c r="AJ296" s="14">
        <f t="shared" si="237"/>
        <v>0</v>
      </c>
      <c r="AK296" s="14">
        <f t="shared" si="238"/>
        <v>0</v>
      </c>
      <c r="AL296" s="14">
        <f t="shared" si="239"/>
        <v>0</v>
      </c>
      <c r="AN296" s="30">
        <v>21</v>
      </c>
      <c r="AO296" s="30">
        <f>H296*0</f>
        <v>0</v>
      </c>
      <c r="AP296" s="30">
        <f>H296*(1-0)</f>
        <v>0</v>
      </c>
      <c r="AQ296" s="25" t="s">
        <v>7</v>
      </c>
      <c r="AV296" s="30">
        <f t="shared" si="240"/>
        <v>0</v>
      </c>
      <c r="AW296" s="30">
        <f t="shared" si="241"/>
        <v>0</v>
      </c>
      <c r="AX296" s="30">
        <f t="shared" si="242"/>
        <v>0</v>
      </c>
      <c r="AY296" s="31" t="s">
        <v>1056</v>
      </c>
      <c r="AZ296" s="31" t="s">
        <v>1067</v>
      </c>
      <c r="BA296" s="24" t="s">
        <v>1080</v>
      </c>
      <c r="BC296" s="30">
        <f t="shared" si="243"/>
        <v>0</v>
      </c>
      <c r="BD296" s="30">
        <f t="shared" si="244"/>
        <v>0</v>
      </c>
      <c r="BE296" s="30">
        <v>0</v>
      </c>
      <c r="BF296" s="30">
        <f>296</f>
        <v>296</v>
      </c>
      <c r="BH296" s="14">
        <f t="shared" si="245"/>
        <v>0</v>
      </c>
      <c r="BI296" s="14">
        <f t="shared" si="246"/>
        <v>0</v>
      </c>
      <c r="BJ296" s="14">
        <f t="shared" si="247"/>
        <v>0</v>
      </c>
    </row>
    <row r="297" spans="1:62" ht="12.75">
      <c r="A297" s="4" t="s">
        <v>255</v>
      </c>
      <c r="B297" s="4" t="s">
        <v>579</v>
      </c>
      <c r="C297" s="153" t="s">
        <v>920</v>
      </c>
      <c r="D297" s="154"/>
      <c r="E297" s="154"/>
      <c r="F297" s="4" t="s">
        <v>991</v>
      </c>
      <c r="G297" s="64">
        <v>1</v>
      </c>
      <c r="H297" s="82">
        <v>0</v>
      </c>
      <c r="I297" s="14">
        <f t="shared" si="226"/>
        <v>0</v>
      </c>
      <c r="J297" s="14">
        <f t="shared" si="227"/>
        <v>0</v>
      </c>
      <c r="K297" s="14">
        <f t="shared" si="228"/>
        <v>0</v>
      </c>
      <c r="L297" s="25"/>
      <c r="Z297" s="30">
        <f t="shared" si="229"/>
        <v>0</v>
      </c>
      <c r="AB297" s="30">
        <f t="shared" si="230"/>
        <v>0</v>
      </c>
      <c r="AC297" s="30">
        <f t="shared" si="231"/>
        <v>0</v>
      </c>
      <c r="AD297" s="30">
        <f t="shared" si="232"/>
        <v>0</v>
      </c>
      <c r="AE297" s="30">
        <f t="shared" si="233"/>
        <v>0</v>
      </c>
      <c r="AF297" s="30">
        <f t="shared" si="234"/>
        <v>0</v>
      </c>
      <c r="AG297" s="30">
        <f t="shared" si="235"/>
        <v>0</v>
      </c>
      <c r="AH297" s="30">
        <f t="shared" si="236"/>
        <v>0</v>
      </c>
      <c r="AI297" s="24" t="s">
        <v>1024</v>
      </c>
      <c r="AJ297" s="14">
        <f t="shared" si="237"/>
        <v>0</v>
      </c>
      <c r="AK297" s="14">
        <f t="shared" si="238"/>
        <v>0</v>
      </c>
      <c r="AL297" s="14">
        <f t="shared" si="239"/>
        <v>0</v>
      </c>
      <c r="AN297" s="30">
        <v>21</v>
      </c>
      <c r="AO297" s="30">
        <f>H297*0</f>
        <v>0</v>
      </c>
      <c r="AP297" s="30">
        <f>H297*(1-0)</f>
        <v>0</v>
      </c>
      <c r="AQ297" s="25" t="s">
        <v>7</v>
      </c>
      <c r="AV297" s="30">
        <f t="shared" si="240"/>
        <v>0</v>
      </c>
      <c r="AW297" s="30">
        <f t="shared" si="241"/>
        <v>0</v>
      </c>
      <c r="AX297" s="30">
        <f t="shared" si="242"/>
        <v>0</v>
      </c>
      <c r="AY297" s="31" t="s">
        <v>1056</v>
      </c>
      <c r="AZ297" s="31" t="s">
        <v>1067</v>
      </c>
      <c r="BA297" s="24" t="s">
        <v>1080</v>
      </c>
      <c r="BC297" s="30">
        <f t="shared" si="243"/>
        <v>0</v>
      </c>
      <c r="BD297" s="30">
        <f t="shared" si="244"/>
        <v>0</v>
      </c>
      <c r="BE297" s="30">
        <v>0</v>
      </c>
      <c r="BF297" s="30">
        <f>297</f>
        <v>297</v>
      </c>
      <c r="BH297" s="14">
        <f t="shared" si="245"/>
        <v>0</v>
      </c>
      <c r="BI297" s="14">
        <f t="shared" si="246"/>
        <v>0</v>
      </c>
      <c r="BJ297" s="14">
        <f t="shared" si="247"/>
        <v>0</v>
      </c>
    </row>
    <row r="298" spans="1:62" ht="12.75">
      <c r="A298" s="4" t="s">
        <v>256</v>
      </c>
      <c r="B298" s="4" t="s">
        <v>580</v>
      </c>
      <c r="C298" s="153" t="s">
        <v>921</v>
      </c>
      <c r="D298" s="154"/>
      <c r="E298" s="154"/>
      <c r="F298" s="4" t="s">
        <v>991</v>
      </c>
      <c r="G298" s="64">
        <v>1</v>
      </c>
      <c r="H298" s="82">
        <v>0</v>
      </c>
      <c r="I298" s="14">
        <f t="shared" si="226"/>
        <v>0</v>
      </c>
      <c r="J298" s="14">
        <f t="shared" si="227"/>
        <v>0</v>
      </c>
      <c r="K298" s="14">
        <f t="shared" si="228"/>
        <v>0</v>
      </c>
      <c r="L298" s="25"/>
      <c r="Z298" s="30">
        <f t="shared" si="229"/>
        <v>0</v>
      </c>
      <c r="AB298" s="30">
        <f t="shared" si="230"/>
        <v>0</v>
      </c>
      <c r="AC298" s="30">
        <f t="shared" si="231"/>
        <v>0</v>
      </c>
      <c r="AD298" s="30">
        <f t="shared" si="232"/>
        <v>0</v>
      </c>
      <c r="AE298" s="30">
        <f t="shared" si="233"/>
        <v>0</v>
      </c>
      <c r="AF298" s="30">
        <f t="shared" si="234"/>
        <v>0</v>
      </c>
      <c r="AG298" s="30">
        <f t="shared" si="235"/>
        <v>0</v>
      </c>
      <c r="AH298" s="30">
        <f t="shared" si="236"/>
        <v>0</v>
      </c>
      <c r="AI298" s="24" t="s">
        <v>1024</v>
      </c>
      <c r="AJ298" s="14">
        <f t="shared" si="237"/>
        <v>0</v>
      </c>
      <c r="AK298" s="14">
        <f t="shared" si="238"/>
        <v>0</v>
      </c>
      <c r="AL298" s="14">
        <f t="shared" si="239"/>
        <v>0</v>
      </c>
      <c r="AN298" s="30">
        <v>21</v>
      </c>
      <c r="AO298" s="30">
        <f>H298*0</f>
        <v>0</v>
      </c>
      <c r="AP298" s="30">
        <f>H298*(1-0)</f>
        <v>0</v>
      </c>
      <c r="AQ298" s="25" t="s">
        <v>7</v>
      </c>
      <c r="AV298" s="30">
        <f t="shared" si="240"/>
        <v>0</v>
      </c>
      <c r="AW298" s="30">
        <f t="shared" si="241"/>
        <v>0</v>
      </c>
      <c r="AX298" s="30">
        <f t="shared" si="242"/>
        <v>0</v>
      </c>
      <c r="AY298" s="31" t="s">
        <v>1056</v>
      </c>
      <c r="AZ298" s="31" t="s">
        <v>1067</v>
      </c>
      <c r="BA298" s="24" t="s">
        <v>1080</v>
      </c>
      <c r="BC298" s="30">
        <f t="shared" si="243"/>
        <v>0</v>
      </c>
      <c r="BD298" s="30">
        <f t="shared" si="244"/>
        <v>0</v>
      </c>
      <c r="BE298" s="30">
        <v>0</v>
      </c>
      <c r="BF298" s="30">
        <f>298</f>
        <v>298</v>
      </c>
      <c r="BH298" s="14">
        <f t="shared" si="245"/>
        <v>0</v>
      </c>
      <c r="BI298" s="14">
        <f t="shared" si="246"/>
        <v>0</v>
      </c>
      <c r="BJ298" s="14">
        <f t="shared" si="247"/>
        <v>0</v>
      </c>
    </row>
    <row r="299" spans="1:47" ht="12.75">
      <c r="A299" s="3"/>
      <c r="B299" s="11" t="s">
        <v>581</v>
      </c>
      <c r="C299" s="151" t="s">
        <v>922</v>
      </c>
      <c r="D299" s="152"/>
      <c r="E299" s="152"/>
      <c r="F299" s="3" t="s">
        <v>6</v>
      </c>
      <c r="G299" s="3" t="s">
        <v>6</v>
      </c>
      <c r="H299" s="3" t="s">
        <v>6</v>
      </c>
      <c r="I299" s="32">
        <f>SUM(I300:I305)</f>
        <v>0</v>
      </c>
      <c r="J299" s="32">
        <f>SUM(J300:J305)</f>
        <v>0</v>
      </c>
      <c r="K299" s="32">
        <f>SUM(K300:K305)</f>
        <v>0</v>
      </c>
      <c r="L299" s="24"/>
      <c r="AI299" s="24" t="s">
        <v>1024</v>
      </c>
      <c r="AS299" s="32">
        <f>SUM(AJ300:AJ305)</f>
        <v>0</v>
      </c>
      <c r="AT299" s="32">
        <f>SUM(AK300:AK305)</f>
        <v>0</v>
      </c>
      <c r="AU299" s="32">
        <f>SUM(AL300:AL305)</f>
        <v>0</v>
      </c>
    </row>
    <row r="300" spans="1:62" ht="12.75">
      <c r="A300" s="4" t="s">
        <v>257</v>
      </c>
      <c r="B300" s="4" t="s">
        <v>582</v>
      </c>
      <c r="C300" s="153" t="s">
        <v>923</v>
      </c>
      <c r="D300" s="154"/>
      <c r="E300" s="154"/>
      <c r="F300" s="4" t="s">
        <v>991</v>
      </c>
      <c r="G300" s="64">
        <v>1</v>
      </c>
      <c r="H300" s="82">
        <v>0</v>
      </c>
      <c r="I300" s="14">
        <f aca="true" t="shared" si="250" ref="I300:I305">G300*AO300</f>
        <v>0</v>
      </c>
      <c r="J300" s="14">
        <f aca="true" t="shared" si="251" ref="J300:J305">G300*AP300</f>
        <v>0</v>
      </c>
      <c r="K300" s="14">
        <f aca="true" t="shared" si="252" ref="K300:K305">G300*H300</f>
        <v>0</v>
      </c>
      <c r="L300" s="25" t="s">
        <v>1014</v>
      </c>
      <c r="Z300" s="30">
        <f aca="true" t="shared" si="253" ref="Z300:Z305">IF(AQ300="5",BJ300,0)</f>
        <v>0</v>
      </c>
      <c r="AB300" s="30">
        <f aca="true" t="shared" si="254" ref="AB300:AB305">IF(AQ300="1",BH300,0)</f>
        <v>0</v>
      </c>
      <c r="AC300" s="30">
        <f aca="true" t="shared" si="255" ref="AC300:AC305">IF(AQ300="1",BI300,0)</f>
        <v>0</v>
      </c>
      <c r="AD300" s="30">
        <f aca="true" t="shared" si="256" ref="AD300:AD305">IF(AQ300="7",BH300,0)</f>
        <v>0</v>
      </c>
      <c r="AE300" s="30">
        <f aca="true" t="shared" si="257" ref="AE300:AE305">IF(AQ300="7",BI300,0)</f>
        <v>0</v>
      </c>
      <c r="AF300" s="30">
        <f aca="true" t="shared" si="258" ref="AF300:AF305">IF(AQ300="2",BH300,0)</f>
        <v>0</v>
      </c>
      <c r="AG300" s="30">
        <f aca="true" t="shared" si="259" ref="AG300:AG305">IF(AQ300="2",BI300,0)</f>
        <v>0</v>
      </c>
      <c r="AH300" s="30">
        <f aca="true" t="shared" si="260" ref="AH300:AH305">IF(AQ300="0",BJ300,0)</f>
        <v>0</v>
      </c>
      <c r="AI300" s="24" t="s">
        <v>1024</v>
      </c>
      <c r="AJ300" s="14">
        <f aca="true" t="shared" si="261" ref="AJ300:AJ305">IF(AN300=0,K300,0)</f>
        <v>0</v>
      </c>
      <c r="AK300" s="14">
        <f aca="true" t="shared" si="262" ref="AK300:AK305">IF(AN300=15,K300,0)</f>
        <v>0</v>
      </c>
      <c r="AL300" s="14">
        <f aca="true" t="shared" si="263" ref="AL300:AL305">IF(AN300=21,K300,0)</f>
        <v>0</v>
      </c>
      <c r="AN300" s="30">
        <v>21</v>
      </c>
      <c r="AO300" s="30">
        <f aca="true" t="shared" si="264" ref="AO300:AO305">H300*0</f>
        <v>0</v>
      </c>
      <c r="AP300" s="30">
        <f aca="true" t="shared" si="265" ref="AP300:AP305">H300*(1-0)</f>
        <v>0</v>
      </c>
      <c r="AQ300" s="25" t="s">
        <v>7</v>
      </c>
      <c r="AV300" s="30">
        <f aca="true" t="shared" si="266" ref="AV300:AV305">AW300+AX300</f>
        <v>0</v>
      </c>
      <c r="AW300" s="30">
        <f aca="true" t="shared" si="267" ref="AW300:AW305">G300*AO300</f>
        <v>0</v>
      </c>
      <c r="AX300" s="30">
        <f aca="true" t="shared" si="268" ref="AX300:AX305">G300*AP300</f>
        <v>0</v>
      </c>
      <c r="AY300" s="31" t="s">
        <v>1057</v>
      </c>
      <c r="AZ300" s="31" t="s">
        <v>1072</v>
      </c>
      <c r="BA300" s="24" t="s">
        <v>1080</v>
      </c>
      <c r="BC300" s="30">
        <f aca="true" t="shared" si="269" ref="BC300:BC305">AW300+AX300</f>
        <v>0</v>
      </c>
      <c r="BD300" s="30">
        <f aca="true" t="shared" si="270" ref="BD300:BD305">H300/(100-BE300)*100</f>
        <v>0</v>
      </c>
      <c r="BE300" s="30">
        <v>0</v>
      </c>
      <c r="BF300" s="30">
        <f>300</f>
        <v>300</v>
      </c>
      <c r="BH300" s="14">
        <f aca="true" t="shared" si="271" ref="BH300:BH305">G300*AO300</f>
        <v>0</v>
      </c>
      <c r="BI300" s="14">
        <f aca="true" t="shared" si="272" ref="BI300:BI305">G300*AP300</f>
        <v>0</v>
      </c>
      <c r="BJ300" s="14">
        <f aca="true" t="shared" si="273" ref="BJ300:BJ305">G300*H300</f>
        <v>0</v>
      </c>
    </row>
    <row r="301" spans="1:62" ht="12.75">
      <c r="A301" s="4" t="s">
        <v>258</v>
      </c>
      <c r="B301" s="4" t="s">
        <v>583</v>
      </c>
      <c r="C301" s="153" t="s">
        <v>924</v>
      </c>
      <c r="D301" s="154"/>
      <c r="E301" s="154"/>
      <c r="F301" s="4" t="s">
        <v>991</v>
      </c>
      <c r="G301" s="64">
        <v>1</v>
      </c>
      <c r="H301" s="82">
        <v>0</v>
      </c>
      <c r="I301" s="14">
        <f t="shared" si="250"/>
        <v>0</v>
      </c>
      <c r="J301" s="14">
        <f t="shared" si="251"/>
        <v>0</v>
      </c>
      <c r="K301" s="14">
        <f t="shared" si="252"/>
        <v>0</v>
      </c>
      <c r="L301" s="25" t="s">
        <v>1014</v>
      </c>
      <c r="Z301" s="30">
        <f t="shared" si="253"/>
        <v>0</v>
      </c>
      <c r="AB301" s="30">
        <f t="shared" si="254"/>
        <v>0</v>
      </c>
      <c r="AC301" s="30">
        <f t="shared" si="255"/>
        <v>0</v>
      </c>
      <c r="AD301" s="30">
        <f t="shared" si="256"/>
        <v>0</v>
      </c>
      <c r="AE301" s="30">
        <f t="shared" si="257"/>
        <v>0</v>
      </c>
      <c r="AF301" s="30">
        <f t="shared" si="258"/>
        <v>0</v>
      </c>
      <c r="AG301" s="30">
        <f t="shared" si="259"/>
        <v>0</v>
      </c>
      <c r="AH301" s="30">
        <f t="shared" si="260"/>
        <v>0</v>
      </c>
      <c r="AI301" s="24" t="s">
        <v>1024</v>
      </c>
      <c r="AJ301" s="14">
        <f t="shared" si="261"/>
        <v>0</v>
      </c>
      <c r="AK301" s="14">
        <f t="shared" si="262"/>
        <v>0</v>
      </c>
      <c r="AL301" s="14">
        <f t="shared" si="263"/>
        <v>0</v>
      </c>
      <c r="AN301" s="30">
        <v>21</v>
      </c>
      <c r="AO301" s="30">
        <f t="shared" si="264"/>
        <v>0</v>
      </c>
      <c r="AP301" s="30">
        <f t="shared" si="265"/>
        <v>0</v>
      </c>
      <c r="AQ301" s="25" t="s">
        <v>7</v>
      </c>
      <c r="AV301" s="30">
        <f t="shared" si="266"/>
        <v>0</v>
      </c>
      <c r="AW301" s="30">
        <f t="shared" si="267"/>
        <v>0</v>
      </c>
      <c r="AX301" s="30">
        <f t="shared" si="268"/>
        <v>0</v>
      </c>
      <c r="AY301" s="31" t="s">
        <v>1057</v>
      </c>
      <c r="AZ301" s="31" t="s">
        <v>1072</v>
      </c>
      <c r="BA301" s="24" t="s">
        <v>1080</v>
      </c>
      <c r="BC301" s="30">
        <f t="shared" si="269"/>
        <v>0</v>
      </c>
      <c r="BD301" s="30">
        <f t="shared" si="270"/>
        <v>0</v>
      </c>
      <c r="BE301" s="30">
        <v>0</v>
      </c>
      <c r="BF301" s="30">
        <f>301</f>
        <v>301</v>
      </c>
      <c r="BH301" s="14">
        <f t="shared" si="271"/>
        <v>0</v>
      </c>
      <c r="BI301" s="14">
        <f t="shared" si="272"/>
        <v>0</v>
      </c>
      <c r="BJ301" s="14">
        <f t="shared" si="273"/>
        <v>0</v>
      </c>
    </row>
    <row r="302" spans="1:62" ht="12.75">
      <c r="A302" s="4" t="s">
        <v>259</v>
      </c>
      <c r="B302" s="4" t="s">
        <v>584</v>
      </c>
      <c r="C302" s="153" t="s">
        <v>925</v>
      </c>
      <c r="D302" s="154"/>
      <c r="E302" s="154"/>
      <c r="F302" s="4" t="s">
        <v>991</v>
      </c>
      <c r="G302" s="64">
        <v>1</v>
      </c>
      <c r="H302" s="82">
        <v>0</v>
      </c>
      <c r="I302" s="14">
        <f t="shared" si="250"/>
        <v>0</v>
      </c>
      <c r="J302" s="14">
        <f t="shared" si="251"/>
        <v>0</v>
      </c>
      <c r="K302" s="14">
        <f t="shared" si="252"/>
        <v>0</v>
      </c>
      <c r="L302" s="25" t="s">
        <v>1014</v>
      </c>
      <c r="Z302" s="30">
        <f t="shared" si="253"/>
        <v>0</v>
      </c>
      <c r="AB302" s="30">
        <f t="shared" si="254"/>
        <v>0</v>
      </c>
      <c r="AC302" s="30">
        <f t="shared" si="255"/>
        <v>0</v>
      </c>
      <c r="AD302" s="30">
        <f t="shared" si="256"/>
        <v>0</v>
      </c>
      <c r="AE302" s="30">
        <f t="shared" si="257"/>
        <v>0</v>
      </c>
      <c r="AF302" s="30">
        <f t="shared" si="258"/>
        <v>0</v>
      </c>
      <c r="AG302" s="30">
        <f t="shared" si="259"/>
        <v>0</v>
      </c>
      <c r="AH302" s="30">
        <f t="shared" si="260"/>
        <v>0</v>
      </c>
      <c r="AI302" s="24" t="s">
        <v>1024</v>
      </c>
      <c r="AJ302" s="14">
        <f t="shared" si="261"/>
        <v>0</v>
      </c>
      <c r="AK302" s="14">
        <f t="shared" si="262"/>
        <v>0</v>
      </c>
      <c r="AL302" s="14">
        <f t="shared" si="263"/>
        <v>0</v>
      </c>
      <c r="AN302" s="30">
        <v>21</v>
      </c>
      <c r="AO302" s="30">
        <f t="shared" si="264"/>
        <v>0</v>
      </c>
      <c r="AP302" s="30">
        <f t="shared" si="265"/>
        <v>0</v>
      </c>
      <c r="AQ302" s="25" t="s">
        <v>7</v>
      </c>
      <c r="AV302" s="30">
        <f t="shared" si="266"/>
        <v>0</v>
      </c>
      <c r="AW302" s="30">
        <f t="shared" si="267"/>
        <v>0</v>
      </c>
      <c r="AX302" s="30">
        <f t="shared" si="268"/>
        <v>0</v>
      </c>
      <c r="AY302" s="31" t="s">
        <v>1057</v>
      </c>
      <c r="AZ302" s="31" t="s">
        <v>1072</v>
      </c>
      <c r="BA302" s="24" t="s">
        <v>1080</v>
      </c>
      <c r="BC302" s="30">
        <f t="shared" si="269"/>
        <v>0</v>
      </c>
      <c r="BD302" s="30">
        <f t="shared" si="270"/>
        <v>0</v>
      </c>
      <c r="BE302" s="30">
        <v>0</v>
      </c>
      <c r="BF302" s="30">
        <f>302</f>
        <v>302</v>
      </c>
      <c r="BH302" s="14">
        <f t="shared" si="271"/>
        <v>0</v>
      </c>
      <c r="BI302" s="14">
        <f t="shared" si="272"/>
        <v>0</v>
      </c>
      <c r="BJ302" s="14">
        <f t="shared" si="273"/>
        <v>0</v>
      </c>
    </row>
    <row r="303" spans="1:62" ht="12.75">
      <c r="A303" s="4" t="s">
        <v>260</v>
      </c>
      <c r="B303" s="4" t="s">
        <v>585</v>
      </c>
      <c r="C303" s="153" t="s">
        <v>926</v>
      </c>
      <c r="D303" s="154"/>
      <c r="E303" s="154"/>
      <c r="F303" s="4" t="s">
        <v>991</v>
      </c>
      <c r="G303" s="64">
        <v>1</v>
      </c>
      <c r="H303" s="82">
        <v>0</v>
      </c>
      <c r="I303" s="14">
        <f t="shared" si="250"/>
        <v>0</v>
      </c>
      <c r="J303" s="14">
        <f t="shared" si="251"/>
        <v>0</v>
      </c>
      <c r="K303" s="14">
        <f t="shared" si="252"/>
        <v>0</v>
      </c>
      <c r="L303" s="25" t="s">
        <v>1014</v>
      </c>
      <c r="Z303" s="30">
        <f t="shared" si="253"/>
        <v>0</v>
      </c>
      <c r="AB303" s="30">
        <f t="shared" si="254"/>
        <v>0</v>
      </c>
      <c r="AC303" s="30">
        <f t="shared" si="255"/>
        <v>0</v>
      </c>
      <c r="AD303" s="30">
        <f t="shared" si="256"/>
        <v>0</v>
      </c>
      <c r="AE303" s="30">
        <f t="shared" si="257"/>
        <v>0</v>
      </c>
      <c r="AF303" s="30">
        <f t="shared" si="258"/>
        <v>0</v>
      </c>
      <c r="AG303" s="30">
        <f t="shared" si="259"/>
        <v>0</v>
      </c>
      <c r="AH303" s="30">
        <f t="shared" si="260"/>
        <v>0</v>
      </c>
      <c r="AI303" s="24" t="s">
        <v>1024</v>
      </c>
      <c r="AJ303" s="14">
        <f t="shared" si="261"/>
        <v>0</v>
      </c>
      <c r="AK303" s="14">
        <f t="shared" si="262"/>
        <v>0</v>
      </c>
      <c r="AL303" s="14">
        <f t="shared" si="263"/>
        <v>0</v>
      </c>
      <c r="AN303" s="30">
        <v>21</v>
      </c>
      <c r="AO303" s="30">
        <f t="shared" si="264"/>
        <v>0</v>
      </c>
      <c r="AP303" s="30">
        <f t="shared" si="265"/>
        <v>0</v>
      </c>
      <c r="AQ303" s="25" t="s">
        <v>7</v>
      </c>
      <c r="AV303" s="30">
        <f t="shared" si="266"/>
        <v>0</v>
      </c>
      <c r="AW303" s="30">
        <f t="shared" si="267"/>
        <v>0</v>
      </c>
      <c r="AX303" s="30">
        <f t="shared" si="268"/>
        <v>0</v>
      </c>
      <c r="AY303" s="31" t="s">
        <v>1057</v>
      </c>
      <c r="AZ303" s="31" t="s">
        <v>1072</v>
      </c>
      <c r="BA303" s="24" t="s">
        <v>1080</v>
      </c>
      <c r="BC303" s="30">
        <f t="shared" si="269"/>
        <v>0</v>
      </c>
      <c r="BD303" s="30">
        <f t="shared" si="270"/>
        <v>0</v>
      </c>
      <c r="BE303" s="30">
        <v>0</v>
      </c>
      <c r="BF303" s="30">
        <f>303</f>
        <v>303</v>
      </c>
      <c r="BH303" s="14">
        <f t="shared" si="271"/>
        <v>0</v>
      </c>
      <c r="BI303" s="14">
        <f t="shared" si="272"/>
        <v>0</v>
      </c>
      <c r="BJ303" s="14">
        <f t="shared" si="273"/>
        <v>0</v>
      </c>
    </row>
    <row r="304" spans="1:62" ht="12.75">
      <c r="A304" s="4" t="s">
        <v>261</v>
      </c>
      <c r="B304" s="4" t="s">
        <v>586</v>
      </c>
      <c r="C304" s="153" t="s">
        <v>927</v>
      </c>
      <c r="D304" s="154"/>
      <c r="E304" s="154"/>
      <c r="F304" s="4" t="s">
        <v>991</v>
      </c>
      <c r="G304" s="64">
        <v>1</v>
      </c>
      <c r="H304" s="82">
        <v>0</v>
      </c>
      <c r="I304" s="14">
        <f t="shared" si="250"/>
        <v>0</v>
      </c>
      <c r="J304" s="14">
        <f t="shared" si="251"/>
        <v>0</v>
      </c>
      <c r="K304" s="14">
        <f t="shared" si="252"/>
        <v>0</v>
      </c>
      <c r="L304" s="25" t="s">
        <v>1014</v>
      </c>
      <c r="Z304" s="30">
        <f t="shared" si="253"/>
        <v>0</v>
      </c>
      <c r="AB304" s="30">
        <f t="shared" si="254"/>
        <v>0</v>
      </c>
      <c r="AC304" s="30">
        <f t="shared" si="255"/>
        <v>0</v>
      </c>
      <c r="AD304" s="30">
        <f t="shared" si="256"/>
        <v>0</v>
      </c>
      <c r="AE304" s="30">
        <f t="shared" si="257"/>
        <v>0</v>
      </c>
      <c r="AF304" s="30">
        <f t="shared" si="258"/>
        <v>0</v>
      </c>
      <c r="AG304" s="30">
        <f t="shared" si="259"/>
        <v>0</v>
      </c>
      <c r="AH304" s="30">
        <f t="shared" si="260"/>
        <v>0</v>
      </c>
      <c r="AI304" s="24" t="s">
        <v>1024</v>
      </c>
      <c r="AJ304" s="14">
        <f t="shared" si="261"/>
        <v>0</v>
      </c>
      <c r="AK304" s="14">
        <f t="shared" si="262"/>
        <v>0</v>
      </c>
      <c r="AL304" s="14">
        <f t="shared" si="263"/>
        <v>0</v>
      </c>
      <c r="AN304" s="30">
        <v>21</v>
      </c>
      <c r="AO304" s="30">
        <f t="shared" si="264"/>
        <v>0</v>
      </c>
      <c r="AP304" s="30">
        <f t="shared" si="265"/>
        <v>0</v>
      </c>
      <c r="AQ304" s="25" t="s">
        <v>7</v>
      </c>
      <c r="AV304" s="30">
        <f t="shared" si="266"/>
        <v>0</v>
      </c>
      <c r="AW304" s="30">
        <f t="shared" si="267"/>
        <v>0</v>
      </c>
      <c r="AX304" s="30">
        <f t="shared" si="268"/>
        <v>0</v>
      </c>
      <c r="AY304" s="31" t="s">
        <v>1057</v>
      </c>
      <c r="AZ304" s="31" t="s">
        <v>1072</v>
      </c>
      <c r="BA304" s="24" t="s">
        <v>1080</v>
      </c>
      <c r="BC304" s="30">
        <f t="shared" si="269"/>
        <v>0</v>
      </c>
      <c r="BD304" s="30">
        <f t="shared" si="270"/>
        <v>0</v>
      </c>
      <c r="BE304" s="30">
        <v>0</v>
      </c>
      <c r="BF304" s="30">
        <f>304</f>
        <v>304</v>
      </c>
      <c r="BH304" s="14">
        <f t="shared" si="271"/>
        <v>0</v>
      </c>
      <c r="BI304" s="14">
        <f t="shared" si="272"/>
        <v>0</v>
      </c>
      <c r="BJ304" s="14">
        <f t="shared" si="273"/>
        <v>0</v>
      </c>
    </row>
    <row r="305" spans="1:62" ht="12.75">
      <c r="A305" s="4" t="s">
        <v>262</v>
      </c>
      <c r="B305" s="4" t="s">
        <v>587</v>
      </c>
      <c r="C305" s="153" t="s">
        <v>928</v>
      </c>
      <c r="D305" s="154"/>
      <c r="E305" s="154"/>
      <c r="F305" s="4" t="s">
        <v>991</v>
      </c>
      <c r="G305" s="64">
        <v>1</v>
      </c>
      <c r="H305" s="82">
        <v>0</v>
      </c>
      <c r="I305" s="14">
        <f t="shared" si="250"/>
        <v>0</v>
      </c>
      <c r="J305" s="14">
        <f t="shared" si="251"/>
        <v>0</v>
      </c>
      <c r="K305" s="14">
        <f t="shared" si="252"/>
        <v>0</v>
      </c>
      <c r="L305" s="25" t="s">
        <v>1014</v>
      </c>
      <c r="Z305" s="30">
        <f t="shared" si="253"/>
        <v>0</v>
      </c>
      <c r="AB305" s="30">
        <f t="shared" si="254"/>
        <v>0</v>
      </c>
      <c r="AC305" s="30">
        <f t="shared" si="255"/>
        <v>0</v>
      </c>
      <c r="AD305" s="30">
        <f t="shared" si="256"/>
        <v>0</v>
      </c>
      <c r="AE305" s="30">
        <f t="shared" si="257"/>
        <v>0</v>
      </c>
      <c r="AF305" s="30">
        <f t="shared" si="258"/>
        <v>0</v>
      </c>
      <c r="AG305" s="30">
        <f t="shared" si="259"/>
        <v>0</v>
      </c>
      <c r="AH305" s="30">
        <f t="shared" si="260"/>
        <v>0</v>
      </c>
      <c r="AI305" s="24" t="s">
        <v>1024</v>
      </c>
      <c r="AJ305" s="14">
        <f t="shared" si="261"/>
        <v>0</v>
      </c>
      <c r="AK305" s="14">
        <f t="shared" si="262"/>
        <v>0</v>
      </c>
      <c r="AL305" s="14">
        <f t="shared" si="263"/>
        <v>0</v>
      </c>
      <c r="AN305" s="30">
        <v>21</v>
      </c>
      <c r="AO305" s="30">
        <f t="shared" si="264"/>
        <v>0</v>
      </c>
      <c r="AP305" s="30">
        <f t="shared" si="265"/>
        <v>0</v>
      </c>
      <c r="AQ305" s="25" t="s">
        <v>7</v>
      </c>
      <c r="AV305" s="30">
        <f t="shared" si="266"/>
        <v>0</v>
      </c>
      <c r="AW305" s="30">
        <f t="shared" si="267"/>
        <v>0</v>
      </c>
      <c r="AX305" s="30">
        <f t="shared" si="268"/>
        <v>0</v>
      </c>
      <c r="AY305" s="31" t="s">
        <v>1057</v>
      </c>
      <c r="AZ305" s="31" t="s">
        <v>1072</v>
      </c>
      <c r="BA305" s="24" t="s">
        <v>1080</v>
      </c>
      <c r="BC305" s="30">
        <f t="shared" si="269"/>
        <v>0</v>
      </c>
      <c r="BD305" s="30">
        <f t="shared" si="270"/>
        <v>0</v>
      </c>
      <c r="BE305" s="30">
        <v>0</v>
      </c>
      <c r="BF305" s="30">
        <f>305</f>
        <v>305</v>
      </c>
      <c r="BH305" s="14">
        <f t="shared" si="271"/>
        <v>0</v>
      </c>
      <c r="BI305" s="14">
        <f t="shared" si="272"/>
        <v>0</v>
      </c>
      <c r="BJ305" s="14">
        <f t="shared" si="273"/>
        <v>0</v>
      </c>
    </row>
    <row r="306" spans="1:12" ht="12.75">
      <c r="A306" s="74"/>
      <c r="B306" s="75"/>
      <c r="C306" s="159" t="s">
        <v>929</v>
      </c>
      <c r="D306" s="160"/>
      <c r="E306" s="160"/>
      <c r="F306" s="74" t="s">
        <v>6</v>
      </c>
      <c r="G306" s="74" t="s">
        <v>6</v>
      </c>
      <c r="H306" s="74" t="s">
        <v>6</v>
      </c>
      <c r="I306" s="76">
        <f>I307+I309+I314+I316+I320+I324+I326+I328+I330+I332+I374+I376</f>
        <v>0</v>
      </c>
      <c r="J306" s="76">
        <f>J307+J309+J314+J316+J320+J324+J326+J328+J330+J332+J374+J376</f>
        <v>0</v>
      </c>
      <c r="K306" s="76">
        <f>K307+K309+K314+K316+K320+K324+K326+K328+K330+K332+K374+K376</f>
        <v>0</v>
      </c>
      <c r="L306" s="77"/>
    </row>
    <row r="307" spans="1:47" ht="12.75">
      <c r="A307" s="3"/>
      <c r="B307" s="11" t="s">
        <v>19</v>
      </c>
      <c r="C307" s="151" t="s">
        <v>645</v>
      </c>
      <c r="D307" s="152"/>
      <c r="E307" s="152"/>
      <c r="F307" s="3" t="s">
        <v>6</v>
      </c>
      <c r="G307" s="3" t="s">
        <v>6</v>
      </c>
      <c r="H307" s="3" t="s">
        <v>6</v>
      </c>
      <c r="I307" s="32">
        <f>SUM(I308:I308)</f>
        <v>0</v>
      </c>
      <c r="J307" s="32">
        <f>SUM(J308:J308)</f>
        <v>0</v>
      </c>
      <c r="K307" s="32">
        <f>SUM(K308:K308)</f>
        <v>0</v>
      </c>
      <c r="L307" s="24"/>
      <c r="AI307" s="24" t="s">
        <v>1025</v>
      </c>
      <c r="AS307" s="32">
        <f>SUM(AJ308:AJ308)</f>
        <v>0</v>
      </c>
      <c r="AT307" s="32">
        <f>SUM(AK308:AK308)</f>
        <v>0</v>
      </c>
      <c r="AU307" s="32">
        <f>SUM(AL308:AL308)</f>
        <v>0</v>
      </c>
    </row>
    <row r="308" spans="1:62" ht="12.75">
      <c r="A308" s="4" t="s">
        <v>263</v>
      </c>
      <c r="B308" s="4" t="s">
        <v>588</v>
      </c>
      <c r="C308" s="153" t="s">
        <v>930</v>
      </c>
      <c r="D308" s="154"/>
      <c r="E308" s="154"/>
      <c r="F308" s="4" t="s">
        <v>992</v>
      </c>
      <c r="G308" s="64">
        <v>1.836</v>
      </c>
      <c r="H308" s="82">
        <v>0</v>
      </c>
      <c r="I308" s="14">
        <f>G308*AO308</f>
        <v>0</v>
      </c>
      <c r="J308" s="14">
        <f>G308*AP308</f>
        <v>0</v>
      </c>
      <c r="K308" s="14">
        <f>G308*H308</f>
        <v>0</v>
      </c>
      <c r="L308" s="25" t="s">
        <v>1014</v>
      </c>
      <c r="Z308" s="30">
        <f>IF(AQ308="5",BJ308,0)</f>
        <v>0</v>
      </c>
      <c r="AB308" s="30">
        <f>IF(AQ308="1",BH308,0)</f>
        <v>0</v>
      </c>
      <c r="AC308" s="30">
        <f>IF(AQ308="1",BI308,0)</f>
        <v>0</v>
      </c>
      <c r="AD308" s="30">
        <f>IF(AQ308="7",BH308,0)</f>
        <v>0</v>
      </c>
      <c r="AE308" s="30">
        <f>IF(AQ308="7",BI308,0)</f>
        <v>0</v>
      </c>
      <c r="AF308" s="30">
        <f>IF(AQ308="2",BH308,0)</f>
        <v>0</v>
      </c>
      <c r="AG308" s="30">
        <f>IF(AQ308="2",BI308,0)</f>
        <v>0</v>
      </c>
      <c r="AH308" s="30">
        <f>IF(AQ308="0",BJ308,0)</f>
        <v>0</v>
      </c>
      <c r="AI308" s="24" t="s">
        <v>1025</v>
      </c>
      <c r="AJ308" s="14">
        <f>IF(AN308=0,K308,0)</f>
        <v>0</v>
      </c>
      <c r="AK308" s="14">
        <f>IF(AN308=15,K308,0)</f>
        <v>0</v>
      </c>
      <c r="AL308" s="14">
        <f>IF(AN308=21,K308,0)</f>
        <v>0</v>
      </c>
      <c r="AN308" s="30">
        <v>21</v>
      </c>
      <c r="AO308" s="30">
        <f>H308*0</f>
        <v>0</v>
      </c>
      <c r="AP308" s="30">
        <f>H308*(1-0)</f>
        <v>0</v>
      </c>
      <c r="AQ308" s="25" t="s">
        <v>7</v>
      </c>
      <c r="AV308" s="30">
        <f>AW308+AX308</f>
        <v>0</v>
      </c>
      <c r="AW308" s="30">
        <f>G308*AO308</f>
        <v>0</v>
      </c>
      <c r="AX308" s="30">
        <f>G308*AP308</f>
        <v>0</v>
      </c>
      <c r="AY308" s="31" t="s">
        <v>1027</v>
      </c>
      <c r="AZ308" s="31" t="s">
        <v>1073</v>
      </c>
      <c r="BA308" s="24" t="s">
        <v>1081</v>
      </c>
      <c r="BC308" s="30">
        <f>AW308+AX308</f>
        <v>0</v>
      </c>
      <c r="BD308" s="30">
        <f>H308/(100-BE308)*100</f>
        <v>0</v>
      </c>
      <c r="BE308" s="30">
        <v>0</v>
      </c>
      <c r="BF308" s="30">
        <f>308</f>
        <v>308</v>
      </c>
      <c r="BH308" s="14">
        <f>G308*AO308</f>
        <v>0</v>
      </c>
      <c r="BI308" s="14">
        <f>G308*AP308</f>
        <v>0</v>
      </c>
      <c r="BJ308" s="14">
        <f>G308*H308</f>
        <v>0</v>
      </c>
    </row>
    <row r="309" spans="1:47" ht="12.75">
      <c r="A309" s="3"/>
      <c r="B309" s="11" t="s">
        <v>22</v>
      </c>
      <c r="C309" s="151" t="s">
        <v>652</v>
      </c>
      <c r="D309" s="152"/>
      <c r="E309" s="152"/>
      <c r="F309" s="3" t="s">
        <v>6</v>
      </c>
      <c r="G309" s="3" t="s">
        <v>6</v>
      </c>
      <c r="H309" s="3" t="s">
        <v>6</v>
      </c>
      <c r="I309" s="32">
        <f>SUM(I310:I313)</f>
        <v>0</v>
      </c>
      <c r="J309" s="32">
        <f>SUM(J310:J313)</f>
        <v>0</v>
      </c>
      <c r="K309" s="32">
        <f>SUM(K310:K313)</f>
        <v>0</v>
      </c>
      <c r="L309" s="24"/>
      <c r="AI309" s="24" t="s">
        <v>1025</v>
      </c>
      <c r="AS309" s="32">
        <f>SUM(AJ310:AJ313)</f>
        <v>0</v>
      </c>
      <c r="AT309" s="32">
        <f>SUM(AK310:AK313)</f>
        <v>0</v>
      </c>
      <c r="AU309" s="32">
        <f>SUM(AL310:AL313)</f>
        <v>0</v>
      </c>
    </row>
    <row r="310" spans="1:62" ht="12.75">
      <c r="A310" s="4" t="s">
        <v>264</v>
      </c>
      <c r="B310" s="4" t="s">
        <v>331</v>
      </c>
      <c r="C310" s="153" t="s">
        <v>653</v>
      </c>
      <c r="D310" s="154"/>
      <c r="E310" s="154"/>
      <c r="F310" s="4" t="s">
        <v>992</v>
      </c>
      <c r="G310" s="64">
        <v>1.836</v>
      </c>
      <c r="H310" s="82">
        <v>0</v>
      </c>
      <c r="I310" s="14">
        <f>G310*AO310</f>
        <v>0</v>
      </c>
      <c r="J310" s="14">
        <f>G310*AP310</f>
        <v>0</v>
      </c>
      <c r="K310" s="14">
        <f>G310*H310</f>
        <v>0</v>
      </c>
      <c r="L310" s="25" t="s">
        <v>1014</v>
      </c>
      <c r="Z310" s="30">
        <f>IF(AQ310="5",BJ310,0)</f>
        <v>0</v>
      </c>
      <c r="AB310" s="30">
        <f>IF(AQ310="1",BH310,0)</f>
        <v>0</v>
      </c>
      <c r="AC310" s="30">
        <f>IF(AQ310="1",BI310,0)</f>
        <v>0</v>
      </c>
      <c r="AD310" s="30">
        <f>IF(AQ310="7",BH310,0)</f>
        <v>0</v>
      </c>
      <c r="AE310" s="30">
        <f>IF(AQ310="7",BI310,0)</f>
        <v>0</v>
      </c>
      <c r="AF310" s="30">
        <f>IF(AQ310="2",BH310,0)</f>
        <v>0</v>
      </c>
      <c r="AG310" s="30">
        <f>IF(AQ310="2",BI310,0)</f>
        <v>0</v>
      </c>
      <c r="AH310" s="30">
        <f>IF(AQ310="0",BJ310,0)</f>
        <v>0</v>
      </c>
      <c r="AI310" s="24" t="s">
        <v>1025</v>
      </c>
      <c r="AJ310" s="14">
        <f>IF(AN310=0,K310,0)</f>
        <v>0</v>
      </c>
      <c r="AK310" s="14">
        <f>IF(AN310=15,K310,0)</f>
        <v>0</v>
      </c>
      <c r="AL310" s="14">
        <f>IF(AN310=21,K310,0)</f>
        <v>0</v>
      </c>
      <c r="AN310" s="30">
        <v>21</v>
      </c>
      <c r="AO310" s="30">
        <f>H310*0</f>
        <v>0</v>
      </c>
      <c r="AP310" s="30">
        <f>H310*(1-0)</f>
        <v>0</v>
      </c>
      <c r="AQ310" s="25" t="s">
        <v>7</v>
      </c>
      <c r="AV310" s="30">
        <f>AW310+AX310</f>
        <v>0</v>
      </c>
      <c r="AW310" s="30">
        <f>G310*AO310</f>
        <v>0</v>
      </c>
      <c r="AX310" s="30">
        <f>G310*AP310</f>
        <v>0</v>
      </c>
      <c r="AY310" s="31" t="s">
        <v>1029</v>
      </c>
      <c r="AZ310" s="31" t="s">
        <v>1073</v>
      </c>
      <c r="BA310" s="24" t="s">
        <v>1081</v>
      </c>
      <c r="BC310" s="30">
        <f>AW310+AX310</f>
        <v>0</v>
      </c>
      <c r="BD310" s="30">
        <f>H310/(100-BE310)*100</f>
        <v>0</v>
      </c>
      <c r="BE310" s="30">
        <v>0</v>
      </c>
      <c r="BF310" s="30">
        <f>310</f>
        <v>310</v>
      </c>
      <c r="BH310" s="14">
        <f>G310*AO310</f>
        <v>0</v>
      </c>
      <c r="BI310" s="14">
        <f>G310*AP310</f>
        <v>0</v>
      </c>
      <c r="BJ310" s="14">
        <f>G310*H310</f>
        <v>0</v>
      </c>
    </row>
    <row r="311" spans="1:62" ht="12.75">
      <c r="A311" s="4" t="s">
        <v>265</v>
      </c>
      <c r="B311" s="4" t="s">
        <v>589</v>
      </c>
      <c r="C311" s="153" t="s">
        <v>931</v>
      </c>
      <c r="D311" s="154"/>
      <c r="E311" s="154"/>
      <c r="F311" s="4" t="s">
        <v>992</v>
      </c>
      <c r="G311" s="64">
        <v>1.836</v>
      </c>
      <c r="H311" s="82">
        <v>0</v>
      </c>
      <c r="I311" s="14">
        <f>G311*AO311</f>
        <v>0</v>
      </c>
      <c r="J311" s="14">
        <f>G311*AP311</f>
        <v>0</v>
      </c>
      <c r="K311" s="14">
        <f>G311*H311</f>
        <v>0</v>
      </c>
      <c r="L311" s="25" t="s">
        <v>1014</v>
      </c>
      <c r="Z311" s="30">
        <f>IF(AQ311="5",BJ311,0)</f>
        <v>0</v>
      </c>
      <c r="AB311" s="30">
        <f>IF(AQ311="1",BH311,0)</f>
        <v>0</v>
      </c>
      <c r="AC311" s="30">
        <f>IF(AQ311="1",BI311,0)</f>
        <v>0</v>
      </c>
      <c r="AD311" s="30">
        <f>IF(AQ311="7",BH311,0)</f>
        <v>0</v>
      </c>
      <c r="AE311" s="30">
        <f>IF(AQ311="7",BI311,0)</f>
        <v>0</v>
      </c>
      <c r="AF311" s="30">
        <f>IF(AQ311="2",BH311,0)</f>
        <v>0</v>
      </c>
      <c r="AG311" s="30">
        <f>IF(AQ311="2",BI311,0)</f>
        <v>0</v>
      </c>
      <c r="AH311" s="30">
        <f>IF(AQ311="0",BJ311,0)</f>
        <v>0</v>
      </c>
      <c r="AI311" s="24" t="s">
        <v>1025</v>
      </c>
      <c r="AJ311" s="14">
        <f>IF(AN311=0,K311,0)</f>
        <v>0</v>
      </c>
      <c r="AK311" s="14">
        <f>IF(AN311=15,K311,0)</f>
        <v>0</v>
      </c>
      <c r="AL311" s="14">
        <f>IF(AN311=21,K311,0)</f>
        <v>0</v>
      </c>
      <c r="AN311" s="30">
        <v>21</v>
      </c>
      <c r="AO311" s="30">
        <f>H311*0</f>
        <v>0</v>
      </c>
      <c r="AP311" s="30">
        <f>H311*(1-0)</f>
        <v>0</v>
      </c>
      <c r="AQ311" s="25" t="s">
        <v>7</v>
      </c>
      <c r="AV311" s="30">
        <f>AW311+AX311</f>
        <v>0</v>
      </c>
      <c r="AW311" s="30">
        <f>G311*AO311</f>
        <v>0</v>
      </c>
      <c r="AX311" s="30">
        <f>G311*AP311</f>
        <v>0</v>
      </c>
      <c r="AY311" s="31" t="s">
        <v>1029</v>
      </c>
      <c r="AZ311" s="31" t="s">
        <v>1073</v>
      </c>
      <c r="BA311" s="24" t="s">
        <v>1081</v>
      </c>
      <c r="BC311" s="30">
        <f>AW311+AX311</f>
        <v>0</v>
      </c>
      <c r="BD311" s="30">
        <f>H311/(100-BE311)*100</f>
        <v>0</v>
      </c>
      <c r="BE311" s="30">
        <v>0</v>
      </c>
      <c r="BF311" s="30">
        <f>311</f>
        <v>311</v>
      </c>
      <c r="BH311" s="14">
        <f>G311*AO311</f>
        <v>0</v>
      </c>
      <c r="BI311" s="14">
        <f>G311*AP311</f>
        <v>0</v>
      </c>
      <c r="BJ311" s="14">
        <f>G311*H311</f>
        <v>0</v>
      </c>
    </row>
    <row r="312" spans="1:62" ht="12.75">
      <c r="A312" s="4" t="s">
        <v>266</v>
      </c>
      <c r="B312" s="4" t="s">
        <v>332</v>
      </c>
      <c r="C312" s="153" t="s">
        <v>654</v>
      </c>
      <c r="D312" s="154"/>
      <c r="E312" s="154"/>
      <c r="F312" s="4" t="s">
        <v>992</v>
      </c>
      <c r="G312" s="64">
        <v>1.836</v>
      </c>
      <c r="H312" s="82">
        <v>0</v>
      </c>
      <c r="I312" s="14">
        <f>G312*AO312</f>
        <v>0</v>
      </c>
      <c r="J312" s="14">
        <f>G312*AP312</f>
        <v>0</v>
      </c>
      <c r="K312" s="14">
        <f>G312*H312</f>
        <v>0</v>
      </c>
      <c r="L312" s="25" t="s">
        <v>1014</v>
      </c>
      <c r="Z312" s="30">
        <f>IF(AQ312="5",BJ312,0)</f>
        <v>0</v>
      </c>
      <c r="AB312" s="30">
        <f>IF(AQ312="1",BH312,0)</f>
        <v>0</v>
      </c>
      <c r="AC312" s="30">
        <f>IF(AQ312="1",BI312,0)</f>
        <v>0</v>
      </c>
      <c r="AD312" s="30">
        <f>IF(AQ312="7",BH312,0)</f>
        <v>0</v>
      </c>
      <c r="AE312" s="30">
        <f>IF(AQ312="7",BI312,0)</f>
        <v>0</v>
      </c>
      <c r="AF312" s="30">
        <f>IF(AQ312="2",BH312,0)</f>
        <v>0</v>
      </c>
      <c r="AG312" s="30">
        <f>IF(AQ312="2",BI312,0)</f>
        <v>0</v>
      </c>
      <c r="AH312" s="30">
        <f>IF(AQ312="0",BJ312,0)</f>
        <v>0</v>
      </c>
      <c r="AI312" s="24" t="s">
        <v>1025</v>
      </c>
      <c r="AJ312" s="14">
        <f>IF(AN312=0,K312,0)</f>
        <v>0</v>
      </c>
      <c r="AK312" s="14">
        <f>IF(AN312=15,K312,0)</f>
        <v>0</v>
      </c>
      <c r="AL312" s="14">
        <f>IF(AN312=21,K312,0)</f>
        <v>0</v>
      </c>
      <c r="AN312" s="30">
        <v>21</v>
      </c>
      <c r="AO312" s="30">
        <f>H312*0</f>
        <v>0</v>
      </c>
      <c r="AP312" s="30">
        <f>H312*(1-0)</f>
        <v>0</v>
      </c>
      <c r="AQ312" s="25" t="s">
        <v>7</v>
      </c>
      <c r="AV312" s="30">
        <f>AW312+AX312</f>
        <v>0</v>
      </c>
      <c r="AW312" s="30">
        <f>G312*AO312</f>
        <v>0</v>
      </c>
      <c r="AX312" s="30">
        <f>G312*AP312</f>
        <v>0</v>
      </c>
      <c r="AY312" s="31" t="s">
        <v>1029</v>
      </c>
      <c r="AZ312" s="31" t="s">
        <v>1073</v>
      </c>
      <c r="BA312" s="24" t="s">
        <v>1081</v>
      </c>
      <c r="BC312" s="30">
        <f>AW312+AX312</f>
        <v>0</v>
      </c>
      <c r="BD312" s="30">
        <f>H312/(100-BE312)*100</f>
        <v>0</v>
      </c>
      <c r="BE312" s="30">
        <v>0</v>
      </c>
      <c r="BF312" s="30">
        <f>312</f>
        <v>312</v>
      </c>
      <c r="BH312" s="14">
        <f>G312*AO312</f>
        <v>0</v>
      </c>
      <c r="BI312" s="14">
        <f>G312*AP312</f>
        <v>0</v>
      </c>
      <c r="BJ312" s="14">
        <f>G312*H312</f>
        <v>0</v>
      </c>
    </row>
    <row r="313" spans="1:62" ht="12.75">
      <c r="A313" s="4" t="s">
        <v>267</v>
      </c>
      <c r="B313" s="4" t="s">
        <v>334</v>
      </c>
      <c r="C313" s="153" t="s">
        <v>656</v>
      </c>
      <c r="D313" s="154"/>
      <c r="E313" s="154"/>
      <c r="F313" s="4" t="s">
        <v>992</v>
      </c>
      <c r="G313" s="64">
        <v>1.836</v>
      </c>
      <c r="H313" s="82">
        <v>0</v>
      </c>
      <c r="I313" s="14">
        <f>G313*AO313</f>
        <v>0</v>
      </c>
      <c r="J313" s="14">
        <f>G313*AP313</f>
        <v>0</v>
      </c>
      <c r="K313" s="14">
        <f>G313*H313</f>
        <v>0</v>
      </c>
      <c r="L313" s="25" t="s">
        <v>1014</v>
      </c>
      <c r="Z313" s="30">
        <f>IF(AQ313="5",BJ313,0)</f>
        <v>0</v>
      </c>
      <c r="AB313" s="30">
        <f>IF(AQ313="1",BH313,0)</f>
        <v>0</v>
      </c>
      <c r="AC313" s="30">
        <f>IF(AQ313="1",BI313,0)</f>
        <v>0</v>
      </c>
      <c r="AD313" s="30">
        <f>IF(AQ313="7",BH313,0)</f>
        <v>0</v>
      </c>
      <c r="AE313" s="30">
        <f>IF(AQ313="7",BI313,0)</f>
        <v>0</v>
      </c>
      <c r="AF313" s="30">
        <f>IF(AQ313="2",BH313,0)</f>
        <v>0</v>
      </c>
      <c r="AG313" s="30">
        <f>IF(AQ313="2",BI313,0)</f>
        <v>0</v>
      </c>
      <c r="AH313" s="30">
        <f>IF(AQ313="0",BJ313,0)</f>
        <v>0</v>
      </c>
      <c r="AI313" s="24" t="s">
        <v>1025</v>
      </c>
      <c r="AJ313" s="14">
        <f>IF(AN313=0,K313,0)</f>
        <v>0</v>
      </c>
      <c r="AK313" s="14">
        <f>IF(AN313=15,K313,0)</f>
        <v>0</v>
      </c>
      <c r="AL313" s="14">
        <f>IF(AN313=21,K313,0)</f>
        <v>0</v>
      </c>
      <c r="AN313" s="30">
        <v>21</v>
      </c>
      <c r="AO313" s="30">
        <f>H313*0</f>
        <v>0</v>
      </c>
      <c r="AP313" s="30">
        <f>H313*(1-0)</f>
        <v>0</v>
      </c>
      <c r="AQ313" s="25" t="s">
        <v>7</v>
      </c>
      <c r="AV313" s="30">
        <f>AW313+AX313</f>
        <v>0</v>
      </c>
      <c r="AW313" s="30">
        <f>G313*AO313</f>
        <v>0</v>
      </c>
      <c r="AX313" s="30">
        <f>G313*AP313</f>
        <v>0</v>
      </c>
      <c r="AY313" s="31" t="s">
        <v>1029</v>
      </c>
      <c r="AZ313" s="31" t="s">
        <v>1073</v>
      </c>
      <c r="BA313" s="24" t="s">
        <v>1081</v>
      </c>
      <c r="BC313" s="30">
        <f>AW313+AX313</f>
        <v>0</v>
      </c>
      <c r="BD313" s="30">
        <f>H313/(100-BE313)*100</f>
        <v>0</v>
      </c>
      <c r="BE313" s="30">
        <v>0</v>
      </c>
      <c r="BF313" s="30">
        <f>313</f>
        <v>313</v>
      </c>
      <c r="BH313" s="14">
        <f>G313*AO313</f>
        <v>0</v>
      </c>
      <c r="BI313" s="14">
        <f>G313*AP313</f>
        <v>0</v>
      </c>
      <c r="BJ313" s="14">
        <f>G313*H313</f>
        <v>0</v>
      </c>
    </row>
    <row r="314" spans="1:47" ht="12.75">
      <c r="A314" s="3"/>
      <c r="B314" s="11" t="s">
        <v>23</v>
      </c>
      <c r="C314" s="151" t="s">
        <v>658</v>
      </c>
      <c r="D314" s="152"/>
      <c r="E314" s="152"/>
      <c r="F314" s="3" t="s">
        <v>6</v>
      </c>
      <c r="G314" s="3" t="s">
        <v>6</v>
      </c>
      <c r="H314" s="85" t="s">
        <v>6</v>
      </c>
      <c r="I314" s="32">
        <f>SUM(I315:I315)</f>
        <v>0</v>
      </c>
      <c r="J314" s="32">
        <f>SUM(J315:J315)</f>
        <v>0</v>
      </c>
      <c r="K314" s="32">
        <f>SUM(K315:K315)</f>
        <v>0</v>
      </c>
      <c r="L314" s="24"/>
      <c r="AI314" s="24" t="s">
        <v>1025</v>
      </c>
      <c r="AS314" s="32">
        <f>SUM(AJ315:AJ315)</f>
        <v>0</v>
      </c>
      <c r="AT314" s="32">
        <f>SUM(AK315:AK315)</f>
        <v>0</v>
      </c>
      <c r="AU314" s="32">
        <f>SUM(AL315:AL315)</f>
        <v>0</v>
      </c>
    </row>
    <row r="315" spans="1:62" ht="12.75">
      <c r="A315" s="4" t="s">
        <v>268</v>
      </c>
      <c r="B315" s="4" t="s">
        <v>339</v>
      </c>
      <c r="C315" s="153" t="s">
        <v>662</v>
      </c>
      <c r="D315" s="154"/>
      <c r="E315" s="154"/>
      <c r="F315" s="4" t="s">
        <v>992</v>
      </c>
      <c r="G315" s="64">
        <v>1.836</v>
      </c>
      <c r="H315" s="82">
        <v>0</v>
      </c>
      <c r="I315" s="14">
        <f>G315*AO315</f>
        <v>0</v>
      </c>
      <c r="J315" s="14">
        <f>G315*AP315</f>
        <v>0</v>
      </c>
      <c r="K315" s="14">
        <f>G315*H315</f>
        <v>0</v>
      </c>
      <c r="L315" s="25" t="s">
        <v>1014</v>
      </c>
      <c r="Z315" s="30">
        <f>IF(AQ315="5",BJ315,0)</f>
        <v>0</v>
      </c>
      <c r="AB315" s="30">
        <f>IF(AQ315="1",BH315,0)</f>
        <v>0</v>
      </c>
      <c r="AC315" s="30">
        <f>IF(AQ315="1",BI315,0)</f>
        <v>0</v>
      </c>
      <c r="AD315" s="30">
        <f>IF(AQ315="7",BH315,0)</f>
        <v>0</v>
      </c>
      <c r="AE315" s="30">
        <f>IF(AQ315="7",BI315,0)</f>
        <v>0</v>
      </c>
      <c r="AF315" s="30">
        <f>IF(AQ315="2",BH315,0)</f>
        <v>0</v>
      </c>
      <c r="AG315" s="30">
        <f>IF(AQ315="2",BI315,0)</f>
        <v>0</v>
      </c>
      <c r="AH315" s="30">
        <f>IF(AQ315="0",BJ315,0)</f>
        <v>0</v>
      </c>
      <c r="AI315" s="24" t="s">
        <v>1025</v>
      </c>
      <c r="AJ315" s="14">
        <f>IF(AN315=0,K315,0)</f>
        <v>0</v>
      </c>
      <c r="AK315" s="14">
        <f>IF(AN315=15,K315,0)</f>
        <v>0</v>
      </c>
      <c r="AL315" s="14">
        <f>IF(AN315=21,K315,0)</f>
        <v>0</v>
      </c>
      <c r="AN315" s="30">
        <v>21</v>
      </c>
      <c r="AO315" s="30">
        <f>H315*0</f>
        <v>0</v>
      </c>
      <c r="AP315" s="30">
        <f>H315*(1-0)</f>
        <v>0</v>
      </c>
      <c r="AQ315" s="25" t="s">
        <v>7</v>
      </c>
      <c r="AV315" s="30">
        <f>AW315+AX315</f>
        <v>0</v>
      </c>
      <c r="AW315" s="30">
        <f>G315*AO315</f>
        <v>0</v>
      </c>
      <c r="AX315" s="30">
        <f>G315*AP315</f>
        <v>0</v>
      </c>
      <c r="AY315" s="31" t="s">
        <v>1030</v>
      </c>
      <c r="AZ315" s="31" t="s">
        <v>1073</v>
      </c>
      <c r="BA315" s="24" t="s">
        <v>1081</v>
      </c>
      <c r="BC315" s="30">
        <f>AW315+AX315</f>
        <v>0</v>
      </c>
      <c r="BD315" s="30">
        <f>H315/(100-BE315)*100</f>
        <v>0</v>
      </c>
      <c r="BE315" s="30">
        <v>0</v>
      </c>
      <c r="BF315" s="30">
        <f>315</f>
        <v>315</v>
      </c>
      <c r="BH315" s="14">
        <f>G315*AO315</f>
        <v>0</v>
      </c>
      <c r="BI315" s="14">
        <f>G315*AP315</f>
        <v>0</v>
      </c>
      <c r="BJ315" s="14">
        <f>G315*H315</f>
        <v>0</v>
      </c>
    </row>
    <row r="316" spans="1:47" ht="12.75">
      <c r="A316" s="3"/>
      <c r="B316" s="11" t="s">
        <v>33</v>
      </c>
      <c r="C316" s="151" t="s">
        <v>667</v>
      </c>
      <c r="D316" s="152"/>
      <c r="E316" s="152"/>
      <c r="F316" s="3" t="s">
        <v>6</v>
      </c>
      <c r="G316" s="3" t="s">
        <v>6</v>
      </c>
      <c r="H316" s="3" t="s">
        <v>6</v>
      </c>
      <c r="I316" s="32">
        <f>SUM(I317:I319)</f>
        <v>0</v>
      </c>
      <c r="J316" s="32">
        <f>SUM(J317:J319)</f>
        <v>0</v>
      </c>
      <c r="K316" s="32">
        <f>SUM(K317:K319)</f>
        <v>0</v>
      </c>
      <c r="L316" s="24"/>
      <c r="AI316" s="24" t="s">
        <v>1025</v>
      </c>
      <c r="AS316" s="32">
        <f>SUM(AJ317:AJ319)</f>
        <v>0</v>
      </c>
      <c r="AT316" s="32">
        <f>SUM(AK317:AK319)</f>
        <v>0</v>
      </c>
      <c r="AU316" s="32">
        <f>SUM(AL317:AL319)</f>
        <v>0</v>
      </c>
    </row>
    <row r="317" spans="1:62" ht="12.75">
      <c r="A317" s="4" t="s">
        <v>269</v>
      </c>
      <c r="B317" s="4" t="s">
        <v>590</v>
      </c>
      <c r="C317" s="153" t="s">
        <v>932</v>
      </c>
      <c r="D317" s="154"/>
      <c r="E317" s="154"/>
      <c r="F317" s="4" t="s">
        <v>995</v>
      </c>
      <c r="G317" s="64">
        <v>104.22</v>
      </c>
      <c r="H317" s="82">
        <v>0</v>
      </c>
      <c r="I317" s="14">
        <f>G317*AO317</f>
        <v>0</v>
      </c>
      <c r="J317" s="14">
        <f>G317*AP317</f>
        <v>0</v>
      </c>
      <c r="K317" s="14">
        <f>G317*H317</f>
        <v>0</v>
      </c>
      <c r="L317" s="25" t="s">
        <v>1014</v>
      </c>
      <c r="Z317" s="30">
        <f>IF(AQ317="5",BJ317,0)</f>
        <v>0</v>
      </c>
      <c r="AB317" s="30">
        <f>IF(AQ317="1",BH317,0)</f>
        <v>0</v>
      </c>
      <c r="AC317" s="30">
        <f>IF(AQ317="1",BI317,0)</f>
        <v>0</v>
      </c>
      <c r="AD317" s="30">
        <f>IF(AQ317="7",BH317,0)</f>
        <v>0</v>
      </c>
      <c r="AE317" s="30">
        <f>IF(AQ317="7",BI317,0)</f>
        <v>0</v>
      </c>
      <c r="AF317" s="30">
        <f>IF(AQ317="2",BH317,0)</f>
        <v>0</v>
      </c>
      <c r="AG317" s="30">
        <f>IF(AQ317="2",BI317,0)</f>
        <v>0</v>
      </c>
      <c r="AH317" s="30">
        <f>IF(AQ317="0",BJ317,0)</f>
        <v>0</v>
      </c>
      <c r="AI317" s="24" t="s">
        <v>1025</v>
      </c>
      <c r="AJ317" s="14">
        <f>IF(AN317=0,K317,0)</f>
        <v>0</v>
      </c>
      <c r="AK317" s="14">
        <f>IF(AN317=15,K317,0)</f>
        <v>0</v>
      </c>
      <c r="AL317" s="14">
        <f>IF(AN317=21,K317,0)</f>
        <v>0</v>
      </c>
      <c r="AN317" s="30">
        <v>21</v>
      </c>
      <c r="AO317" s="30">
        <f>H317*0.681235649974093</f>
        <v>0</v>
      </c>
      <c r="AP317" s="30">
        <f>H317*(1-0.681235649974093)</f>
        <v>0</v>
      </c>
      <c r="AQ317" s="25" t="s">
        <v>7</v>
      </c>
      <c r="AV317" s="30">
        <f>AW317+AX317</f>
        <v>0</v>
      </c>
      <c r="AW317" s="30">
        <f>G317*AO317</f>
        <v>0</v>
      </c>
      <c r="AX317" s="30">
        <f>G317*AP317</f>
        <v>0</v>
      </c>
      <c r="AY317" s="31" t="s">
        <v>1032</v>
      </c>
      <c r="AZ317" s="31" t="s">
        <v>1074</v>
      </c>
      <c r="BA317" s="24" t="s">
        <v>1081</v>
      </c>
      <c r="BC317" s="30">
        <f>AW317+AX317</f>
        <v>0</v>
      </c>
      <c r="BD317" s="30">
        <f>H317/(100-BE317)*100</f>
        <v>0</v>
      </c>
      <c r="BE317" s="30">
        <v>0</v>
      </c>
      <c r="BF317" s="30">
        <f>317</f>
        <v>317</v>
      </c>
      <c r="BH317" s="14">
        <f>G317*AO317</f>
        <v>0</v>
      </c>
      <c r="BI317" s="14">
        <f>G317*AP317</f>
        <v>0</v>
      </c>
      <c r="BJ317" s="14">
        <f>G317*H317</f>
        <v>0</v>
      </c>
    </row>
    <row r="318" spans="1:62" ht="12.75">
      <c r="A318" s="4" t="s">
        <v>270</v>
      </c>
      <c r="B318" s="4" t="s">
        <v>591</v>
      </c>
      <c r="C318" s="153" t="s">
        <v>933</v>
      </c>
      <c r="D318" s="154"/>
      <c r="E318" s="154"/>
      <c r="F318" s="4" t="s">
        <v>991</v>
      </c>
      <c r="G318" s="64">
        <v>8</v>
      </c>
      <c r="H318" s="82">
        <v>0</v>
      </c>
      <c r="I318" s="14">
        <f>G318*AO318</f>
        <v>0</v>
      </c>
      <c r="J318" s="14">
        <f>G318*AP318</f>
        <v>0</v>
      </c>
      <c r="K318" s="14">
        <f>G318*H318</f>
        <v>0</v>
      </c>
      <c r="L318" s="25" t="s">
        <v>1014</v>
      </c>
      <c r="Z318" s="30">
        <f>IF(AQ318="5",BJ318,0)</f>
        <v>0</v>
      </c>
      <c r="AB318" s="30">
        <f>IF(AQ318="1",BH318,0)</f>
        <v>0</v>
      </c>
      <c r="AC318" s="30">
        <f>IF(AQ318="1",BI318,0)</f>
        <v>0</v>
      </c>
      <c r="AD318" s="30">
        <f>IF(AQ318="7",BH318,0)</f>
        <v>0</v>
      </c>
      <c r="AE318" s="30">
        <f>IF(AQ318="7",BI318,0)</f>
        <v>0</v>
      </c>
      <c r="AF318" s="30">
        <f>IF(AQ318="2",BH318,0)</f>
        <v>0</v>
      </c>
      <c r="AG318" s="30">
        <f>IF(AQ318="2",BI318,0)</f>
        <v>0</v>
      </c>
      <c r="AH318" s="30">
        <f>IF(AQ318="0",BJ318,0)</f>
        <v>0</v>
      </c>
      <c r="AI318" s="24" t="s">
        <v>1025</v>
      </c>
      <c r="AJ318" s="14">
        <f>IF(AN318=0,K318,0)</f>
        <v>0</v>
      </c>
      <c r="AK318" s="14">
        <f>IF(AN318=15,K318,0)</f>
        <v>0</v>
      </c>
      <c r="AL318" s="14">
        <f>IF(AN318=21,K318,0)</f>
        <v>0</v>
      </c>
      <c r="AN318" s="30">
        <v>21</v>
      </c>
      <c r="AO318" s="30">
        <f>H318*0.681237560192616</f>
        <v>0</v>
      </c>
      <c r="AP318" s="30">
        <f>H318*(1-0.681237560192616)</f>
        <v>0</v>
      </c>
      <c r="AQ318" s="25" t="s">
        <v>7</v>
      </c>
      <c r="AV318" s="30">
        <f>AW318+AX318</f>
        <v>0</v>
      </c>
      <c r="AW318" s="30">
        <f>G318*AO318</f>
        <v>0</v>
      </c>
      <c r="AX318" s="30">
        <f>G318*AP318</f>
        <v>0</v>
      </c>
      <c r="AY318" s="31" t="s">
        <v>1032</v>
      </c>
      <c r="AZ318" s="31" t="s">
        <v>1074</v>
      </c>
      <c r="BA318" s="24" t="s">
        <v>1081</v>
      </c>
      <c r="BC318" s="30">
        <f>AW318+AX318</f>
        <v>0</v>
      </c>
      <c r="BD318" s="30">
        <f>H318/(100-BE318)*100</f>
        <v>0</v>
      </c>
      <c r="BE318" s="30">
        <v>0</v>
      </c>
      <c r="BF318" s="30">
        <f>318</f>
        <v>318</v>
      </c>
      <c r="BH318" s="14">
        <f>G318*AO318</f>
        <v>0</v>
      </c>
      <c r="BI318" s="14">
        <f>G318*AP318</f>
        <v>0</v>
      </c>
      <c r="BJ318" s="14">
        <f>G318*H318</f>
        <v>0</v>
      </c>
    </row>
    <row r="319" spans="1:62" ht="12.75">
      <c r="A319" s="4" t="s">
        <v>271</v>
      </c>
      <c r="B319" s="4" t="s">
        <v>592</v>
      </c>
      <c r="C319" s="153" t="s">
        <v>934</v>
      </c>
      <c r="D319" s="154"/>
      <c r="E319" s="154"/>
      <c r="F319" s="4" t="s">
        <v>992</v>
      </c>
      <c r="G319" s="64">
        <v>9.692</v>
      </c>
      <c r="H319" s="82">
        <v>0</v>
      </c>
      <c r="I319" s="14">
        <f>G319*AO319</f>
        <v>0</v>
      </c>
      <c r="J319" s="14">
        <f>G319*AP319</f>
        <v>0</v>
      </c>
      <c r="K319" s="14">
        <f>G319*H319</f>
        <v>0</v>
      </c>
      <c r="L319" s="25" t="s">
        <v>1014</v>
      </c>
      <c r="Z319" s="30">
        <f>IF(AQ319="5",BJ319,0)</f>
        <v>0</v>
      </c>
      <c r="AB319" s="30">
        <f>IF(AQ319="1",BH319,0)</f>
        <v>0</v>
      </c>
      <c r="AC319" s="30">
        <f>IF(AQ319="1",BI319,0)</f>
        <v>0</v>
      </c>
      <c r="AD319" s="30">
        <f>IF(AQ319="7",BH319,0)</f>
        <v>0</v>
      </c>
      <c r="AE319" s="30">
        <f>IF(AQ319="7",BI319,0)</f>
        <v>0</v>
      </c>
      <c r="AF319" s="30">
        <f>IF(AQ319="2",BH319,0)</f>
        <v>0</v>
      </c>
      <c r="AG319" s="30">
        <f>IF(AQ319="2",BI319,0)</f>
        <v>0</v>
      </c>
      <c r="AH319" s="30">
        <f>IF(AQ319="0",BJ319,0)</f>
        <v>0</v>
      </c>
      <c r="AI319" s="24" t="s">
        <v>1025</v>
      </c>
      <c r="AJ319" s="14">
        <f>IF(AN319=0,K319,0)</f>
        <v>0</v>
      </c>
      <c r="AK319" s="14">
        <f>IF(AN319=15,K319,0)</f>
        <v>0</v>
      </c>
      <c r="AL319" s="14">
        <f>IF(AN319=21,K319,0)</f>
        <v>0</v>
      </c>
      <c r="AN319" s="30">
        <v>21</v>
      </c>
      <c r="AO319" s="30">
        <f>H319*0.59517528957529</f>
        <v>0</v>
      </c>
      <c r="AP319" s="30">
        <f>H319*(1-0.59517528957529)</f>
        <v>0</v>
      </c>
      <c r="AQ319" s="25" t="s">
        <v>7</v>
      </c>
      <c r="AV319" s="30">
        <f>AW319+AX319</f>
        <v>0</v>
      </c>
      <c r="AW319" s="30">
        <f>G319*AO319</f>
        <v>0</v>
      </c>
      <c r="AX319" s="30">
        <f>G319*AP319</f>
        <v>0</v>
      </c>
      <c r="AY319" s="31" t="s">
        <v>1032</v>
      </c>
      <c r="AZ319" s="31" t="s">
        <v>1074</v>
      </c>
      <c r="BA319" s="24" t="s">
        <v>1081</v>
      </c>
      <c r="BC319" s="30">
        <f>AW319+AX319</f>
        <v>0</v>
      </c>
      <c r="BD319" s="30">
        <f>H319/(100-BE319)*100</f>
        <v>0</v>
      </c>
      <c r="BE319" s="30">
        <v>0</v>
      </c>
      <c r="BF319" s="30">
        <f>319</f>
        <v>319</v>
      </c>
      <c r="BH319" s="14">
        <f>G319*AO319</f>
        <v>0</v>
      </c>
      <c r="BI319" s="14">
        <f>G319*AP319</f>
        <v>0</v>
      </c>
      <c r="BJ319" s="14">
        <f>G319*H319</f>
        <v>0</v>
      </c>
    </row>
    <row r="320" spans="1:47" ht="12.75">
      <c r="A320" s="3"/>
      <c r="B320" s="11" t="s">
        <v>34</v>
      </c>
      <c r="C320" s="151" t="s">
        <v>935</v>
      </c>
      <c r="D320" s="152"/>
      <c r="E320" s="152"/>
      <c r="F320" s="3" t="s">
        <v>6</v>
      </c>
      <c r="G320" s="3" t="s">
        <v>6</v>
      </c>
      <c r="H320" s="85" t="s">
        <v>6</v>
      </c>
      <c r="I320" s="32">
        <f>SUM(I321:I323)</f>
        <v>0</v>
      </c>
      <c r="J320" s="32">
        <f>SUM(J321:J323)</f>
        <v>0</v>
      </c>
      <c r="K320" s="32">
        <f>SUM(K321:K323)</f>
        <v>0</v>
      </c>
      <c r="L320" s="24"/>
      <c r="AI320" s="24" t="s">
        <v>1025</v>
      </c>
      <c r="AS320" s="32">
        <f>SUM(AJ321:AJ323)</f>
        <v>0</v>
      </c>
      <c r="AT320" s="32">
        <f>SUM(AK321:AK323)</f>
        <v>0</v>
      </c>
      <c r="AU320" s="32">
        <f>SUM(AL321:AL323)</f>
        <v>0</v>
      </c>
    </row>
    <row r="321" spans="1:62" ht="12.75">
      <c r="A321" s="4" t="s">
        <v>272</v>
      </c>
      <c r="B321" s="4" t="s">
        <v>593</v>
      </c>
      <c r="C321" s="153" t="s">
        <v>936</v>
      </c>
      <c r="D321" s="154"/>
      <c r="E321" s="154"/>
      <c r="F321" s="4" t="s">
        <v>991</v>
      </c>
      <c r="G321" s="64">
        <v>1</v>
      </c>
      <c r="H321" s="82">
        <v>0</v>
      </c>
      <c r="I321" s="14">
        <f>G321*AO321</f>
        <v>0</v>
      </c>
      <c r="J321" s="14">
        <f>G321*AP321</f>
        <v>0</v>
      </c>
      <c r="K321" s="14">
        <f>G321*H321</f>
        <v>0</v>
      </c>
      <c r="L321" s="25" t="s">
        <v>1014</v>
      </c>
      <c r="Z321" s="30">
        <f>IF(AQ321="5",BJ321,0)</f>
        <v>0</v>
      </c>
      <c r="AB321" s="30">
        <f>IF(AQ321="1",BH321,0)</f>
        <v>0</v>
      </c>
      <c r="AC321" s="30">
        <f>IF(AQ321="1",BI321,0)</f>
        <v>0</v>
      </c>
      <c r="AD321" s="30">
        <f>IF(AQ321="7",BH321,0)</f>
        <v>0</v>
      </c>
      <c r="AE321" s="30">
        <f>IF(AQ321="7",BI321,0)</f>
        <v>0</v>
      </c>
      <c r="AF321" s="30">
        <f>IF(AQ321="2",BH321,0)</f>
        <v>0</v>
      </c>
      <c r="AG321" s="30">
        <f>IF(AQ321="2",BI321,0)</f>
        <v>0</v>
      </c>
      <c r="AH321" s="30">
        <f>IF(AQ321="0",BJ321,0)</f>
        <v>0</v>
      </c>
      <c r="AI321" s="24" t="s">
        <v>1025</v>
      </c>
      <c r="AJ321" s="14">
        <f>IF(AN321=0,K321,0)</f>
        <v>0</v>
      </c>
      <c r="AK321" s="14">
        <f>IF(AN321=15,K321,0)</f>
        <v>0</v>
      </c>
      <c r="AL321" s="14">
        <f>IF(AN321=21,K321,0)</f>
        <v>0</v>
      </c>
      <c r="AN321" s="30">
        <v>21</v>
      </c>
      <c r="AO321" s="30">
        <f>H321*0.2015</f>
        <v>0</v>
      </c>
      <c r="AP321" s="30">
        <f>H321*(1-0.2015)</f>
        <v>0</v>
      </c>
      <c r="AQ321" s="25" t="s">
        <v>7</v>
      </c>
      <c r="AV321" s="30">
        <f>AW321+AX321</f>
        <v>0</v>
      </c>
      <c r="AW321" s="30">
        <f>G321*AO321</f>
        <v>0</v>
      </c>
      <c r="AX321" s="30">
        <f>G321*AP321</f>
        <v>0</v>
      </c>
      <c r="AY321" s="31" t="s">
        <v>1058</v>
      </c>
      <c r="AZ321" s="31" t="s">
        <v>1074</v>
      </c>
      <c r="BA321" s="24" t="s">
        <v>1081</v>
      </c>
      <c r="BC321" s="30">
        <f>AW321+AX321</f>
        <v>0</v>
      </c>
      <c r="BD321" s="30">
        <f>H321/(100-BE321)*100</f>
        <v>0</v>
      </c>
      <c r="BE321" s="30">
        <v>0</v>
      </c>
      <c r="BF321" s="30">
        <f>321</f>
        <v>321</v>
      </c>
      <c r="BH321" s="14">
        <f>G321*AO321</f>
        <v>0</v>
      </c>
      <c r="BI321" s="14">
        <f>G321*AP321</f>
        <v>0</v>
      </c>
      <c r="BJ321" s="14">
        <f>G321*H321</f>
        <v>0</v>
      </c>
    </row>
    <row r="322" spans="1:62" ht="12.75">
      <c r="A322" s="4" t="s">
        <v>273</v>
      </c>
      <c r="B322" s="4" t="s">
        <v>594</v>
      </c>
      <c r="C322" s="153" t="s">
        <v>937</v>
      </c>
      <c r="D322" s="154"/>
      <c r="E322" s="154"/>
      <c r="F322" s="4" t="s">
        <v>995</v>
      </c>
      <c r="G322" s="64">
        <v>76</v>
      </c>
      <c r="H322" s="82">
        <v>0</v>
      </c>
      <c r="I322" s="14">
        <f>G322*AO322</f>
        <v>0</v>
      </c>
      <c r="J322" s="14">
        <f>G322*AP322</f>
        <v>0</v>
      </c>
      <c r="K322" s="14">
        <f>G322*H322</f>
        <v>0</v>
      </c>
      <c r="L322" s="25" t="s">
        <v>1014</v>
      </c>
      <c r="Z322" s="30">
        <f>IF(AQ322="5",BJ322,0)</f>
        <v>0</v>
      </c>
      <c r="AB322" s="30">
        <f>IF(AQ322="1",BH322,0)</f>
        <v>0</v>
      </c>
      <c r="AC322" s="30">
        <f>IF(AQ322="1",BI322,0)</f>
        <v>0</v>
      </c>
      <c r="AD322" s="30">
        <f>IF(AQ322="7",BH322,0)</f>
        <v>0</v>
      </c>
      <c r="AE322" s="30">
        <f>IF(AQ322="7",BI322,0)</f>
        <v>0</v>
      </c>
      <c r="AF322" s="30">
        <f>IF(AQ322="2",BH322,0)</f>
        <v>0</v>
      </c>
      <c r="AG322" s="30">
        <f>IF(AQ322="2",BI322,0)</f>
        <v>0</v>
      </c>
      <c r="AH322" s="30">
        <f>IF(AQ322="0",BJ322,0)</f>
        <v>0</v>
      </c>
      <c r="AI322" s="24" t="s">
        <v>1025</v>
      </c>
      <c r="AJ322" s="14">
        <f>IF(AN322=0,K322,0)</f>
        <v>0</v>
      </c>
      <c r="AK322" s="14">
        <f>IF(AN322=15,K322,0)</f>
        <v>0</v>
      </c>
      <c r="AL322" s="14">
        <f>IF(AN322=21,K322,0)</f>
        <v>0</v>
      </c>
      <c r="AN322" s="30">
        <v>21</v>
      </c>
      <c r="AO322" s="30">
        <f>H322*0.2015</f>
        <v>0</v>
      </c>
      <c r="AP322" s="30">
        <f>H322*(1-0.2015)</f>
        <v>0</v>
      </c>
      <c r="AQ322" s="25" t="s">
        <v>7</v>
      </c>
      <c r="AV322" s="30">
        <f>AW322+AX322</f>
        <v>0</v>
      </c>
      <c r="AW322" s="30">
        <f>G322*AO322</f>
        <v>0</v>
      </c>
      <c r="AX322" s="30">
        <f>G322*AP322</f>
        <v>0</v>
      </c>
      <c r="AY322" s="31" t="s">
        <v>1058</v>
      </c>
      <c r="AZ322" s="31" t="s">
        <v>1074</v>
      </c>
      <c r="BA322" s="24" t="s">
        <v>1081</v>
      </c>
      <c r="BC322" s="30">
        <f>AW322+AX322</f>
        <v>0</v>
      </c>
      <c r="BD322" s="30">
        <f>H322/(100-BE322)*100</f>
        <v>0</v>
      </c>
      <c r="BE322" s="30">
        <v>0</v>
      </c>
      <c r="BF322" s="30">
        <f>322</f>
        <v>322</v>
      </c>
      <c r="BH322" s="14">
        <f>G322*AO322</f>
        <v>0</v>
      </c>
      <c r="BI322" s="14">
        <f>G322*AP322</f>
        <v>0</v>
      </c>
      <c r="BJ322" s="14">
        <f>G322*H322</f>
        <v>0</v>
      </c>
    </row>
    <row r="323" spans="1:62" ht="12.75">
      <c r="A323" s="4" t="s">
        <v>274</v>
      </c>
      <c r="B323" s="4" t="s">
        <v>595</v>
      </c>
      <c r="C323" s="153" t="s">
        <v>938</v>
      </c>
      <c r="D323" s="154"/>
      <c r="E323" s="154"/>
      <c r="F323" s="4" t="s">
        <v>995</v>
      </c>
      <c r="G323" s="64">
        <v>76</v>
      </c>
      <c r="H323" s="82">
        <v>0</v>
      </c>
      <c r="I323" s="14">
        <f>G323*AO323</f>
        <v>0</v>
      </c>
      <c r="J323" s="14">
        <f>G323*AP323</f>
        <v>0</v>
      </c>
      <c r="K323" s="14">
        <f>G323*H323</f>
        <v>0</v>
      </c>
      <c r="L323" s="25" t="s">
        <v>1014</v>
      </c>
      <c r="Z323" s="30">
        <f>IF(AQ323="5",BJ323,0)</f>
        <v>0</v>
      </c>
      <c r="AB323" s="30">
        <f>IF(AQ323="1",BH323,0)</f>
        <v>0</v>
      </c>
      <c r="AC323" s="30">
        <f>IF(AQ323="1",BI323,0)</f>
        <v>0</v>
      </c>
      <c r="AD323" s="30">
        <f>IF(AQ323="7",BH323,0)</f>
        <v>0</v>
      </c>
      <c r="AE323" s="30">
        <f>IF(AQ323="7",BI323,0)</f>
        <v>0</v>
      </c>
      <c r="AF323" s="30">
        <f>IF(AQ323="2",BH323,0)</f>
        <v>0</v>
      </c>
      <c r="AG323" s="30">
        <f>IF(AQ323="2",BI323,0)</f>
        <v>0</v>
      </c>
      <c r="AH323" s="30">
        <f>IF(AQ323="0",BJ323,0)</f>
        <v>0</v>
      </c>
      <c r="AI323" s="24" t="s">
        <v>1025</v>
      </c>
      <c r="AJ323" s="14">
        <f>IF(AN323=0,K323,0)</f>
        <v>0</v>
      </c>
      <c r="AK323" s="14">
        <f>IF(AN323=15,K323,0)</f>
        <v>0</v>
      </c>
      <c r="AL323" s="14">
        <f>IF(AN323=21,K323,0)</f>
        <v>0</v>
      </c>
      <c r="AN323" s="30">
        <v>21</v>
      </c>
      <c r="AO323" s="30">
        <f>H323*0</f>
        <v>0</v>
      </c>
      <c r="AP323" s="30">
        <f>H323*(1-0)</f>
        <v>0</v>
      </c>
      <c r="AQ323" s="25" t="s">
        <v>7</v>
      </c>
      <c r="AV323" s="30">
        <f>AW323+AX323</f>
        <v>0</v>
      </c>
      <c r="AW323" s="30">
        <f>G323*AO323</f>
        <v>0</v>
      </c>
      <c r="AX323" s="30">
        <f>G323*AP323</f>
        <v>0</v>
      </c>
      <c r="AY323" s="31" t="s">
        <v>1058</v>
      </c>
      <c r="AZ323" s="31" t="s">
        <v>1074</v>
      </c>
      <c r="BA323" s="24" t="s">
        <v>1081</v>
      </c>
      <c r="BC323" s="30">
        <f>AW323+AX323</f>
        <v>0</v>
      </c>
      <c r="BD323" s="30">
        <f>H323/(100-BE323)*100</f>
        <v>0</v>
      </c>
      <c r="BE323" s="30">
        <v>0</v>
      </c>
      <c r="BF323" s="30">
        <f>323</f>
        <v>323</v>
      </c>
      <c r="BH323" s="14">
        <f>G323*AO323</f>
        <v>0</v>
      </c>
      <c r="BI323" s="14">
        <f>G323*AP323</f>
        <v>0</v>
      </c>
      <c r="BJ323" s="14">
        <f>G323*H323</f>
        <v>0</v>
      </c>
    </row>
    <row r="324" spans="1:47" ht="12.75">
      <c r="A324" s="3"/>
      <c r="B324" s="11" t="s">
        <v>69</v>
      </c>
      <c r="C324" s="151" t="s">
        <v>939</v>
      </c>
      <c r="D324" s="152"/>
      <c r="E324" s="152"/>
      <c r="F324" s="3" t="s">
        <v>6</v>
      </c>
      <c r="G324" s="3" t="s">
        <v>6</v>
      </c>
      <c r="H324" s="3" t="s">
        <v>6</v>
      </c>
      <c r="I324" s="32">
        <f>SUM(I325:I325)</f>
        <v>0</v>
      </c>
      <c r="J324" s="32">
        <f>SUM(J325:J325)</f>
        <v>0</v>
      </c>
      <c r="K324" s="32">
        <f>SUM(K325:K325)</f>
        <v>0</v>
      </c>
      <c r="L324" s="24"/>
      <c r="AI324" s="24" t="s">
        <v>1025</v>
      </c>
      <c r="AS324" s="32">
        <f>SUM(AJ325:AJ325)</f>
        <v>0</v>
      </c>
      <c r="AT324" s="32">
        <f>SUM(AK325:AK325)</f>
        <v>0</v>
      </c>
      <c r="AU324" s="32">
        <f>SUM(AL325:AL325)</f>
        <v>0</v>
      </c>
    </row>
    <row r="325" spans="1:62" ht="12.75">
      <c r="A325" s="4" t="s">
        <v>275</v>
      </c>
      <c r="B325" s="4" t="s">
        <v>596</v>
      </c>
      <c r="C325" s="153" t="s">
        <v>940</v>
      </c>
      <c r="D325" s="154"/>
      <c r="E325" s="154"/>
      <c r="F325" s="4" t="s">
        <v>993</v>
      </c>
      <c r="G325" s="64">
        <v>75.5</v>
      </c>
      <c r="H325" s="82">
        <v>0</v>
      </c>
      <c r="I325" s="14">
        <f>G325*AO325</f>
        <v>0</v>
      </c>
      <c r="J325" s="14">
        <f>G325*AP325</f>
        <v>0</v>
      </c>
      <c r="K325" s="14">
        <f>G325*H325</f>
        <v>0</v>
      </c>
      <c r="L325" s="25" t="s">
        <v>1014</v>
      </c>
      <c r="Z325" s="30">
        <f>IF(AQ325="5",BJ325,0)</f>
        <v>0</v>
      </c>
      <c r="AB325" s="30">
        <f>IF(AQ325="1",BH325,0)</f>
        <v>0</v>
      </c>
      <c r="AC325" s="30">
        <f>IF(AQ325="1",BI325,0)</f>
        <v>0</v>
      </c>
      <c r="AD325" s="30">
        <f>IF(AQ325="7",BH325,0)</f>
        <v>0</v>
      </c>
      <c r="AE325" s="30">
        <f>IF(AQ325="7",BI325,0)</f>
        <v>0</v>
      </c>
      <c r="AF325" s="30">
        <f>IF(AQ325="2",BH325,0)</f>
        <v>0</v>
      </c>
      <c r="AG325" s="30">
        <f>IF(AQ325="2",BI325,0)</f>
        <v>0</v>
      </c>
      <c r="AH325" s="30">
        <f>IF(AQ325="0",BJ325,0)</f>
        <v>0</v>
      </c>
      <c r="AI325" s="24" t="s">
        <v>1025</v>
      </c>
      <c r="AJ325" s="14">
        <f>IF(AN325=0,K325,0)</f>
        <v>0</v>
      </c>
      <c r="AK325" s="14">
        <f>IF(AN325=15,K325,0)</f>
        <v>0</v>
      </c>
      <c r="AL325" s="14">
        <f>IF(AN325=21,K325,0)</f>
        <v>0</v>
      </c>
      <c r="AN325" s="30">
        <v>21</v>
      </c>
      <c r="AO325" s="30">
        <f>H325*0.816069711538462</f>
        <v>0</v>
      </c>
      <c r="AP325" s="30">
        <f>H325*(1-0.816069711538462)</f>
        <v>0</v>
      </c>
      <c r="AQ325" s="25" t="s">
        <v>7</v>
      </c>
      <c r="AV325" s="30">
        <f>AW325+AX325</f>
        <v>0</v>
      </c>
      <c r="AW325" s="30">
        <f>G325*AO325</f>
        <v>0</v>
      </c>
      <c r="AX325" s="30">
        <f>G325*AP325</f>
        <v>0</v>
      </c>
      <c r="AY325" s="31" t="s">
        <v>1059</v>
      </c>
      <c r="AZ325" s="31" t="s">
        <v>1075</v>
      </c>
      <c r="BA325" s="24" t="s">
        <v>1081</v>
      </c>
      <c r="BC325" s="30">
        <f>AW325+AX325</f>
        <v>0</v>
      </c>
      <c r="BD325" s="30">
        <f>H325/(100-BE325)*100</f>
        <v>0</v>
      </c>
      <c r="BE325" s="30">
        <v>0</v>
      </c>
      <c r="BF325" s="30">
        <f>325</f>
        <v>325</v>
      </c>
      <c r="BH325" s="14">
        <f>G325*AO325</f>
        <v>0</v>
      </c>
      <c r="BI325" s="14">
        <f>G325*AP325</f>
        <v>0</v>
      </c>
      <c r="BJ325" s="14">
        <f>G325*H325</f>
        <v>0</v>
      </c>
    </row>
    <row r="326" spans="1:47" ht="12.75">
      <c r="A326" s="3"/>
      <c r="B326" s="11" t="s">
        <v>101</v>
      </c>
      <c r="C326" s="151" t="s">
        <v>729</v>
      </c>
      <c r="D326" s="152"/>
      <c r="E326" s="152"/>
      <c r="F326" s="3" t="s">
        <v>6</v>
      </c>
      <c r="G326" s="3" t="s">
        <v>6</v>
      </c>
      <c r="H326" s="3" t="s">
        <v>6</v>
      </c>
      <c r="I326" s="32">
        <f>SUM(I327:I327)</f>
        <v>0</v>
      </c>
      <c r="J326" s="32">
        <f>SUM(J327:J327)</f>
        <v>0</v>
      </c>
      <c r="K326" s="32">
        <f>SUM(K327:K327)</f>
        <v>0</v>
      </c>
      <c r="L326" s="24"/>
      <c r="AI326" s="24" t="s">
        <v>1025</v>
      </c>
      <c r="AS326" s="32">
        <f>SUM(AJ327:AJ327)</f>
        <v>0</v>
      </c>
      <c r="AT326" s="32">
        <f>SUM(AK327:AK327)</f>
        <v>0</v>
      </c>
      <c r="AU326" s="32">
        <f>SUM(AL327:AL327)</f>
        <v>0</v>
      </c>
    </row>
    <row r="327" spans="1:62" ht="12.75">
      <c r="A327" s="4" t="s">
        <v>276</v>
      </c>
      <c r="B327" s="4" t="s">
        <v>597</v>
      </c>
      <c r="C327" s="153" t="s">
        <v>941</v>
      </c>
      <c r="D327" s="154"/>
      <c r="E327" s="154"/>
      <c r="F327" s="4" t="s">
        <v>991</v>
      </c>
      <c r="G327" s="64">
        <v>1</v>
      </c>
      <c r="H327" s="82">
        <v>0</v>
      </c>
      <c r="I327" s="14">
        <f>G327*AO327</f>
        <v>0</v>
      </c>
      <c r="J327" s="14">
        <f>G327*AP327</f>
        <v>0</v>
      </c>
      <c r="K327" s="14">
        <f>G327*H327</f>
        <v>0</v>
      </c>
      <c r="L327" s="25" t="s">
        <v>1014</v>
      </c>
      <c r="Z327" s="30">
        <f>IF(AQ327="5",BJ327,0)</f>
        <v>0</v>
      </c>
      <c r="AB327" s="30">
        <f>IF(AQ327="1",BH327,0)</f>
        <v>0</v>
      </c>
      <c r="AC327" s="30">
        <f>IF(AQ327="1",BI327,0)</f>
        <v>0</v>
      </c>
      <c r="AD327" s="30">
        <f>IF(AQ327="7",BH327,0)</f>
        <v>0</v>
      </c>
      <c r="AE327" s="30">
        <f>IF(AQ327="7",BI327,0)</f>
        <v>0</v>
      </c>
      <c r="AF327" s="30">
        <f>IF(AQ327="2",BH327,0)</f>
        <v>0</v>
      </c>
      <c r="AG327" s="30">
        <f>IF(AQ327="2",BI327,0)</f>
        <v>0</v>
      </c>
      <c r="AH327" s="30">
        <f>IF(AQ327="0",BJ327,0)</f>
        <v>0</v>
      </c>
      <c r="AI327" s="24" t="s">
        <v>1025</v>
      </c>
      <c r="AJ327" s="14">
        <f>IF(AN327=0,K327,0)</f>
        <v>0</v>
      </c>
      <c r="AK327" s="14">
        <f>IF(AN327=15,K327,0)</f>
        <v>0</v>
      </c>
      <c r="AL327" s="14">
        <f>IF(AN327=21,K327,0)</f>
        <v>0</v>
      </c>
      <c r="AN327" s="30">
        <v>21</v>
      </c>
      <c r="AO327" s="30">
        <f>H327*0.568033230769231</f>
        <v>0</v>
      </c>
      <c r="AP327" s="30">
        <f>H327*(1-0.568033230769231)</f>
        <v>0</v>
      </c>
      <c r="AQ327" s="25" t="s">
        <v>7</v>
      </c>
      <c r="AV327" s="30">
        <f>AW327+AX327</f>
        <v>0</v>
      </c>
      <c r="AW327" s="30">
        <f>G327*AO327</f>
        <v>0</v>
      </c>
      <c r="AX327" s="30">
        <f>G327*AP327</f>
        <v>0</v>
      </c>
      <c r="AY327" s="31" t="s">
        <v>1042</v>
      </c>
      <c r="AZ327" s="31" t="s">
        <v>1076</v>
      </c>
      <c r="BA327" s="24" t="s">
        <v>1081</v>
      </c>
      <c r="BC327" s="30">
        <f>AW327+AX327</f>
        <v>0</v>
      </c>
      <c r="BD327" s="30">
        <f>H327/(100-BE327)*100</f>
        <v>0</v>
      </c>
      <c r="BE327" s="30">
        <v>0</v>
      </c>
      <c r="BF327" s="30">
        <f>327</f>
        <v>327</v>
      </c>
      <c r="BH327" s="14">
        <f>G327*AO327</f>
        <v>0</v>
      </c>
      <c r="BI327" s="14">
        <f>G327*AP327</f>
        <v>0</v>
      </c>
      <c r="BJ327" s="14">
        <f>G327*H327</f>
        <v>0</v>
      </c>
    </row>
    <row r="328" spans="1:47" ht="12.75">
      <c r="A328" s="3"/>
      <c r="B328" s="11" t="s">
        <v>102</v>
      </c>
      <c r="C328" s="151" t="s">
        <v>741</v>
      </c>
      <c r="D328" s="152"/>
      <c r="E328" s="152"/>
      <c r="F328" s="3" t="s">
        <v>6</v>
      </c>
      <c r="G328" s="3" t="s">
        <v>6</v>
      </c>
      <c r="H328" s="3" t="s">
        <v>6</v>
      </c>
      <c r="I328" s="32">
        <f>SUM(I329:I329)</f>
        <v>0</v>
      </c>
      <c r="J328" s="32">
        <f>SUM(J329:J329)</f>
        <v>0</v>
      </c>
      <c r="K328" s="32">
        <f>SUM(K329:K329)</f>
        <v>0</v>
      </c>
      <c r="L328" s="24"/>
      <c r="AI328" s="24" t="s">
        <v>1025</v>
      </c>
      <c r="AS328" s="32">
        <f>SUM(AJ329:AJ329)</f>
        <v>0</v>
      </c>
      <c r="AT328" s="32">
        <f>SUM(AK329:AK329)</f>
        <v>0</v>
      </c>
      <c r="AU328" s="32">
        <f>SUM(AL329:AL329)</f>
        <v>0</v>
      </c>
    </row>
    <row r="329" spans="1:62" ht="12.75">
      <c r="A329" s="4" t="s">
        <v>277</v>
      </c>
      <c r="B329" s="4" t="s">
        <v>598</v>
      </c>
      <c r="C329" s="153" t="s">
        <v>942</v>
      </c>
      <c r="D329" s="154"/>
      <c r="E329" s="154"/>
      <c r="F329" s="4" t="s">
        <v>997</v>
      </c>
      <c r="G329" s="64">
        <v>1</v>
      </c>
      <c r="H329" s="82">
        <v>0</v>
      </c>
      <c r="I329" s="14">
        <f>G329*AO329</f>
        <v>0</v>
      </c>
      <c r="J329" s="14">
        <f>G329*AP329</f>
        <v>0</v>
      </c>
      <c r="K329" s="14">
        <f>G329*H329</f>
        <v>0</v>
      </c>
      <c r="L329" s="25" t="s">
        <v>1014</v>
      </c>
      <c r="Z329" s="30">
        <f>IF(AQ329="5",BJ329,0)</f>
        <v>0</v>
      </c>
      <c r="AB329" s="30">
        <f>IF(AQ329="1",BH329,0)</f>
        <v>0</v>
      </c>
      <c r="AC329" s="30">
        <f>IF(AQ329="1",BI329,0)</f>
        <v>0</v>
      </c>
      <c r="AD329" s="30">
        <f>IF(AQ329="7",BH329,0)</f>
        <v>0</v>
      </c>
      <c r="AE329" s="30">
        <f>IF(AQ329="7",BI329,0)</f>
        <v>0</v>
      </c>
      <c r="AF329" s="30">
        <f>IF(AQ329="2",BH329,0)</f>
        <v>0</v>
      </c>
      <c r="AG329" s="30">
        <f>IF(AQ329="2",BI329,0)</f>
        <v>0</v>
      </c>
      <c r="AH329" s="30">
        <f>IF(AQ329="0",BJ329,0)</f>
        <v>0</v>
      </c>
      <c r="AI329" s="24" t="s">
        <v>1025</v>
      </c>
      <c r="AJ329" s="14">
        <f>IF(AN329=0,K329,0)</f>
        <v>0</v>
      </c>
      <c r="AK329" s="14">
        <f>IF(AN329=15,K329,0)</f>
        <v>0</v>
      </c>
      <c r="AL329" s="14">
        <f>IF(AN329=21,K329,0)</f>
        <v>0</v>
      </c>
      <c r="AN329" s="30">
        <v>21</v>
      </c>
      <c r="AO329" s="30">
        <f>H329*0.0806382105263158</f>
        <v>0</v>
      </c>
      <c r="AP329" s="30">
        <f>H329*(1-0.0806382105263158)</f>
        <v>0</v>
      </c>
      <c r="AQ329" s="25" t="s">
        <v>7</v>
      </c>
      <c r="AV329" s="30">
        <f>AW329+AX329</f>
        <v>0</v>
      </c>
      <c r="AW329" s="30">
        <f>G329*AO329</f>
        <v>0</v>
      </c>
      <c r="AX329" s="30">
        <f>G329*AP329</f>
        <v>0</v>
      </c>
      <c r="AY329" s="31" t="s">
        <v>1043</v>
      </c>
      <c r="AZ329" s="31" t="s">
        <v>1076</v>
      </c>
      <c r="BA329" s="24" t="s">
        <v>1081</v>
      </c>
      <c r="BC329" s="30">
        <f>AW329+AX329</f>
        <v>0</v>
      </c>
      <c r="BD329" s="30">
        <f>H329/(100-BE329)*100</f>
        <v>0</v>
      </c>
      <c r="BE329" s="30">
        <v>0</v>
      </c>
      <c r="BF329" s="30">
        <f>329</f>
        <v>329</v>
      </c>
      <c r="BH329" s="14">
        <f>G329*AO329</f>
        <v>0</v>
      </c>
      <c r="BI329" s="14">
        <f>G329*AP329</f>
        <v>0</v>
      </c>
      <c r="BJ329" s="14">
        <f>G329*H329</f>
        <v>0</v>
      </c>
    </row>
    <row r="330" spans="1:47" ht="12.75">
      <c r="A330" s="3"/>
      <c r="B330" s="11" t="s">
        <v>447</v>
      </c>
      <c r="C330" s="151" t="s">
        <v>785</v>
      </c>
      <c r="D330" s="152"/>
      <c r="E330" s="152"/>
      <c r="F330" s="3" t="s">
        <v>6</v>
      </c>
      <c r="G330" s="3" t="s">
        <v>6</v>
      </c>
      <c r="H330" s="3" t="s">
        <v>6</v>
      </c>
      <c r="I330" s="32">
        <f>SUM(I331:I331)</f>
        <v>0</v>
      </c>
      <c r="J330" s="32">
        <f>SUM(J331:J331)</f>
        <v>0</v>
      </c>
      <c r="K330" s="32">
        <f>SUM(K331:K331)</f>
        <v>0</v>
      </c>
      <c r="L330" s="24"/>
      <c r="AI330" s="24" t="s">
        <v>1025</v>
      </c>
      <c r="AS330" s="32">
        <f>SUM(AJ331:AJ331)</f>
        <v>0</v>
      </c>
      <c r="AT330" s="32">
        <f>SUM(AK331:AK331)</f>
        <v>0</v>
      </c>
      <c r="AU330" s="32">
        <f>SUM(AL331:AL331)</f>
        <v>0</v>
      </c>
    </row>
    <row r="331" spans="1:62" ht="12.75">
      <c r="A331" s="4" t="s">
        <v>278</v>
      </c>
      <c r="B331" s="4" t="s">
        <v>448</v>
      </c>
      <c r="C331" s="153" t="s">
        <v>786</v>
      </c>
      <c r="D331" s="154"/>
      <c r="E331" s="154"/>
      <c r="F331" s="4" t="s">
        <v>994</v>
      </c>
      <c r="G331" s="64">
        <v>85.379</v>
      </c>
      <c r="H331" s="82">
        <v>0</v>
      </c>
      <c r="I331" s="14">
        <f>G331*AO331</f>
        <v>0</v>
      </c>
      <c r="J331" s="14">
        <f>G331*AP331</f>
        <v>0</v>
      </c>
      <c r="K331" s="14">
        <f>G331*H331</f>
        <v>0</v>
      </c>
      <c r="L331" s="25" t="s">
        <v>1014</v>
      </c>
      <c r="Z331" s="30">
        <f>IF(AQ331="5",BJ331,0)</f>
        <v>0</v>
      </c>
      <c r="AB331" s="30">
        <f>IF(AQ331="1",BH331,0)</f>
        <v>0</v>
      </c>
      <c r="AC331" s="30">
        <f>IF(AQ331="1",BI331,0)</f>
        <v>0</v>
      </c>
      <c r="AD331" s="30">
        <f>IF(AQ331="7",BH331,0)</f>
        <v>0</v>
      </c>
      <c r="AE331" s="30">
        <f>IF(AQ331="7",BI331,0)</f>
        <v>0</v>
      </c>
      <c r="AF331" s="30">
        <f>IF(AQ331="2",BH331,0)</f>
        <v>0</v>
      </c>
      <c r="AG331" s="30">
        <f>IF(AQ331="2",BI331,0)</f>
        <v>0</v>
      </c>
      <c r="AH331" s="30">
        <f>IF(AQ331="0",BJ331,0)</f>
        <v>0</v>
      </c>
      <c r="AI331" s="24" t="s">
        <v>1025</v>
      </c>
      <c r="AJ331" s="14">
        <f>IF(AN331=0,K331,0)</f>
        <v>0</v>
      </c>
      <c r="AK331" s="14">
        <f>IF(AN331=15,K331,0)</f>
        <v>0</v>
      </c>
      <c r="AL331" s="14">
        <f>IF(AN331=21,K331,0)</f>
        <v>0</v>
      </c>
      <c r="AN331" s="30">
        <v>21</v>
      </c>
      <c r="AO331" s="30">
        <f>H331*0</f>
        <v>0</v>
      </c>
      <c r="AP331" s="30">
        <f>H331*(1-0)</f>
        <v>0</v>
      </c>
      <c r="AQ331" s="25" t="s">
        <v>11</v>
      </c>
      <c r="AV331" s="30">
        <f>AW331+AX331</f>
        <v>0</v>
      </c>
      <c r="AW331" s="30">
        <f>G331*AO331</f>
        <v>0</v>
      </c>
      <c r="AX331" s="30">
        <f>G331*AP331</f>
        <v>0</v>
      </c>
      <c r="AY331" s="31" t="s">
        <v>1046</v>
      </c>
      <c r="AZ331" s="31" t="s">
        <v>1076</v>
      </c>
      <c r="BA331" s="24" t="s">
        <v>1081</v>
      </c>
      <c r="BC331" s="30">
        <f>AW331+AX331</f>
        <v>0</v>
      </c>
      <c r="BD331" s="30">
        <f>H331/(100-BE331)*100</f>
        <v>0</v>
      </c>
      <c r="BE331" s="30">
        <v>0</v>
      </c>
      <c r="BF331" s="30">
        <f>331</f>
        <v>331</v>
      </c>
      <c r="BH331" s="14">
        <f>G331*AO331</f>
        <v>0</v>
      </c>
      <c r="BI331" s="14">
        <f>G331*AP331</f>
        <v>0</v>
      </c>
      <c r="BJ331" s="14">
        <f>G331*H331</f>
        <v>0</v>
      </c>
    </row>
    <row r="332" spans="1:47" ht="12.75">
      <c r="A332" s="3"/>
      <c r="B332" s="11" t="s">
        <v>599</v>
      </c>
      <c r="C332" s="151" t="s">
        <v>943</v>
      </c>
      <c r="D332" s="152"/>
      <c r="E332" s="152"/>
      <c r="F332" s="3" t="s">
        <v>6</v>
      </c>
      <c r="G332" s="3" t="s">
        <v>6</v>
      </c>
      <c r="H332" s="3" t="s">
        <v>6</v>
      </c>
      <c r="I332" s="32">
        <f>SUM(I333:I373)</f>
        <v>0</v>
      </c>
      <c r="J332" s="32">
        <f>SUM(J333:J373)</f>
        <v>0</v>
      </c>
      <c r="K332" s="32">
        <f>SUM(K333:K373)</f>
        <v>0</v>
      </c>
      <c r="L332" s="24"/>
      <c r="AI332" s="24" t="s">
        <v>1025</v>
      </c>
      <c r="AS332" s="32">
        <f>SUM(AJ333:AJ373)</f>
        <v>0</v>
      </c>
      <c r="AT332" s="32">
        <f>SUM(AK333:AK373)</f>
        <v>0</v>
      </c>
      <c r="AU332" s="32">
        <f>SUM(AL333:AL373)</f>
        <v>0</v>
      </c>
    </row>
    <row r="333" spans="1:62" ht="12.75">
      <c r="A333" s="4" t="s">
        <v>279</v>
      </c>
      <c r="B333" s="4" t="s">
        <v>600</v>
      </c>
      <c r="C333" s="153" t="s">
        <v>944</v>
      </c>
      <c r="D333" s="154"/>
      <c r="E333" s="154"/>
      <c r="F333" s="4" t="s">
        <v>995</v>
      </c>
      <c r="G333" s="64">
        <v>207</v>
      </c>
      <c r="H333" s="82">
        <v>0</v>
      </c>
      <c r="I333" s="14">
        <f>G333*AO333</f>
        <v>0</v>
      </c>
      <c r="J333" s="14">
        <f>G333*AP333</f>
        <v>0</v>
      </c>
      <c r="K333" s="14">
        <f>G333*H333</f>
        <v>0</v>
      </c>
      <c r="L333" s="25"/>
      <c r="Z333" s="30">
        <f>IF(AQ333="5",BJ333,0)</f>
        <v>0</v>
      </c>
      <c r="AB333" s="30">
        <f>IF(AQ333="1",BH333,0)</f>
        <v>0</v>
      </c>
      <c r="AC333" s="30">
        <f>IF(AQ333="1",BI333,0)</f>
        <v>0</v>
      </c>
      <c r="AD333" s="30">
        <f>IF(AQ333="7",BH333,0)</f>
        <v>0</v>
      </c>
      <c r="AE333" s="30">
        <f>IF(AQ333="7",BI333,0)</f>
        <v>0</v>
      </c>
      <c r="AF333" s="30">
        <f>IF(AQ333="2",BH333,0)</f>
        <v>0</v>
      </c>
      <c r="AG333" s="30">
        <f>IF(AQ333="2",BI333,0)</f>
        <v>0</v>
      </c>
      <c r="AH333" s="30">
        <f>IF(AQ333="0",BJ333,0)</f>
        <v>0</v>
      </c>
      <c r="AI333" s="24" t="s">
        <v>1025</v>
      </c>
      <c r="AJ333" s="14">
        <f>IF(AN333=0,K333,0)</f>
        <v>0</v>
      </c>
      <c r="AK333" s="14">
        <f>IF(AN333=15,K333,0)</f>
        <v>0</v>
      </c>
      <c r="AL333" s="14">
        <f>IF(AN333=21,K333,0)</f>
        <v>0</v>
      </c>
      <c r="AN333" s="30">
        <v>21</v>
      </c>
      <c r="AO333" s="30">
        <f>H333*0</f>
        <v>0</v>
      </c>
      <c r="AP333" s="30">
        <f>H333*(1-0)</f>
        <v>0</v>
      </c>
      <c r="AQ333" s="25" t="s">
        <v>13</v>
      </c>
      <c r="AV333" s="30">
        <f>AW333+AX333</f>
        <v>0</v>
      </c>
      <c r="AW333" s="30">
        <f>G333*AO333</f>
        <v>0</v>
      </c>
      <c r="AX333" s="30">
        <f>G333*AP333</f>
        <v>0</v>
      </c>
      <c r="AY333" s="31" t="s">
        <v>1060</v>
      </c>
      <c r="AZ333" s="31" t="s">
        <v>1077</v>
      </c>
      <c r="BA333" s="24" t="s">
        <v>1081</v>
      </c>
      <c r="BC333" s="30">
        <f>AW333+AX333</f>
        <v>0</v>
      </c>
      <c r="BD333" s="30">
        <f>H333/(100-BE333)*100</f>
        <v>0</v>
      </c>
      <c r="BE333" s="30">
        <v>0</v>
      </c>
      <c r="BF333" s="30">
        <f>333</f>
        <v>333</v>
      </c>
      <c r="BH333" s="14">
        <f>G333*AO333</f>
        <v>0</v>
      </c>
      <c r="BI333" s="14">
        <f>G333*AP333</f>
        <v>0</v>
      </c>
      <c r="BJ333" s="14">
        <f>G333*H333</f>
        <v>0</v>
      </c>
    </row>
    <row r="334" spans="3:5" ht="12.75">
      <c r="C334" s="155" t="s">
        <v>945</v>
      </c>
      <c r="D334" s="156"/>
      <c r="E334" s="156"/>
    </row>
    <row r="335" spans="1:62" ht="12.75">
      <c r="A335" s="4" t="s">
        <v>280</v>
      </c>
      <c r="B335" s="4" t="s">
        <v>601</v>
      </c>
      <c r="C335" s="153" t="s">
        <v>946</v>
      </c>
      <c r="D335" s="154"/>
      <c r="E335" s="154"/>
      <c r="F335" s="4" t="s">
        <v>995</v>
      </c>
      <c r="G335" s="64">
        <v>207</v>
      </c>
      <c r="H335" s="82">
        <v>0</v>
      </c>
      <c r="I335" s="14">
        <f aca="true" t="shared" si="274" ref="I335:I344">G335*AO335</f>
        <v>0</v>
      </c>
      <c r="J335" s="14">
        <f aca="true" t="shared" si="275" ref="J335:J344">G335*AP335</f>
        <v>0</v>
      </c>
      <c r="K335" s="14">
        <f aca="true" t="shared" si="276" ref="K335:K344">G335*H335</f>
        <v>0</v>
      </c>
      <c r="L335" s="25"/>
      <c r="Z335" s="30">
        <f aca="true" t="shared" si="277" ref="Z335:Z344">IF(AQ335="5",BJ335,0)</f>
        <v>0</v>
      </c>
      <c r="AB335" s="30">
        <f aca="true" t="shared" si="278" ref="AB335:AB344">IF(AQ335="1",BH335,0)</f>
        <v>0</v>
      </c>
      <c r="AC335" s="30">
        <f aca="true" t="shared" si="279" ref="AC335:AC344">IF(AQ335="1",BI335,0)</f>
        <v>0</v>
      </c>
      <c r="AD335" s="30">
        <f aca="true" t="shared" si="280" ref="AD335:AD344">IF(AQ335="7",BH335,0)</f>
        <v>0</v>
      </c>
      <c r="AE335" s="30">
        <f aca="true" t="shared" si="281" ref="AE335:AE344">IF(AQ335="7",BI335,0)</f>
        <v>0</v>
      </c>
      <c r="AF335" s="30">
        <f aca="true" t="shared" si="282" ref="AF335:AF344">IF(AQ335="2",BH335,0)</f>
        <v>0</v>
      </c>
      <c r="AG335" s="30">
        <f aca="true" t="shared" si="283" ref="AG335:AG344">IF(AQ335="2",BI335,0)</f>
        <v>0</v>
      </c>
      <c r="AH335" s="30">
        <f aca="true" t="shared" si="284" ref="AH335:AH344">IF(AQ335="0",BJ335,0)</f>
        <v>0</v>
      </c>
      <c r="AI335" s="24" t="s">
        <v>1025</v>
      </c>
      <c r="AJ335" s="14">
        <f aca="true" t="shared" si="285" ref="AJ335:AJ344">IF(AN335=0,K335,0)</f>
        <v>0</v>
      </c>
      <c r="AK335" s="14">
        <f aca="true" t="shared" si="286" ref="AK335:AK344">IF(AN335=15,K335,0)</f>
        <v>0</v>
      </c>
      <c r="AL335" s="14">
        <f aca="true" t="shared" si="287" ref="AL335:AL344">IF(AN335=21,K335,0)</f>
        <v>0</v>
      </c>
      <c r="AN335" s="30">
        <v>21</v>
      </c>
      <c r="AO335" s="30">
        <f aca="true" t="shared" si="288" ref="AO335:AO344">H335*0.65</f>
        <v>0</v>
      </c>
      <c r="AP335" s="30">
        <f aca="true" t="shared" si="289" ref="AP335:AP344">H335*(1-0.65)</f>
        <v>0</v>
      </c>
      <c r="AQ335" s="25" t="s">
        <v>13</v>
      </c>
      <c r="AV335" s="30">
        <f aca="true" t="shared" si="290" ref="AV335:AV344">AW335+AX335</f>
        <v>0</v>
      </c>
      <c r="AW335" s="30">
        <f aca="true" t="shared" si="291" ref="AW335:AW344">G335*AO335</f>
        <v>0</v>
      </c>
      <c r="AX335" s="30">
        <f aca="true" t="shared" si="292" ref="AX335:AX344">G335*AP335</f>
        <v>0</v>
      </c>
      <c r="AY335" s="31" t="s">
        <v>1060</v>
      </c>
      <c r="AZ335" s="31" t="s">
        <v>1077</v>
      </c>
      <c r="BA335" s="24" t="s">
        <v>1081</v>
      </c>
      <c r="BC335" s="30">
        <f aca="true" t="shared" si="293" ref="BC335:BC344">AW335+AX335</f>
        <v>0</v>
      </c>
      <c r="BD335" s="30">
        <f aca="true" t="shared" si="294" ref="BD335:BD344">H335/(100-BE335)*100</f>
        <v>0</v>
      </c>
      <c r="BE335" s="30">
        <v>0</v>
      </c>
      <c r="BF335" s="30">
        <f>335</f>
        <v>335</v>
      </c>
      <c r="BH335" s="14">
        <f aca="true" t="shared" si="295" ref="BH335:BH344">G335*AO335</f>
        <v>0</v>
      </c>
      <c r="BI335" s="14">
        <f aca="true" t="shared" si="296" ref="BI335:BI344">G335*AP335</f>
        <v>0</v>
      </c>
      <c r="BJ335" s="14">
        <f aca="true" t="shared" si="297" ref="BJ335:BJ344">G335*H335</f>
        <v>0</v>
      </c>
    </row>
    <row r="336" spans="1:62" ht="12.75">
      <c r="A336" s="4" t="s">
        <v>281</v>
      </c>
      <c r="B336" s="4" t="s">
        <v>602</v>
      </c>
      <c r="C336" s="153" t="s">
        <v>947</v>
      </c>
      <c r="D336" s="154"/>
      <c r="E336" s="154"/>
      <c r="F336" s="4" t="s">
        <v>995</v>
      </c>
      <c r="G336" s="64">
        <v>207</v>
      </c>
      <c r="H336" s="82">
        <v>0</v>
      </c>
      <c r="I336" s="14">
        <f t="shared" si="274"/>
        <v>0</v>
      </c>
      <c r="J336" s="14">
        <f t="shared" si="275"/>
        <v>0</v>
      </c>
      <c r="K336" s="14">
        <f t="shared" si="276"/>
        <v>0</v>
      </c>
      <c r="L336" s="25"/>
      <c r="Z336" s="30">
        <f t="shared" si="277"/>
        <v>0</v>
      </c>
      <c r="AB336" s="30">
        <f t="shared" si="278"/>
        <v>0</v>
      </c>
      <c r="AC336" s="30">
        <f t="shared" si="279"/>
        <v>0</v>
      </c>
      <c r="AD336" s="30">
        <f t="shared" si="280"/>
        <v>0</v>
      </c>
      <c r="AE336" s="30">
        <f t="shared" si="281"/>
        <v>0</v>
      </c>
      <c r="AF336" s="30">
        <f t="shared" si="282"/>
        <v>0</v>
      </c>
      <c r="AG336" s="30">
        <f t="shared" si="283"/>
        <v>0</v>
      </c>
      <c r="AH336" s="30">
        <f t="shared" si="284"/>
        <v>0</v>
      </c>
      <c r="AI336" s="24" t="s">
        <v>1025</v>
      </c>
      <c r="AJ336" s="14">
        <f t="shared" si="285"/>
        <v>0</v>
      </c>
      <c r="AK336" s="14">
        <f t="shared" si="286"/>
        <v>0</v>
      </c>
      <c r="AL336" s="14">
        <f t="shared" si="287"/>
        <v>0</v>
      </c>
      <c r="AN336" s="30">
        <v>21</v>
      </c>
      <c r="AO336" s="30">
        <f t="shared" si="288"/>
        <v>0</v>
      </c>
      <c r="AP336" s="30">
        <f t="shared" si="289"/>
        <v>0</v>
      </c>
      <c r="AQ336" s="25" t="s">
        <v>13</v>
      </c>
      <c r="AV336" s="30">
        <f t="shared" si="290"/>
        <v>0</v>
      </c>
      <c r="AW336" s="30">
        <f t="shared" si="291"/>
        <v>0</v>
      </c>
      <c r="AX336" s="30">
        <f t="shared" si="292"/>
        <v>0</v>
      </c>
      <c r="AY336" s="31" t="s">
        <v>1060</v>
      </c>
      <c r="AZ336" s="31" t="s">
        <v>1077</v>
      </c>
      <c r="BA336" s="24" t="s">
        <v>1081</v>
      </c>
      <c r="BC336" s="30">
        <f t="shared" si="293"/>
        <v>0</v>
      </c>
      <c r="BD336" s="30">
        <f t="shared" si="294"/>
        <v>0</v>
      </c>
      <c r="BE336" s="30">
        <v>0</v>
      </c>
      <c r="BF336" s="30">
        <f>336</f>
        <v>336</v>
      </c>
      <c r="BH336" s="14">
        <f t="shared" si="295"/>
        <v>0</v>
      </c>
      <c r="BI336" s="14">
        <f t="shared" si="296"/>
        <v>0</v>
      </c>
      <c r="BJ336" s="14">
        <f t="shared" si="297"/>
        <v>0</v>
      </c>
    </row>
    <row r="337" spans="1:62" ht="12.75">
      <c r="A337" s="4" t="s">
        <v>282</v>
      </c>
      <c r="B337" s="4" t="s">
        <v>603</v>
      </c>
      <c r="C337" s="153" t="s">
        <v>948</v>
      </c>
      <c r="D337" s="154"/>
      <c r="E337" s="154"/>
      <c r="F337" s="4" t="s">
        <v>995</v>
      </c>
      <c r="G337" s="64">
        <v>207</v>
      </c>
      <c r="H337" s="82">
        <v>0</v>
      </c>
      <c r="I337" s="14">
        <f t="shared" si="274"/>
        <v>0</v>
      </c>
      <c r="J337" s="14">
        <f t="shared" si="275"/>
        <v>0</v>
      </c>
      <c r="K337" s="14">
        <f t="shared" si="276"/>
        <v>0</v>
      </c>
      <c r="L337" s="25"/>
      <c r="Z337" s="30">
        <f t="shared" si="277"/>
        <v>0</v>
      </c>
      <c r="AB337" s="30">
        <f t="shared" si="278"/>
        <v>0</v>
      </c>
      <c r="AC337" s="30">
        <f t="shared" si="279"/>
        <v>0</v>
      </c>
      <c r="AD337" s="30">
        <f t="shared" si="280"/>
        <v>0</v>
      </c>
      <c r="AE337" s="30">
        <f t="shared" si="281"/>
        <v>0</v>
      </c>
      <c r="AF337" s="30">
        <f t="shared" si="282"/>
        <v>0</v>
      </c>
      <c r="AG337" s="30">
        <f t="shared" si="283"/>
        <v>0</v>
      </c>
      <c r="AH337" s="30">
        <f t="shared" si="284"/>
        <v>0</v>
      </c>
      <c r="AI337" s="24" t="s">
        <v>1025</v>
      </c>
      <c r="AJ337" s="14">
        <f t="shared" si="285"/>
        <v>0</v>
      </c>
      <c r="AK337" s="14">
        <f t="shared" si="286"/>
        <v>0</v>
      </c>
      <c r="AL337" s="14">
        <f t="shared" si="287"/>
        <v>0</v>
      </c>
      <c r="AN337" s="30">
        <v>21</v>
      </c>
      <c r="AO337" s="30">
        <f t="shared" si="288"/>
        <v>0</v>
      </c>
      <c r="AP337" s="30">
        <f t="shared" si="289"/>
        <v>0</v>
      </c>
      <c r="AQ337" s="25" t="s">
        <v>13</v>
      </c>
      <c r="AV337" s="30">
        <f t="shared" si="290"/>
        <v>0</v>
      </c>
      <c r="AW337" s="30">
        <f t="shared" si="291"/>
        <v>0</v>
      </c>
      <c r="AX337" s="30">
        <f t="shared" si="292"/>
        <v>0</v>
      </c>
      <c r="AY337" s="31" t="s">
        <v>1060</v>
      </c>
      <c r="AZ337" s="31" t="s">
        <v>1077</v>
      </c>
      <c r="BA337" s="24" t="s">
        <v>1081</v>
      </c>
      <c r="BC337" s="30">
        <f t="shared" si="293"/>
        <v>0</v>
      </c>
      <c r="BD337" s="30">
        <f t="shared" si="294"/>
        <v>0</v>
      </c>
      <c r="BE337" s="30">
        <v>0</v>
      </c>
      <c r="BF337" s="30">
        <f>337</f>
        <v>337</v>
      </c>
      <c r="BH337" s="14">
        <f t="shared" si="295"/>
        <v>0</v>
      </c>
      <c r="BI337" s="14">
        <f t="shared" si="296"/>
        <v>0</v>
      </c>
      <c r="BJ337" s="14">
        <f t="shared" si="297"/>
        <v>0</v>
      </c>
    </row>
    <row r="338" spans="1:62" ht="12.75">
      <c r="A338" s="4" t="s">
        <v>283</v>
      </c>
      <c r="B338" s="4" t="s">
        <v>604</v>
      </c>
      <c r="C338" s="153" t="s">
        <v>949</v>
      </c>
      <c r="D338" s="154"/>
      <c r="E338" s="154"/>
      <c r="F338" s="4" t="s">
        <v>991</v>
      </c>
      <c r="G338" s="64">
        <v>4</v>
      </c>
      <c r="H338" s="82">
        <v>0</v>
      </c>
      <c r="I338" s="14">
        <f t="shared" si="274"/>
        <v>0</v>
      </c>
      <c r="J338" s="14">
        <f t="shared" si="275"/>
        <v>0</v>
      </c>
      <c r="K338" s="14">
        <f t="shared" si="276"/>
        <v>0</v>
      </c>
      <c r="L338" s="25"/>
      <c r="Z338" s="30">
        <f t="shared" si="277"/>
        <v>0</v>
      </c>
      <c r="AB338" s="30">
        <f t="shared" si="278"/>
        <v>0</v>
      </c>
      <c r="AC338" s="30">
        <f t="shared" si="279"/>
        <v>0</v>
      </c>
      <c r="AD338" s="30">
        <f t="shared" si="280"/>
        <v>0</v>
      </c>
      <c r="AE338" s="30">
        <f t="shared" si="281"/>
        <v>0</v>
      </c>
      <c r="AF338" s="30">
        <f t="shared" si="282"/>
        <v>0</v>
      </c>
      <c r="AG338" s="30">
        <f t="shared" si="283"/>
        <v>0</v>
      </c>
      <c r="AH338" s="30">
        <f t="shared" si="284"/>
        <v>0</v>
      </c>
      <c r="AI338" s="24" t="s">
        <v>1025</v>
      </c>
      <c r="AJ338" s="14">
        <f t="shared" si="285"/>
        <v>0</v>
      </c>
      <c r="AK338" s="14">
        <f t="shared" si="286"/>
        <v>0</v>
      </c>
      <c r="AL338" s="14">
        <f t="shared" si="287"/>
        <v>0</v>
      </c>
      <c r="AN338" s="30">
        <v>21</v>
      </c>
      <c r="AO338" s="30">
        <f t="shared" si="288"/>
        <v>0</v>
      </c>
      <c r="AP338" s="30">
        <f t="shared" si="289"/>
        <v>0</v>
      </c>
      <c r="AQ338" s="25" t="s">
        <v>13</v>
      </c>
      <c r="AV338" s="30">
        <f t="shared" si="290"/>
        <v>0</v>
      </c>
      <c r="AW338" s="30">
        <f t="shared" si="291"/>
        <v>0</v>
      </c>
      <c r="AX338" s="30">
        <f t="shared" si="292"/>
        <v>0</v>
      </c>
      <c r="AY338" s="31" t="s">
        <v>1060</v>
      </c>
      <c r="AZ338" s="31" t="s">
        <v>1077</v>
      </c>
      <c r="BA338" s="24" t="s">
        <v>1081</v>
      </c>
      <c r="BC338" s="30">
        <f t="shared" si="293"/>
        <v>0</v>
      </c>
      <c r="BD338" s="30">
        <f t="shared" si="294"/>
        <v>0</v>
      </c>
      <c r="BE338" s="30">
        <v>0</v>
      </c>
      <c r="BF338" s="30">
        <f>338</f>
        <v>338</v>
      </c>
      <c r="BH338" s="14">
        <f t="shared" si="295"/>
        <v>0</v>
      </c>
      <c r="BI338" s="14">
        <f t="shared" si="296"/>
        <v>0</v>
      </c>
      <c r="BJ338" s="14">
        <f t="shared" si="297"/>
        <v>0</v>
      </c>
    </row>
    <row r="339" spans="1:62" ht="12.75">
      <c r="A339" s="4" t="s">
        <v>284</v>
      </c>
      <c r="B339" s="4" t="s">
        <v>605</v>
      </c>
      <c r="C339" s="153" t="s">
        <v>950</v>
      </c>
      <c r="D339" s="154"/>
      <c r="E339" s="154"/>
      <c r="F339" s="4" t="s">
        <v>991</v>
      </c>
      <c r="G339" s="64">
        <v>1</v>
      </c>
      <c r="H339" s="82">
        <v>0</v>
      </c>
      <c r="I339" s="14">
        <f t="shared" si="274"/>
        <v>0</v>
      </c>
      <c r="J339" s="14">
        <f t="shared" si="275"/>
        <v>0</v>
      </c>
      <c r="K339" s="14">
        <f t="shared" si="276"/>
        <v>0</v>
      </c>
      <c r="L339" s="25"/>
      <c r="Z339" s="30">
        <f t="shared" si="277"/>
        <v>0</v>
      </c>
      <c r="AB339" s="30">
        <f t="shared" si="278"/>
        <v>0</v>
      </c>
      <c r="AC339" s="30">
        <f t="shared" si="279"/>
        <v>0</v>
      </c>
      <c r="AD339" s="30">
        <f t="shared" si="280"/>
        <v>0</v>
      </c>
      <c r="AE339" s="30">
        <f t="shared" si="281"/>
        <v>0</v>
      </c>
      <c r="AF339" s="30">
        <f t="shared" si="282"/>
        <v>0</v>
      </c>
      <c r="AG339" s="30">
        <f t="shared" si="283"/>
        <v>0</v>
      </c>
      <c r="AH339" s="30">
        <f t="shared" si="284"/>
        <v>0</v>
      </c>
      <c r="AI339" s="24" t="s">
        <v>1025</v>
      </c>
      <c r="AJ339" s="14">
        <f t="shared" si="285"/>
        <v>0</v>
      </c>
      <c r="AK339" s="14">
        <f t="shared" si="286"/>
        <v>0</v>
      </c>
      <c r="AL339" s="14">
        <f t="shared" si="287"/>
        <v>0</v>
      </c>
      <c r="AN339" s="30">
        <v>21</v>
      </c>
      <c r="AO339" s="30">
        <f t="shared" si="288"/>
        <v>0</v>
      </c>
      <c r="AP339" s="30">
        <f t="shared" si="289"/>
        <v>0</v>
      </c>
      <c r="AQ339" s="25" t="s">
        <v>13</v>
      </c>
      <c r="AV339" s="30">
        <f t="shared" si="290"/>
        <v>0</v>
      </c>
      <c r="AW339" s="30">
        <f t="shared" si="291"/>
        <v>0</v>
      </c>
      <c r="AX339" s="30">
        <f t="shared" si="292"/>
        <v>0</v>
      </c>
      <c r="AY339" s="31" t="s">
        <v>1060</v>
      </c>
      <c r="AZ339" s="31" t="s">
        <v>1077</v>
      </c>
      <c r="BA339" s="24" t="s">
        <v>1081</v>
      </c>
      <c r="BC339" s="30">
        <f t="shared" si="293"/>
        <v>0</v>
      </c>
      <c r="BD339" s="30">
        <f t="shared" si="294"/>
        <v>0</v>
      </c>
      <c r="BE339" s="30">
        <v>0</v>
      </c>
      <c r="BF339" s="30">
        <f>339</f>
        <v>339</v>
      </c>
      <c r="BH339" s="14">
        <f t="shared" si="295"/>
        <v>0</v>
      </c>
      <c r="BI339" s="14">
        <f t="shared" si="296"/>
        <v>0</v>
      </c>
      <c r="BJ339" s="14">
        <f t="shared" si="297"/>
        <v>0</v>
      </c>
    </row>
    <row r="340" spans="1:62" ht="12.75">
      <c r="A340" s="4" t="s">
        <v>285</v>
      </c>
      <c r="B340" s="4" t="s">
        <v>606</v>
      </c>
      <c r="C340" s="153" t="s">
        <v>951</v>
      </c>
      <c r="D340" s="154"/>
      <c r="E340" s="154"/>
      <c r="F340" s="4" t="s">
        <v>991</v>
      </c>
      <c r="G340" s="64">
        <v>1</v>
      </c>
      <c r="H340" s="82">
        <v>0</v>
      </c>
      <c r="I340" s="14">
        <f t="shared" si="274"/>
        <v>0</v>
      </c>
      <c r="J340" s="14">
        <f t="shared" si="275"/>
        <v>0</v>
      </c>
      <c r="K340" s="14">
        <f t="shared" si="276"/>
        <v>0</v>
      </c>
      <c r="L340" s="25"/>
      <c r="Z340" s="30">
        <f t="shared" si="277"/>
        <v>0</v>
      </c>
      <c r="AB340" s="30">
        <f t="shared" si="278"/>
        <v>0</v>
      </c>
      <c r="AC340" s="30">
        <f t="shared" si="279"/>
        <v>0</v>
      </c>
      <c r="AD340" s="30">
        <f t="shared" si="280"/>
        <v>0</v>
      </c>
      <c r="AE340" s="30">
        <f t="shared" si="281"/>
        <v>0</v>
      </c>
      <c r="AF340" s="30">
        <f t="shared" si="282"/>
        <v>0</v>
      </c>
      <c r="AG340" s="30">
        <f t="shared" si="283"/>
        <v>0</v>
      </c>
      <c r="AH340" s="30">
        <f t="shared" si="284"/>
        <v>0</v>
      </c>
      <c r="AI340" s="24" t="s">
        <v>1025</v>
      </c>
      <c r="AJ340" s="14">
        <f t="shared" si="285"/>
        <v>0</v>
      </c>
      <c r="AK340" s="14">
        <f t="shared" si="286"/>
        <v>0</v>
      </c>
      <c r="AL340" s="14">
        <f t="shared" si="287"/>
        <v>0</v>
      </c>
      <c r="AN340" s="30">
        <v>21</v>
      </c>
      <c r="AO340" s="30">
        <f t="shared" si="288"/>
        <v>0</v>
      </c>
      <c r="AP340" s="30">
        <f t="shared" si="289"/>
        <v>0</v>
      </c>
      <c r="AQ340" s="25" t="s">
        <v>13</v>
      </c>
      <c r="AV340" s="30">
        <f t="shared" si="290"/>
        <v>0</v>
      </c>
      <c r="AW340" s="30">
        <f t="shared" si="291"/>
        <v>0</v>
      </c>
      <c r="AX340" s="30">
        <f t="shared" si="292"/>
        <v>0</v>
      </c>
      <c r="AY340" s="31" t="s">
        <v>1060</v>
      </c>
      <c r="AZ340" s="31" t="s">
        <v>1077</v>
      </c>
      <c r="BA340" s="24" t="s">
        <v>1081</v>
      </c>
      <c r="BC340" s="30">
        <f t="shared" si="293"/>
        <v>0</v>
      </c>
      <c r="BD340" s="30">
        <f t="shared" si="294"/>
        <v>0</v>
      </c>
      <c r="BE340" s="30">
        <v>0</v>
      </c>
      <c r="BF340" s="30">
        <f>340</f>
        <v>340</v>
      </c>
      <c r="BH340" s="14">
        <f t="shared" si="295"/>
        <v>0</v>
      </c>
      <c r="BI340" s="14">
        <f t="shared" si="296"/>
        <v>0</v>
      </c>
      <c r="BJ340" s="14">
        <f t="shared" si="297"/>
        <v>0</v>
      </c>
    </row>
    <row r="341" spans="1:62" ht="12.75">
      <c r="A341" s="4" t="s">
        <v>286</v>
      </c>
      <c r="B341" s="4" t="s">
        <v>607</v>
      </c>
      <c r="C341" s="153" t="s">
        <v>952</v>
      </c>
      <c r="D341" s="154"/>
      <c r="E341" s="154"/>
      <c r="F341" s="4" t="s">
        <v>992</v>
      </c>
      <c r="G341" s="64">
        <v>83</v>
      </c>
      <c r="H341" s="82">
        <v>0</v>
      </c>
      <c r="I341" s="14">
        <f t="shared" si="274"/>
        <v>0</v>
      </c>
      <c r="J341" s="14">
        <f t="shared" si="275"/>
        <v>0</v>
      </c>
      <c r="K341" s="14">
        <f t="shared" si="276"/>
        <v>0</v>
      </c>
      <c r="L341" s="25"/>
      <c r="Z341" s="30">
        <f t="shared" si="277"/>
        <v>0</v>
      </c>
      <c r="AB341" s="30">
        <f t="shared" si="278"/>
        <v>0</v>
      </c>
      <c r="AC341" s="30">
        <f t="shared" si="279"/>
        <v>0</v>
      </c>
      <c r="AD341" s="30">
        <f t="shared" si="280"/>
        <v>0</v>
      </c>
      <c r="AE341" s="30">
        <f t="shared" si="281"/>
        <v>0</v>
      </c>
      <c r="AF341" s="30">
        <f t="shared" si="282"/>
        <v>0</v>
      </c>
      <c r="AG341" s="30">
        <f t="shared" si="283"/>
        <v>0</v>
      </c>
      <c r="AH341" s="30">
        <f t="shared" si="284"/>
        <v>0</v>
      </c>
      <c r="AI341" s="24" t="s">
        <v>1025</v>
      </c>
      <c r="AJ341" s="14">
        <f t="shared" si="285"/>
        <v>0</v>
      </c>
      <c r="AK341" s="14">
        <f t="shared" si="286"/>
        <v>0</v>
      </c>
      <c r="AL341" s="14">
        <f t="shared" si="287"/>
        <v>0</v>
      </c>
      <c r="AN341" s="30">
        <v>21</v>
      </c>
      <c r="AO341" s="30">
        <f t="shared" si="288"/>
        <v>0</v>
      </c>
      <c r="AP341" s="30">
        <f t="shared" si="289"/>
        <v>0</v>
      </c>
      <c r="AQ341" s="25" t="s">
        <v>13</v>
      </c>
      <c r="AV341" s="30">
        <f t="shared" si="290"/>
        <v>0</v>
      </c>
      <c r="AW341" s="30">
        <f t="shared" si="291"/>
        <v>0</v>
      </c>
      <c r="AX341" s="30">
        <f t="shared" si="292"/>
        <v>0</v>
      </c>
      <c r="AY341" s="31" t="s">
        <v>1060</v>
      </c>
      <c r="AZ341" s="31" t="s">
        <v>1077</v>
      </c>
      <c r="BA341" s="24" t="s">
        <v>1081</v>
      </c>
      <c r="BC341" s="30">
        <f t="shared" si="293"/>
        <v>0</v>
      </c>
      <c r="BD341" s="30">
        <f t="shared" si="294"/>
        <v>0</v>
      </c>
      <c r="BE341" s="30">
        <v>0</v>
      </c>
      <c r="BF341" s="30">
        <f>341</f>
        <v>341</v>
      </c>
      <c r="BH341" s="14">
        <f t="shared" si="295"/>
        <v>0</v>
      </c>
      <c r="BI341" s="14">
        <f t="shared" si="296"/>
        <v>0</v>
      </c>
      <c r="BJ341" s="14">
        <f t="shared" si="297"/>
        <v>0</v>
      </c>
    </row>
    <row r="342" spans="1:62" ht="12.75">
      <c r="A342" s="4" t="s">
        <v>287</v>
      </c>
      <c r="B342" s="4" t="s">
        <v>608</v>
      </c>
      <c r="C342" s="153" t="s">
        <v>953</v>
      </c>
      <c r="D342" s="154"/>
      <c r="E342" s="154"/>
      <c r="F342" s="4" t="s">
        <v>992</v>
      </c>
      <c r="G342" s="64">
        <v>34</v>
      </c>
      <c r="H342" s="82">
        <v>0</v>
      </c>
      <c r="I342" s="14">
        <f t="shared" si="274"/>
        <v>0</v>
      </c>
      <c r="J342" s="14">
        <f t="shared" si="275"/>
        <v>0</v>
      </c>
      <c r="K342" s="14">
        <f t="shared" si="276"/>
        <v>0</v>
      </c>
      <c r="L342" s="25"/>
      <c r="Z342" s="30">
        <f t="shared" si="277"/>
        <v>0</v>
      </c>
      <c r="AB342" s="30">
        <f t="shared" si="278"/>
        <v>0</v>
      </c>
      <c r="AC342" s="30">
        <f t="shared" si="279"/>
        <v>0</v>
      </c>
      <c r="AD342" s="30">
        <f t="shared" si="280"/>
        <v>0</v>
      </c>
      <c r="AE342" s="30">
        <f t="shared" si="281"/>
        <v>0</v>
      </c>
      <c r="AF342" s="30">
        <f t="shared" si="282"/>
        <v>0</v>
      </c>
      <c r="AG342" s="30">
        <f t="shared" si="283"/>
        <v>0</v>
      </c>
      <c r="AH342" s="30">
        <f t="shared" si="284"/>
        <v>0</v>
      </c>
      <c r="AI342" s="24" t="s">
        <v>1025</v>
      </c>
      <c r="AJ342" s="14">
        <f t="shared" si="285"/>
        <v>0</v>
      </c>
      <c r="AK342" s="14">
        <f t="shared" si="286"/>
        <v>0</v>
      </c>
      <c r="AL342" s="14">
        <f t="shared" si="287"/>
        <v>0</v>
      </c>
      <c r="AN342" s="30">
        <v>21</v>
      </c>
      <c r="AO342" s="30">
        <f t="shared" si="288"/>
        <v>0</v>
      </c>
      <c r="AP342" s="30">
        <f t="shared" si="289"/>
        <v>0</v>
      </c>
      <c r="AQ342" s="25" t="s">
        <v>13</v>
      </c>
      <c r="AV342" s="30">
        <f t="shared" si="290"/>
        <v>0</v>
      </c>
      <c r="AW342" s="30">
        <f t="shared" si="291"/>
        <v>0</v>
      </c>
      <c r="AX342" s="30">
        <f t="shared" si="292"/>
        <v>0</v>
      </c>
      <c r="AY342" s="31" t="s">
        <v>1060</v>
      </c>
      <c r="AZ342" s="31" t="s">
        <v>1077</v>
      </c>
      <c r="BA342" s="24" t="s">
        <v>1081</v>
      </c>
      <c r="BC342" s="30">
        <f t="shared" si="293"/>
        <v>0</v>
      </c>
      <c r="BD342" s="30">
        <f t="shared" si="294"/>
        <v>0</v>
      </c>
      <c r="BE342" s="30">
        <v>0</v>
      </c>
      <c r="BF342" s="30">
        <f>342</f>
        <v>342</v>
      </c>
      <c r="BH342" s="14">
        <f t="shared" si="295"/>
        <v>0</v>
      </c>
      <c r="BI342" s="14">
        <f t="shared" si="296"/>
        <v>0</v>
      </c>
      <c r="BJ342" s="14">
        <f t="shared" si="297"/>
        <v>0</v>
      </c>
    </row>
    <row r="343" spans="1:62" ht="12.75">
      <c r="A343" s="4" t="s">
        <v>288</v>
      </c>
      <c r="B343" s="4" t="s">
        <v>609</v>
      </c>
      <c r="C343" s="153" t="s">
        <v>954</v>
      </c>
      <c r="D343" s="154"/>
      <c r="E343" s="154"/>
      <c r="F343" s="4" t="s">
        <v>992</v>
      </c>
      <c r="G343" s="64">
        <v>133</v>
      </c>
      <c r="H343" s="82">
        <v>0</v>
      </c>
      <c r="I343" s="14">
        <f t="shared" si="274"/>
        <v>0</v>
      </c>
      <c r="J343" s="14">
        <f t="shared" si="275"/>
        <v>0</v>
      </c>
      <c r="K343" s="14">
        <f t="shared" si="276"/>
        <v>0</v>
      </c>
      <c r="L343" s="25"/>
      <c r="Z343" s="30">
        <f t="shared" si="277"/>
        <v>0</v>
      </c>
      <c r="AB343" s="30">
        <f t="shared" si="278"/>
        <v>0</v>
      </c>
      <c r="AC343" s="30">
        <f t="shared" si="279"/>
        <v>0</v>
      </c>
      <c r="AD343" s="30">
        <f t="shared" si="280"/>
        <v>0</v>
      </c>
      <c r="AE343" s="30">
        <f t="shared" si="281"/>
        <v>0</v>
      </c>
      <c r="AF343" s="30">
        <f t="shared" si="282"/>
        <v>0</v>
      </c>
      <c r="AG343" s="30">
        <f t="shared" si="283"/>
        <v>0</v>
      </c>
      <c r="AH343" s="30">
        <f t="shared" si="284"/>
        <v>0</v>
      </c>
      <c r="AI343" s="24" t="s">
        <v>1025</v>
      </c>
      <c r="AJ343" s="14">
        <f t="shared" si="285"/>
        <v>0</v>
      </c>
      <c r="AK343" s="14">
        <f t="shared" si="286"/>
        <v>0</v>
      </c>
      <c r="AL343" s="14">
        <f t="shared" si="287"/>
        <v>0</v>
      </c>
      <c r="AN343" s="30">
        <v>21</v>
      </c>
      <c r="AO343" s="30">
        <f t="shared" si="288"/>
        <v>0</v>
      </c>
      <c r="AP343" s="30">
        <f t="shared" si="289"/>
        <v>0</v>
      </c>
      <c r="AQ343" s="25" t="s">
        <v>13</v>
      </c>
      <c r="AV343" s="30">
        <f t="shared" si="290"/>
        <v>0</v>
      </c>
      <c r="AW343" s="30">
        <f t="shared" si="291"/>
        <v>0</v>
      </c>
      <c r="AX343" s="30">
        <f t="shared" si="292"/>
        <v>0</v>
      </c>
      <c r="AY343" s="31" t="s">
        <v>1060</v>
      </c>
      <c r="AZ343" s="31" t="s">
        <v>1077</v>
      </c>
      <c r="BA343" s="24" t="s">
        <v>1081</v>
      </c>
      <c r="BC343" s="30">
        <f t="shared" si="293"/>
        <v>0</v>
      </c>
      <c r="BD343" s="30">
        <f t="shared" si="294"/>
        <v>0</v>
      </c>
      <c r="BE343" s="30">
        <v>0</v>
      </c>
      <c r="BF343" s="30">
        <f>343</f>
        <v>343</v>
      </c>
      <c r="BH343" s="14">
        <f t="shared" si="295"/>
        <v>0</v>
      </c>
      <c r="BI343" s="14">
        <f t="shared" si="296"/>
        <v>0</v>
      </c>
      <c r="BJ343" s="14">
        <f t="shared" si="297"/>
        <v>0</v>
      </c>
    </row>
    <row r="344" spans="1:62" ht="12.75">
      <c r="A344" s="4" t="s">
        <v>289</v>
      </c>
      <c r="B344" s="4" t="s">
        <v>610</v>
      </c>
      <c r="C344" s="153" t="s">
        <v>955</v>
      </c>
      <c r="D344" s="154"/>
      <c r="E344" s="154"/>
      <c r="F344" s="4" t="s">
        <v>995</v>
      </c>
      <c r="G344" s="64">
        <v>146</v>
      </c>
      <c r="H344" s="82">
        <v>0</v>
      </c>
      <c r="I344" s="14">
        <f t="shared" si="274"/>
        <v>0</v>
      </c>
      <c r="J344" s="14">
        <f t="shared" si="275"/>
        <v>0</v>
      </c>
      <c r="K344" s="14">
        <f t="shared" si="276"/>
        <v>0</v>
      </c>
      <c r="L344" s="25"/>
      <c r="Z344" s="30">
        <f t="shared" si="277"/>
        <v>0</v>
      </c>
      <c r="AB344" s="30">
        <f t="shared" si="278"/>
        <v>0</v>
      </c>
      <c r="AC344" s="30">
        <f t="shared" si="279"/>
        <v>0</v>
      </c>
      <c r="AD344" s="30">
        <f t="shared" si="280"/>
        <v>0</v>
      </c>
      <c r="AE344" s="30">
        <f t="shared" si="281"/>
        <v>0</v>
      </c>
      <c r="AF344" s="30">
        <f t="shared" si="282"/>
        <v>0</v>
      </c>
      <c r="AG344" s="30">
        <f t="shared" si="283"/>
        <v>0</v>
      </c>
      <c r="AH344" s="30">
        <f t="shared" si="284"/>
        <v>0</v>
      </c>
      <c r="AI344" s="24" t="s">
        <v>1025</v>
      </c>
      <c r="AJ344" s="14">
        <f t="shared" si="285"/>
        <v>0</v>
      </c>
      <c r="AK344" s="14">
        <f t="shared" si="286"/>
        <v>0</v>
      </c>
      <c r="AL344" s="14">
        <f t="shared" si="287"/>
        <v>0</v>
      </c>
      <c r="AN344" s="30">
        <v>21</v>
      </c>
      <c r="AO344" s="30">
        <f t="shared" si="288"/>
        <v>0</v>
      </c>
      <c r="AP344" s="30">
        <f t="shared" si="289"/>
        <v>0</v>
      </c>
      <c r="AQ344" s="25" t="s">
        <v>13</v>
      </c>
      <c r="AV344" s="30">
        <f t="shared" si="290"/>
        <v>0</v>
      </c>
      <c r="AW344" s="30">
        <f t="shared" si="291"/>
        <v>0</v>
      </c>
      <c r="AX344" s="30">
        <f t="shared" si="292"/>
        <v>0</v>
      </c>
      <c r="AY344" s="31" t="s">
        <v>1060</v>
      </c>
      <c r="AZ344" s="31" t="s">
        <v>1077</v>
      </c>
      <c r="BA344" s="24" t="s">
        <v>1081</v>
      </c>
      <c r="BC344" s="30">
        <f t="shared" si="293"/>
        <v>0</v>
      </c>
      <c r="BD344" s="30">
        <f t="shared" si="294"/>
        <v>0</v>
      </c>
      <c r="BE344" s="30">
        <v>0</v>
      </c>
      <c r="BF344" s="30">
        <f>344</f>
        <v>344</v>
      </c>
      <c r="BH344" s="14">
        <f t="shared" si="295"/>
        <v>0</v>
      </c>
      <c r="BI344" s="14">
        <f t="shared" si="296"/>
        <v>0</v>
      </c>
      <c r="BJ344" s="14">
        <f t="shared" si="297"/>
        <v>0</v>
      </c>
    </row>
    <row r="345" spans="3:5" ht="12.75">
      <c r="C345" s="155" t="s">
        <v>956</v>
      </c>
      <c r="D345" s="156"/>
      <c r="E345" s="156"/>
    </row>
    <row r="346" spans="1:62" ht="12.75">
      <c r="A346" s="4" t="s">
        <v>290</v>
      </c>
      <c r="B346" s="4" t="s">
        <v>611</v>
      </c>
      <c r="C346" s="153" t="s">
        <v>957</v>
      </c>
      <c r="D346" s="154"/>
      <c r="E346" s="154"/>
      <c r="F346" s="4" t="s">
        <v>995</v>
      </c>
      <c r="G346" s="64">
        <v>43</v>
      </c>
      <c r="H346" s="82">
        <v>0</v>
      </c>
      <c r="I346" s="14">
        <f>G346*AO346</f>
        <v>0</v>
      </c>
      <c r="J346" s="14">
        <f>G346*AP346</f>
        <v>0</v>
      </c>
      <c r="K346" s="14">
        <f>G346*H346</f>
        <v>0</v>
      </c>
      <c r="L346" s="25"/>
      <c r="Z346" s="30">
        <f>IF(AQ346="5",BJ346,0)</f>
        <v>0</v>
      </c>
      <c r="AB346" s="30">
        <f>IF(AQ346="1",BH346,0)</f>
        <v>0</v>
      </c>
      <c r="AC346" s="30">
        <f>IF(AQ346="1",BI346,0)</f>
        <v>0</v>
      </c>
      <c r="AD346" s="30">
        <f>IF(AQ346="7",BH346,0)</f>
        <v>0</v>
      </c>
      <c r="AE346" s="30">
        <f>IF(AQ346="7",BI346,0)</f>
        <v>0</v>
      </c>
      <c r="AF346" s="30">
        <f>IF(AQ346="2",BH346,0)</f>
        <v>0</v>
      </c>
      <c r="AG346" s="30">
        <f>IF(AQ346="2",BI346,0)</f>
        <v>0</v>
      </c>
      <c r="AH346" s="30">
        <f>IF(AQ346="0",BJ346,0)</f>
        <v>0</v>
      </c>
      <c r="AI346" s="24" t="s">
        <v>1025</v>
      </c>
      <c r="AJ346" s="14">
        <f>IF(AN346=0,K346,0)</f>
        <v>0</v>
      </c>
      <c r="AK346" s="14">
        <f>IF(AN346=15,K346,0)</f>
        <v>0</v>
      </c>
      <c r="AL346" s="14">
        <f>IF(AN346=21,K346,0)</f>
        <v>0</v>
      </c>
      <c r="AN346" s="30">
        <v>21</v>
      </c>
      <c r="AO346" s="30">
        <f>H346*0.65</f>
        <v>0</v>
      </c>
      <c r="AP346" s="30">
        <f>H346*(1-0.65)</f>
        <v>0</v>
      </c>
      <c r="AQ346" s="25" t="s">
        <v>13</v>
      </c>
      <c r="AV346" s="30">
        <f>AW346+AX346</f>
        <v>0</v>
      </c>
      <c r="AW346" s="30">
        <f>G346*AO346</f>
        <v>0</v>
      </c>
      <c r="AX346" s="30">
        <f>G346*AP346</f>
        <v>0</v>
      </c>
      <c r="AY346" s="31" t="s">
        <v>1060</v>
      </c>
      <c r="AZ346" s="31" t="s">
        <v>1077</v>
      </c>
      <c r="BA346" s="24" t="s">
        <v>1081</v>
      </c>
      <c r="BC346" s="30">
        <f>AW346+AX346</f>
        <v>0</v>
      </c>
      <c r="BD346" s="30">
        <f>H346/(100-BE346)*100</f>
        <v>0</v>
      </c>
      <c r="BE346" s="30">
        <v>0</v>
      </c>
      <c r="BF346" s="30">
        <f>346</f>
        <v>346</v>
      </c>
      <c r="BH346" s="14">
        <f>G346*AO346</f>
        <v>0</v>
      </c>
      <c r="BI346" s="14">
        <f>G346*AP346</f>
        <v>0</v>
      </c>
      <c r="BJ346" s="14">
        <f>G346*H346</f>
        <v>0</v>
      </c>
    </row>
    <row r="347" spans="1:62" ht="12.75">
      <c r="A347" s="4" t="s">
        <v>291</v>
      </c>
      <c r="B347" s="4" t="s">
        <v>612</v>
      </c>
      <c r="C347" s="153" t="s">
        <v>958</v>
      </c>
      <c r="D347" s="154"/>
      <c r="E347" s="154"/>
      <c r="F347" s="4" t="s">
        <v>995</v>
      </c>
      <c r="G347" s="64">
        <v>18</v>
      </c>
      <c r="H347" s="82">
        <v>0</v>
      </c>
      <c r="I347" s="14">
        <f>G347*AO347</f>
        <v>0</v>
      </c>
      <c r="J347" s="14">
        <f>G347*AP347</f>
        <v>0</v>
      </c>
      <c r="K347" s="14">
        <f>G347*H347</f>
        <v>0</v>
      </c>
      <c r="L347" s="25"/>
      <c r="Z347" s="30">
        <f>IF(AQ347="5",BJ347,0)</f>
        <v>0</v>
      </c>
      <c r="AB347" s="30">
        <f>IF(AQ347="1",BH347,0)</f>
        <v>0</v>
      </c>
      <c r="AC347" s="30">
        <f>IF(AQ347="1",BI347,0)</f>
        <v>0</v>
      </c>
      <c r="AD347" s="30">
        <f>IF(AQ347="7",BH347,0)</f>
        <v>0</v>
      </c>
      <c r="AE347" s="30">
        <f>IF(AQ347="7",BI347,0)</f>
        <v>0</v>
      </c>
      <c r="AF347" s="30">
        <f>IF(AQ347="2",BH347,0)</f>
        <v>0</v>
      </c>
      <c r="AG347" s="30">
        <f>IF(AQ347="2",BI347,0)</f>
        <v>0</v>
      </c>
      <c r="AH347" s="30">
        <f>IF(AQ347="0",BJ347,0)</f>
        <v>0</v>
      </c>
      <c r="AI347" s="24" t="s">
        <v>1025</v>
      </c>
      <c r="AJ347" s="14">
        <f>IF(AN347=0,K347,0)</f>
        <v>0</v>
      </c>
      <c r="AK347" s="14">
        <f>IF(AN347=15,K347,0)</f>
        <v>0</v>
      </c>
      <c r="AL347" s="14">
        <f>IF(AN347=21,K347,0)</f>
        <v>0</v>
      </c>
      <c r="AN347" s="30">
        <v>21</v>
      </c>
      <c r="AO347" s="30">
        <f>H347*0.65</f>
        <v>0</v>
      </c>
      <c r="AP347" s="30">
        <f>H347*(1-0.65)</f>
        <v>0</v>
      </c>
      <c r="AQ347" s="25" t="s">
        <v>13</v>
      </c>
      <c r="AV347" s="30">
        <f>AW347+AX347</f>
        <v>0</v>
      </c>
      <c r="AW347" s="30">
        <f>G347*AO347</f>
        <v>0</v>
      </c>
      <c r="AX347" s="30">
        <f>G347*AP347</f>
        <v>0</v>
      </c>
      <c r="AY347" s="31" t="s">
        <v>1060</v>
      </c>
      <c r="AZ347" s="31" t="s">
        <v>1077</v>
      </c>
      <c r="BA347" s="24" t="s">
        <v>1081</v>
      </c>
      <c r="BC347" s="30">
        <f>AW347+AX347</f>
        <v>0</v>
      </c>
      <c r="BD347" s="30">
        <f>H347/(100-BE347)*100</f>
        <v>0</v>
      </c>
      <c r="BE347" s="30">
        <v>0</v>
      </c>
      <c r="BF347" s="30">
        <f>347</f>
        <v>347</v>
      </c>
      <c r="BH347" s="14">
        <f>G347*AO347</f>
        <v>0</v>
      </c>
      <c r="BI347" s="14">
        <f>G347*AP347</f>
        <v>0</v>
      </c>
      <c r="BJ347" s="14">
        <f>G347*H347</f>
        <v>0</v>
      </c>
    </row>
    <row r="348" spans="1:62" ht="12.75">
      <c r="A348" s="4" t="s">
        <v>292</v>
      </c>
      <c r="B348" s="4" t="s">
        <v>613</v>
      </c>
      <c r="C348" s="153" t="s">
        <v>959</v>
      </c>
      <c r="D348" s="154"/>
      <c r="E348" s="154"/>
      <c r="F348" s="4" t="s">
        <v>991</v>
      </c>
      <c r="G348" s="64">
        <v>2</v>
      </c>
      <c r="H348" s="82">
        <v>0</v>
      </c>
      <c r="I348" s="14">
        <f>G348*AO348</f>
        <v>0</v>
      </c>
      <c r="J348" s="14">
        <f>G348*AP348</f>
        <v>0</v>
      </c>
      <c r="K348" s="14">
        <f>G348*H348</f>
        <v>0</v>
      </c>
      <c r="L348" s="25"/>
      <c r="Z348" s="30">
        <f>IF(AQ348="5",BJ348,0)</f>
        <v>0</v>
      </c>
      <c r="AB348" s="30">
        <f>IF(AQ348="1",BH348,0)</f>
        <v>0</v>
      </c>
      <c r="AC348" s="30">
        <f>IF(AQ348="1",BI348,0)</f>
        <v>0</v>
      </c>
      <c r="AD348" s="30">
        <f>IF(AQ348="7",BH348,0)</f>
        <v>0</v>
      </c>
      <c r="AE348" s="30">
        <f>IF(AQ348="7",BI348,0)</f>
        <v>0</v>
      </c>
      <c r="AF348" s="30">
        <f>IF(AQ348="2",BH348,0)</f>
        <v>0</v>
      </c>
      <c r="AG348" s="30">
        <f>IF(AQ348="2",BI348,0)</f>
        <v>0</v>
      </c>
      <c r="AH348" s="30">
        <f>IF(AQ348="0",BJ348,0)</f>
        <v>0</v>
      </c>
      <c r="AI348" s="24" t="s">
        <v>1025</v>
      </c>
      <c r="AJ348" s="14">
        <f>IF(AN348=0,K348,0)</f>
        <v>0</v>
      </c>
      <c r="AK348" s="14">
        <f>IF(AN348=15,K348,0)</f>
        <v>0</v>
      </c>
      <c r="AL348" s="14">
        <f>IF(AN348=21,K348,0)</f>
        <v>0</v>
      </c>
      <c r="AN348" s="30">
        <v>21</v>
      </c>
      <c r="AO348" s="30">
        <f>H348*0.65</f>
        <v>0</v>
      </c>
      <c r="AP348" s="30">
        <f>H348*(1-0.65)</f>
        <v>0</v>
      </c>
      <c r="AQ348" s="25" t="s">
        <v>13</v>
      </c>
      <c r="AV348" s="30">
        <f>AW348+AX348</f>
        <v>0</v>
      </c>
      <c r="AW348" s="30">
        <f>G348*AO348</f>
        <v>0</v>
      </c>
      <c r="AX348" s="30">
        <f>G348*AP348</f>
        <v>0</v>
      </c>
      <c r="AY348" s="31" t="s">
        <v>1060</v>
      </c>
      <c r="AZ348" s="31" t="s">
        <v>1077</v>
      </c>
      <c r="BA348" s="24" t="s">
        <v>1081</v>
      </c>
      <c r="BC348" s="30">
        <f>AW348+AX348</f>
        <v>0</v>
      </c>
      <c r="BD348" s="30">
        <f>H348/(100-BE348)*100</f>
        <v>0</v>
      </c>
      <c r="BE348" s="30">
        <v>0</v>
      </c>
      <c r="BF348" s="30">
        <f>348</f>
        <v>348</v>
      </c>
      <c r="BH348" s="14">
        <f>G348*AO348</f>
        <v>0</v>
      </c>
      <c r="BI348" s="14">
        <f>G348*AP348</f>
        <v>0</v>
      </c>
      <c r="BJ348" s="14">
        <f>G348*H348</f>
        <v>0</v>
      </c>
    </row>
    <row r="349" spans="3:5" ht="12.75">
      <c r="C349" s="155" t="s">
        <v>960</v>
      </c>
      <c r="D349" s="156"/>
      <c r="E349" s="156"/>
    </row>
    <row r="350" spans="1:62" ht="12.75">
      <c r="A350" s="4" t="s">
        <v>293</v>
      </c>
      <c r="B350" s="4" t="s">
        <v>614</v>
      </c>
      <c r="C350" s="153" t="s">
        <v>961</v>
      </c>
      <c r="D350" s="154"/>
      <c r="E350" s="154"/>
      <c r="F350" s="4" t="s">
        <v>991</v>
      </c>
      <c r="G350" s="64">
        <v>1</v>
      </c>
      <c r="H350" s="82">
        <v>0</v>
      </c>
      <c r="I350" s="14">
        <f>G350*AO350</f>
        <v>0</v>
      </c>
      <c r="J350" s="14">
        <f>G350*AP350</f>
        <v>0</v>
      </c>
      <c r="K350" s="14">
        <f>G350*H350</f>
        <v>0</v>
      </c>
      <c r="L350" s="25"/>
      <c r="Z350" s="30">
        <f>IF(AQ350="5",BJ350,0)</f>
        <v>0</v>
      </c>
      <c r="AB350" s="30">
        <f>IF(AQ350="1",BH350,0)</f>
        <v>0</v>
      </c>
      <c r="AC350" s="30">
        <f>IF(AQ350="1",BI350,0)</f>
        <v>0</v>
      </c>
      <c r="AD350" s="30">
        <f>IF(AQ350="7",BH350,0)</f>
        <v>0</v>
      </c>
      <c r="AE350" s="30">
        <f>IF(AQ350="7",BI350,0)</f>
        <v>0</v>
      </c>
      <c r="AF350" s="30">
        <f>IF(AQ350="2",BH350,0)</f>
        <v>0</v>
      </c>
      <c r="AG350" s="30">
        <f>IF(AQ350="2",BI350,0)</f>
        <v>0</v>
      </c>
      <c r="AH350" s="30">
        <f>IF(AQ350="0",BJ350,0)</f>
        <v>0</v>
      </c>
      <c r="AI350" s="24" t="s">
        <v>1025</v>
      </c>
      <c r="AJ350" s="14">
        <f>IF(AN350=0,K350,0)</f>
        <v>0</v>
      </c>
      <c r="AK350" s="14">
        <f>IF(AN350=15,K350,0)</f>
        <v>0</v>
      </c>
      <c r="AL350" s="14">
        <f>IF(AN350=21,K350,0)</f>
        <v>0</v>
      </c>
      <c r="AN350" s="30">
        <v>21</v>
      </c>
      <c r="AO350" s="30">
        <f>H350*0.65</f>
        <v>0</v>
      </c>
      <c r="AP350" s="30">
        <f>H350*(1-0.65)</f>
        <v>0</v>
      </c>
      <c r="AQ350" s="25" t="s">
        <v>13</v>
      </c>
      <c r="AV350" s="30">
        <f>AW350+AX350</f>
        <v>0</v>
      </c>
      <c r="AW350" s="30">
        <f>G350*AO350</f>
        <v>0</v>
      </c>
      <c r="AX350" s="30">
        <f>G350*AP350</f>
        <v>0</v>
      </c>
      <c r="AY350" s="31" t="s">
        <v>1060</v>
      </c>
      <c r="AZ350" s="31" t="s">
        <v>1077</v>
      </c>
      <c r="BA350" s="24" t="s">
        <v>1081</v>
      </c>
      <c r="BC350" s="30">
        <f>AW350+AX350</f>
        <v>0</v>
      </c>
      <c r="BD350" s="30">
        <f>H350/(100-BE350)*100</f>
        <v>0</v>
      </c>
      <c r="BE350" s="30">
        <v>0</v>
      </c>
      <c r="BF350" s="30">
        <f>350</f>
        <v>350</v>
      </c>
      <c r="BH350" s="14">
        <f>G350*AO350</f>
        <v>0</v>
      </c>
      <c r="BI350" s="14">
        <f>G350*AP350</f>
        <v>0</v>
      </c>
      <c r="BJ350" s="14">
        <f>G350*H350</f>
        <v>0</v>
      </c>
    </row>
    <row r="351" spans="1:62" ht="12.75">
      <c r="A351" s="4" t="s">
        <v>294</v>
      </c>
      <c r="B351" s="4" t="s">
        <v>615</v>
      </c>
      <c r="C351" s="153" t="s">
        <v>962</v>
      </c>
      <c r="D351" s="154"/>
      <c r="E351" s="154"/>
      <c r="F351" s="4" t="s">
        <v>991</v>
      </c>
      <c r="G351" s="64">
        <v>1</v>
      </c>
      <c r="H351" s="82">
        <v>0</v>
      </c>
      <c r="I351" s="14">
        <f>G351*AO351</f>
        <v>0</v>
      </c>
      <c r="J351" s="14">
        <f>G351*AP351</f>
        <v>0</v>
      </c>
      <c r="K351" s="14">
        <f>G351*H351</f>
        <v>0</v>
      </c>
      <c r="L351" s="25"/>
      <c r="Z351" s="30">
        <f>IF(AQ351="5",BJ351,0)</f>
        <v>0</v>
      </c>
      <c r="AB351" s="30">
        <f>IF(AQ351="1",BH351,0)</f>
        <v>0</v>
      </c>
      <c r="AC351" s="30">
        <f>IF(AQ351="1",BI351,0)</f>
        <v>0</v>
      </c>
      <c r="AD351" s="30">
        <f>IF(AQ351="7",BH351,0)</f>
        <v>0</v>
      </c>
      <c r="AE351" s="30">
        <f>IF(AQ351="7",BI351,0)</f>
        <v>0</v>
      </c>
      <c r="AF351" s="30">
        <f>IF(AQ351="2",BH351,0)</f>
        <v>0</v>
      </c>
      <c r="AG351" s="30">
        <f>IF(AQ351="2",BI351,0)</f>
        <v>0</v>
      </c>
      <c r="AH351" s="30">
        <f>IF(AQ351="0",BJ351,0)</f>
        <v>0</v>
      </c>
      <c r="AI351" s="24" t="s">
        <v>1025</v>
      </c>
      <c r="AJ351" s="14">
        <f>IF(AN351=0,K351,0)</f>
        <v>0</v>
      </c>
      <c r="AK351" s="14">
        <f>IF(AN351=15,K351,0)</f>
        <v>0</v>
      </c>
      <c r="AL351" s="14">
        <f>IF(AN351=21,K351,0)</f>
        <v>0</v>
      </c>
      <c r="AN351" s="30">
        <v>21</v>
      </c>
      <c r="AO351" s="30">
        <f>H351*0.65</f>
        <v>0</v>
      </c>
      <c r="AP351" s="30">
        <f>H351*(1-0.65)</f>
        <v>0</v>
      </c>
      <c r="AQ351" s="25" t="s">
        <v>13</v>
      </c>
      <c r="AV351" s="30">
        <f>AW351+AX351</f>
        <v>0</v>
      </c>
      <c r="AW351" s="30">
        <f>G351*AO351</f>
        <v>0</v>
      </c>
      <c r="AX351" s="30">
        <f>G351*AP351</f>
        <v>0</v>
      </c>
      <c r="AY351" s="31" t="s">
        <v>1060</v>
      </c>
      <c r="AZ351" s="31" t="s">
        <v>1077</v>
      </c>
      <c r="BA351" s="24" t="s">
        <v>1081</v>
      </c>
      <c r="BC351" s="30">
        <f>AW351+AX351</f>
        <v>0</v>
      </c>
      <c r="BD351" s="30">
        <f>H351/(100-BE351)*100</f>
        <v>0</v>
      </c>
      <c r="BE351" s="30">
        <v>0</v>
      </c>
      <c r="BF351" s="30">
        <f>351</f>
        <v>351</v>
      </c>
      <c r="BH351" s="14">
        <f>G351*AO351</f>
        <v>0</v>
      </c>
      <c r="BI351" s="14">
        <f>G351*AP351</f>
        <v>0</v>
      </c>
      <c r="BJ351" s="14">
        <f>G351*H351</f>
        <v>0</v>
      </c>
    </row>
    <row r="352" spans="1:62" ht="12.75">
      <c r="A352" s="4" t="s">
        <v>295</v>
      </c>
      <c r="B352" s="4" t="s">
        <v>616</v>
      </c>
      <c r="C352" s="153" t="s">
        <v>963</v>
      </c>
      <c r="D352" s="154"/>
      <c r="E352" s="154"/>
      <c r="F352" s="4" t="s">
        <v>991</v>
      </c>
      <c r="G352" s="64">
        <v>5</v>
      </c>
      <c r="H352" s="82">
        <v>0</v>
      </c>
      <c r="I352" s="14">
        <f>G352*AO352</f>
        <v>0</v>
      </c>
      <c r="J352" s="14">
        <f>G352*AP352</f>
        <v>0</v>
      </c>
      <c r="K352" s="14">
        <f>G352*H352</f>
        <v>0</v>
      </c>
      <c r="L352" s="25"/>
      <c r="Z352" s="30">
        <f>IF(AQ352="5",BJ352,0)</f>
        <v>0</v>
      </c>
      <c r="AB352" s="30">
        <f>IF(AQ352="1",BH352,0)</f>
        <v>0</v>
      </c>
      <c r="AC352" s="30">
        <f>IF(AQ352="1",BI352,0)</f>
        <v>0</v>
      </c>
      <c r="AD352" s="30">
        <f>IF(AQ352="7",BH352,0)</f>
        <v>0</v>
      </c>
      <c r="AE352" s="30">
        <f>IF(AQ352="7",BI352,0)</f>
        <v>0</v>
      </c>
      <c r="AF352" s="30">
        <f>IF(AQ352="2",BH352,0)</f>
        <v>0</v>
      </c>
      <c r="AG352" s="30">
        <f>IF(AQ352="2",BI352,0)</f>
        <v>0</v>
      </c>
      <c r="AH352" s="30">
        <f>IF(AQ352="0",BJ352,0)</f>
        <v>0</v>
      </c>
      <c r="AI352" s="24" t="s">
        <v>1025</v>
      </c>
      <c r="AJ352" s="14">
        <f>IF(AN352=0,K352,0)</f>
        <v>0</v>
      </c>
      <c r="AK352" s="14">
        <f>IF(AN352=15,K352,0)</f>
        <v>0</v>
      </c>
      <c r="AL352" s="14">
        <f>IF(AN352=21,K352,0)</f>
        <v>0</v>
      </c>
      <c r="AN352" s="30">
        <v>21</v>
      </c>
      <c r="AO352" s="30">
        <f>H352*0.65</f>
        <v>0</v>
      </c>
      <c r="AP352" s="30">
        <f>H352*(1-0.65)</f>
        <v>0</v>
      </c>
      <c r="AQ352" s="25" t="s">
        <v>13</v>
      </c>
      <c r="AV352" s="30">
        <f>AW352+AX352</f>
        <v>0</v>
      </c>
      <c r="AW352" s="30">
        <f>G352*AO352</f>
        <v>0</v>
      </c>
      <c r="AX352" s="30">
        <f>G352*AP352</f>
        <v>0</v>
      </c>
      <c r="AY352" s="31" t="s">
        <v>1060</v>
      </c>
      <c r="AZ352" s="31" t="s">
        <v>1077</v>
      </c>
      <c r="BA352" s="24" t="s">
        <v>1081</v>
      </c>
      <c r="BC352" s="30">
        <f>AW352+AX352</f>
        <v>0</v>
      </c>
      <c r="BD352" s="30">
        <f>H352/(100-BE352)*100</f>
        <v>0</v>
      </c>
      <c r="BE352" s="30">
        <v>0</v>
      </c>
      <c r="BF352" s="30">
        <f>352</f>
        <v>352</v>
      </c>
      <c r="BH352" s="14">
        <f>G352*AO352</f>
        <v>0</v>
      </c>
      <c r="BI352" s="14">
        <f>G352*AP352</f>
        <v>0</v>
      </c>
      <c r="BJ352" s="14">
        <f>G352*H352</f>
        <v>0</v>
      </c>
    </row>
    <row r="353" spans="3:5" ht="12.75">
      <c r="C353" s="155" t="s">
        <v>964</v>
      </c>
      <c r="D353" s="156"/>
      <c r="E353" s="156"/>
    </row>
    <row r="354" spans="1:62" ht="12.75">
      <c r="A354" s="4" t="s">
        <v>296</v>
      </c>
      <c r="B354" s="4" t="s">
        <v>617</v>
      </c>
      <c r="C354" s="153" t="s">
        <v>965</v>
      </c>
      <c r="D354" s="154"/>
      <c r="E354" s="154"/>
      <c r="F354" s="4" t="s">
        <v>991</v>
      </c>
      <c r="G354" s="64">
        <v>1</v>
      </c>
      <c r="H354" s="82">
        <v>0</v>
      </c>
      <c r="I354" s="14">
        <f>G354*AO354</f>
        <v>0</v>
      </c>
      <c r="J354" s="14">
        <f>G354*AP354</f>
        <v>0</v>
      </c>
      <c r="K354" s="14">
        <f>G354*H354</f>
        <v>0</v>
      </c>
      <c r="L354" s="25"/>
      <c r="Z354" s="30">
        <f>IF(AQ354="5",BJ354,0)</f>
        <v>0</v>
      </c>
      <c r="AB354" s="30">
        <f>IF(AQ354="1",BH354,0)</f>
        <v>0</v>
      </c>
      <c r="AC354" s="30">
        <f>IF(AQ354="1",BI354,0)</f>
        <v>0</v>
      </c>
      <c r="AD354" s="30">
        <f>IF(AQ354="7",BH354,0)</f>
        <v>0</v>
      </c>
      <c r="AE354" s="30">
        <f>IF(AQ354="7",BI354,0)</f>
        <v>0</v>
      </c>
      <c r="AF354" s="30">
        <f>IF(AQ354="2",BH354,0)</f>
        <v>0</v>
      </c>
      <c r="AG354" s="30">
        <f>IF(AQ354="2",BI354,0)</f>
        <v>0</v>
      </c>
      <c r="AH354" s="30">
        <f>IF(AQ354="0",BJ354,0)</f>
        <v>0</v>
      </c>
      <c r="AI354" s="24" t="s">
        <v>1025</v>
      </c>
      <c r="AJ354" s="14">
        <f>IF(AN354=0,K354,0)</f>
        <v>0</v>
      </c>
      <c r="AK354" s="14">
        <f>IF(AN354=15,K354,0)</f>
        <v>0</v>
      </c>
      <c r="AL354" s="14">
        <f>IF(AN354=21,K354,0)</f>
        <v>0</v>
      </c>
      <c r="AN354" s="30">
        <v>21</v>
      </c>
      <c r="AO354" s="30">
        <f>H354*0.65</f>
        <v>0</v>
      </c>
      <c r="AP354" s="30">
        <f>H354*(1-0.65)</f>
        <v>0</v>
      </c>
      <c r="AQ354" s="25" t="s">
        <v>13</v>
      </c>
      <c r="AV354" s="30">
        <f>AW354+AX354</f>
        <v>0</v>
      </c>
      <c r="AW354" s="30">
        <f>G354*AO354</f>
        <v>0</v>
      </c>
      <c r="AX354" s="30">
        <f>G354*AP354</f>
        <v>0</v>
      </c>
      <c r="AY354" s="31" t="s">
        <v>1060</v>
      </c>
      <c r="AZ354" s="31" t="s">
        <v>1077</v>
      </c>
      <c r="BA354" s="24" t="s">
        <v>1081</v>
      </c>
      <c r="BC354" s="30">
        <f>AW354+AX354</f>
        <v>0</v>
      </c>
      <c r="BD354" s="30">
        <f>H354/(100-BE354)*100</f>
        <v>0</v>
      </c>
      <c r="BE354" s="30">
        <v>0</v>
      </c>
      <c r="BF354" s="30">
        <f>354</f>
        <v>354</v>
      </c>
      <c r="BH354" s="14">
        <f>G354*AO354</f>
        <v>0</v>
      </c>
      <c r="BI354" s="14">
        <f>G354*AP354</f>
        <v>0</v>
      </c>
      <c r="BJ354" s="14">
        <f>G354*H354</f>
        <v>0</v>
      </c>
    </row>
    <row r="355" spans="1:62" ht="12.75">
      <c r="A355" s="4" t="s">
        <v>297</v>
      </c>
      <c r="B355" s="4" t="s">
        <v>618</v>
      </c>
      <c r="C355" s="153" t="s">
        <v>966</v>
      </c>
      <c r="D355" s="154"/>
      <c r="E355" s="154"/>
      <c r="F355" s="4" t="s">
        <v>991</v>
      </c>
      <c r="G355" s="64">
        <v>1</v>
      </c>
      <c r="H355" s="82">
        <v>0</v>
      </c>
      <c r="I355" s="14">
        <f>G355*AO355</f>
        <v>0</v>
      </c>
      <c r="J355" s="14">
        <f>G355*AP355</f>
        <v>0</v>
      </c>
      <c r="K355" s="14">
        <f>G355*H355</f>
        <v>0</v>
      </c>
      <c r="L355" s="25"/>
      <c r="Z355" s="30">
        <f>IF(AQ355="5",BJ355,0)</f>
        <v>0</v>
      </c>
      <c r="AB355" s="30">
        <f>IF(AQ355="1",BH355,0)</f>
        <v>0</v>
      </c>
      <c r="AC355" s="30">
        <f>IF(AQ355="1",BI355,0)</f>
        <v>0</v>
      </c>
      <c r="AD355" s="30">
        <f>IF(AQ355="7",BH355,0)</f>
        <v>0</v>
      </c>
      <c r="AE355" s="30">
        <f>IF(AQ355="7",BI355,0)</f>
        <v>0</v>
      </c>
      <c r="AF355" s="30">
        <f>IF(AQ355="2",BH355,0)</f>
        <v>0</v>
      </c>
      <c r="AG355" s="30">
        <f>IF(AQ355="2",BI355,0)</f>
        <v>0</v>
      </c>
      <c r="AH355" s="30">
        <f>IF(AQ355="0",BJ355,0)</f>
        <v>0</v>
      </c>
      <c r="AI355" s="24" t="s">
        <v>1025</v>
      </c>
      <c r="AJ355" s="14">
        <f>IF(AN355=0,K355,0)</f>
        <v>0</v>
      </c>
      <c r="AK355" s="14">
        <f>IF(AN355=15,K355,0)</f>
        <v>0</v>
      </c>
      <c r="AL355" s="14">
        <f>IF(AN355=21,K355,0)</f>
        <v>0</v>
      </c>
      <c r="AN355" s="30">
        <v>21</v>
      </c>
      <c r="AO355" s="30">
        <f>H355*0.65</f>
        <v>0</v>
      </c>
      <c r="AP355" s="30">
        <f>H355*(1-0.65)</f>
        <v>0</v>
      </c>
      <c r="AQ355" s="25" t="s">
        <v>13</v>
      </c>
      <c r="AV355" s="30">
        <f>AW355+AX355</f>
        <v>0</v>
      </c>
      <c r="AW355" s="30">
        <f>G355*AO355</f>
        <v>0</v>
      </c>
      <c r="AX355" s="30">
        <f>G355*AP355</f>
        <v>0</v>
      </c>
      <c r="AY355" s="31" t="s">
        <v>1060</v>
      </c>
      <c r="AZ355" s="31" t="s">
        <v>1077</v>
      </c>
      <c r="BA355" s="24" t="s">
        <v>1081</v>
      </c>
      <c r="BC355" s="30">
        <f>AW355+AX355</f>
        <v>0</v>
      </c>
      <c r="BD355" s="30">
        <f>H355/(100-BE355)*100</f>
        <v>0</v>
      </c>
      <c r="BE355" s="30">
        <v>0</v>
      </c>
      <c r="BF355" s="30">
        <f>355</f>
        <v>355</v>
      </c>
      <c r="BH355" s="14">
        <f>G355*AO355</f>
        <v>0</v>
      </c>
      <c r="BI355" s="14">
        <f>G355*AP355</f>
        <v>0</v>
      </c>
      <c r="BJ355" s="14">
        <f>G355*H355</f>
        <v>0</v>
      </c>
    </row>
    <row r="356" spans="1:62" ht="12.75">
      <c r="A356" s="4" t="s">
        <v>298</v>
      </c>
      <c r="B356" s="4" t="s">
        <v>619</v>
      </c>
      <c r="C356" s="153" t="s">
        <v>967</v>
      </c>
      <c r="D356" s="154"/>
      <c r="E356" s="154"/>
      <c r="F356" s="4" t="s">
        <v>991</v>
      </c>
      <c r="G356" s="64">
        <v>1</v>
      </c>
      <c r="H356" s="82">
        <v>0</v>
      </c>
      <c r="I356" s="14">
        <f>G356*AO356</f>
        <v>0</v>
      </c>
      <c r="J356" s="14">
        <f>G356*AP356</f>
        <v>0</v>
      </c>
      <c r="K356" s="14">
        <f>G356*H356</f>
        <v>0</v>
      </c>
      <c r="L356" s="25"/>
      <c r="Z356" s="30">
        <f>IF(AQ356="5",BJ356,0)</f>
        <v>0</v>
      </c>
      <c r="AB356" s="30">
        <f>IF(AQ356="1",BH356,0)</f>
        <v>0</v>
      </c>
      <c r="AC356" s="30">
        <f>IF(AQ356="1",BI356,0)</f>
        <v>0</v>
      </c>
      <c r="AD356" s="30">
        <f>IF(AQ356="7",BH356,0)</f>
        <v>0</v>
      </c>
      <c r="AE356" s="30">
        <f>IF(AQ356="7",BI356,0)</f>
        <v>0</v>
      </c>
      <c r="AF356" s="30">
        <f>IF(AQ356="2",BH356,0)</f>
        <v>0</v>
      </c>
      <c r="AG356" s="30">
        <f>IF(AQ356="2",BI356,0)</f>
        <v>0</v>
      </c>
      <c r="AH356" s="30">
        <f>IF(AQ356="0",BJ356,0)</f>
        <v>0</v>
      </c>
      <c r="AI356" s="24" t="s">
        <v>1025</v>
      </c>
      <c r="AJ356" s="14">
        <f>IF(AN356=0,K356,0)</f>
        <v>0</v>
      </c>
      <c r="AK356" s="14">
        <f>IF(AN356=15,K356,0)</f>
        <v>0</v>
      </c>
      <c r="AL356" s="14">
        <f>IF(AN356=21,K356,0)</f>
        <v>0</v>
      </c>
      <c r="AN356" s="30">
        <v>21</v>
      </c>
      <c r="AO356" s="30">
        <f>H356*0.65</f>
        <v>0</v>
      </c>
      <c r="AP356" s="30">
        <f>H356*(1-0.65)</f>
        <v>0</v>
      </c>
      <c r="AQ356" s="25" t="s">
        <v>13</v>
      </c>
      <c r="AV356" s="30">
        <f>AW356+AX356</f>
        <v>0</v>
      </c>
      <c r="AW356" s="30">
        <f>G356*AO356</f>
        <v>0</v>
      </c>
      <c r="AX356" s="30">
        <f>G356*AP356</f>
        <v>0</v>
      </c>
      <c r="AY356" s="31" t="s">
        <v>1060</v>
      </c>
      <c r="AZ356" s="31" t="s">
        <v>1077</v>
      </c>
      <c r="BA356" s="24" t="s">
        <v>1081</v>
      </c>
      <c r="BC356" s="30">
        <f>AW356+AX356</f>
        <v>0</v>
      </c>
      <c r="BD356" s="30">
        <f>H356/(100-BE356)*100</f>
        <v>0</v>
      </c>
      <c r="BE356" s="30">
        <v>0</v>
      </c>
      <c r="BF356" s="30">
        <f>356</f>
        <v>356</v>
      </c>
      <c r="BH356" s="14">
        <f>G356*AO356</f>
        <v>0</v>
      </c>
      <c r="BI356" s="14">
        <f>G356*AP356</f>
        <v>0</v>
      </c>
      <c r="BJ356" s="14">
        <f>G356*H356</f>
        <v>0</v>
      </c>
    </row>
    <row r="357" spans="1:62" ht="12.75">
      <c r="A357" s="4" t="s">
        <v>299</v>
      </c>
      <c r="B357" s="4" t="s">
        <v>620</v>
      </c>
      <c r="C357" s="153" t="s">
        <v>968</v>
      </c>
      <c r="D357" s="154"/>
      <c r="E357" s="154"/>
      <c r="F357" s="4" t="s">
        <v>991</v>
      </c>
      <c r="G357" s="64">
        <v>5</v>
      </c>
      <c r="H357" s="82">
        <v>0</v>
      </c>
      <c r="I357" s="14">
        <f>G357*AO357</f>
        <v>0</v>
      </c>
      <c r="J357" s="14">
        <f>G357*AP357</f>
        <v>0</v>
      </c>
      <c r="K357" s="14">
        <f>G357*H357</f>
        <v>0</v>
      </c>
      <c r="L357" s="25"/>
      <c r="Z357" s="30">
        <f>IF(AQ357="5",BJ357,0)</f>
        <v>0</v>
      </c>
      <c r="AB357" s="30">
        <f>IF(AQ357="1",BH357,0)</f>
        <v>0</v>
      </c>
      <c r="AC357" s="30">
        <f>IF(AQ357="1",BI357,0)</f>
        <v>0</v>
      </c>
      <c r="AD357" s="30">
        <f>IF(AQ357="7",BH357,0)</f>
        <v>0</v>
      </c>
      <c r="AE357" s="30">
        <f>IF(AQ357="7",BI357,0)</f>
        <v>0</v>
      </c>
      <c r="AF357" s="30">
        <f>IF(AQ357="2",BH357,0)</f>
        <v>0</v>
      </c>
      <c r="AG357" s="30">
        <f>IF(AQ357="2",BI357,0)</f>
        <v>0</v>
      </c>
      <c r="AH357" s="30">
        <f>IF(AQ357="0",BJ357,0)</f>
        <v>0</v>
      </c>
      <c r="AI357" s="24" t="s">
        <v>1025</v>
      </c>
      <c r="AJ357" s="14">
        <f>IF(AN357=0,K357,0)</f>
        <v>0</v>
      </c>
      <c r="AK357" s="14">
        <f>IF(AN357=15,K357,0)</f>
        <v>0</v>
      </c>
      <c r="AL357" s="14">
        <f>IF(AN357=21,K357,0)</f>
        <v>0</v>
      </c>
      <c r="AN357" s="30">
        <v>21</v>
      </c>
      <c r="AO357" s="30">
        <f>H357*0.65</f>
        <v>0</v>
      </c>
      <c r="AP357" s="30">
        <f>H357*(1-0.65)</f>
        <v>0</v>
      </c>
      <c r="AQ357" s="25" t="s">
        <v>13</v>
      </c>
      <c r="AV357" s="30">
        <f>AW357+AX357</f>
        <v>0</v>
      </c>
      <c r="AW357" s="30">
        <f>G357*AO357</f>
        <v>0</v>
      </c>
      <c r="AX357" s="30">
        <f>G357*AP357</f>
        <v>0</v>
      </c>
      <c r="AY357" s="31" t="s">
        <v>1060</v>
      </c>
      <c r="AZ357" s="31" t="s">
        <v>1077</v>
      </c>
      <c r="BA357" s="24" t="s">
        <v>1081</v>
      </c>
      <c r="BC357" s="30">
        <f>AW357+AX357</f>
        <v>0</v>
      </c>
      <c r="BD357" s="30">
        <f>H357/(100-BE357)*100</f>
        <v>0</v>
      </c>
      <c r="BE357" s="30">
        <v>0</v>
      </c>
      <c r="BF357" s="30">
        <f>357</f>
        <v>357</v>
      </c>
      <c r="BH357" s="14">
        <f>G357*AO357</f>
        <v>0</v>
      </c>
      <c r="BI357" s="14">
        <f>G357*AP357</f>
        <v>0</v>
      </c>
      <c r="BJ357" s="14">
        <f>G357*H357</f>
        <v>0</v>
      </c>
    </row>
    <row r="358" spans="3:5" ht="12.75">
      <c r="C358" s="155" t="s">
        <v>969</v>
      </c>
      <c r="D358" s="156"/>
      <c r="E358" s="156"/>
    </row>
    <row r="359" spans="1:62" ht="12.75">
      <c r="A359" s="4" t="s">
        <v>300</v>
      </c>
      <c r="B359" s="4" t="s">
        <v>621</v>
      </c>
      <c r="C359" s="153" t="s">
        <v>970</v>
      </c>
      <c r="D359" s="154"/>
      <c r="E359" s="154"/>
      <c r="F359" s="4" t="s">
        <v>991</v>
      </c>
      <c r="G359" s="64">
        <v>445</v>
      </c>
      <c r="H359" s="82">
        <v>0</v>
      </c>
      <c r="I359" s="14">
        <f aca="true" t="shared" si="298" ref="I359:I373">G359*AO359</f>
        <v>0</v>
      </c>
      <c r="J359" s="14">
        <f aca="true" t="shared" si="299" ref="J359:J373">G359*AP359</f>
        <v>0</v>
      </c>
      <c r="K359" s="14">
        <f aca="true" t="shared" si="300" ref="K359:K373">G359*H359</f>
        <v>0</v>
      </c>
      <c r="L359" s="25"/>
      <c r="Z359" s="30">
        <f aca="true" t="shared" si="301" ref="Z359:Z373">IF(AQ359="5",BJ359,0)</f>
        <v>0</v>
      </c>
      <c r="AB359" s="30">
        <f aca="true" t="shared" si="302" ref="AB359:AB373">IF(AQ359="1",BH359,0)</f>
        <v>0</v>
      </c>
      <c r="AC359" s="30">
        <f aca="true" t="shared" si="303" ref="AC359:AC373">IF(AQ359="1",BI359,0)</f>
        <v>0</v>
      </c>
      <c r="AD359" s="30">
        <f aca="true" t="shared" si="304" ref="AD359:AD373">IF(AQ359="7",BH359,0)</f>
        <v>0</v>
      </c>
      <c r="AE359" s="30">
        <f aca="true" t="shared" si="305" ref="AE359:AE373">IF(AQ359="7",BI359,0)</f>
        <v>0</v>
      </c>
      <c r="AF359" s="30">
        <f aca="true" t="shared" si="306" ref="AF359:AF373">IF(AQ359="2",BH359,0)</f>
        <v>0</v>
      </c>
      <c r="AG359" s="30">
        <f aca="true" t="shared" si="307" ref="AG359:AG373">IF(AQ359="2",BI359,0)</f>
        <v>0</v>
      </c>
      <c r="AH359" s="30">
        <f aca="true" t="shared" si="308" ref="AH359:AH373">IF(AQ359="0",BJ359,0)</f>
        <v>0</v>
      </c>
      <c r="AI359" s="24" t="s">
        <v>1025</v>
      </c>
      <c r="AJ359" s="14">
        <f aca="true" t="shared" si="309" ref="AJ359:AJ373">IF(AN359=0,K359,0)</f>
        <v>0</v>
      </c>
      <c r="AK359" s="14">
        <f aca="true" t="shared" si="310" ref="AK359:AK373">IF(AN359=15,K359,0)</f>
        <v>0</v>
      </c>
      <c r="AL359" s="14">
        <f aca="true" t="shared" si="311" ref="AL359:AL373">IF(AN359=21,K359,0)</f>
        <v>0</v>
      </c>
      <c r="AN359" s="30">
        <v>21</v>
      </c>
      <c r="AO359" s="30">
        <f aca="true" t="shared" si="312" ref="AO359:AO365">H359*0.65</f>
        <v>0</v>
      </c>
      <c r="AP359" s="30">
        <f aca="true" t="shared" si="313" ref="AP359:AP365">H359*(1-0.65)</f>
        <v>0</v>
      </c>
      <c r="AQ359" s="25" t="s">
        <v>13</v>
      </c>
      <c r="AV359" s="30">
        <f aca="true" t="shared" si="314" ref="AV359:AV373">AW359+AX359</f>
        <v>0</v>
      </c>
      <c r="AW359" s="30">
        <f aca="true" t="shared" si="315" ref="AW359:AW373">G359*AO359</f>
        <v>0</v>
      </c>
      <c r="AX359" s="30">
        <f aca="true" t="shared" si="316" ref="AX359:AX373">G359*AP359</f>
        <v>0</v>
      </c>
      <c r="AY359" s="31" t="s">
        <v>1060</v>
      </c>
      <c r="AZ359" s="31" t="s">
        <v>1077</v>
      </c>
      <c r="BA359" s="24" t="s">
        <v>1081</v>
      </c>
      <c r="BC359" s="30">
        <f aca="true" t="shared" si="317" ref="BC359:BC373">AW359+AX359</f>
        <v>0</v>
      </c>
      <c r="BD359" s="30">
        <f aca="true" t="shared" si="318" ref="BD359:BD373">H359/(100-BE359)*100</f>
        <v>0</v>
      </c>
      <c r="BE359" s="30">
        <v>0</v>
      </c>
      <c r="BF359" s="30">
        <f>359</f>
        <v>359</v>
      </c>
      <c r="BH359" s="14">
        <f aca="true" t="shared" si="319" ref="BH359:BH373">G359*AO359</f>
        <v>0</v>
      </c>
      <c r="BI359" s="14">
        <f aca="true" t="shared" si="320" ref="BI359:BI373">G359*AP359</f>
        <v>0</v>
      </c>
      <c r="BJ359" s="14">
        <f aca="true" t="shared" si="321" ref="BJ359:BJ373">G359*H359</f>
        <v>0</v>
      </c>
    </row>
    <row r="360" spans="1:62" ht="12.75">
      <c r="A360" s="4" t="s">
        <v>301</v>
      </c>
      <c r="B360" s="4" t="s">
        <v>622</v>
      </c>
      <c r="C360" s="153" t="s">
        <v>971</v>
      </c>
      <c r="D360" s="154"/>
      <c r="E360" s="154"/>
      <c r="F360" s="4" t="s">
        <v>991</v>
      </c>
      <c r="G360" s="64">
        <v>1710</v>
      </c>
      <c r="H360" s="82">
        <v>0</v>
      </c>
      <c r="I360" s="14">
        <f t="shared" si="298"/>
        <v>0</v>
      </c>
      <c r="J360" s="14">
        <f t="shared" si="299"/>
        <v>0</v>
      </c>
      <c r="K360" s="14">
        <f t="shared" si="300"/>
        <v>0</v>
      </c>
      <c r="L360" s="25"/>
      <c r="Z360" s="30">
        <f t="shared" si="301"/>
        <v>0</v>
      </c>
      <c r="AB360" s="30">
        <f t="shared" si="302"/>
        <v>0</v>
      </c>
      <c r="AC360" s="30">
        <f t="shared" si="303"/>
        <v>0</v>
      </c>
      <c r="AD360" s="30">
        <f t="shared" si="304"/>
        <v>0</v>
      </c>
      <c r="AE360" s="30">
        <f t="shared" si="305"/>
        <v>0</v>
      </c>
      <c r="AF360" s="30">
        <f t="shared" si="306"/>
        <v>0</v>
      </c>
      <c r="AG360" s="30">
        <f t="shared" si="307"/>
        <v>0</v>
      </c>
      <c r="AH360" s="30">
        <f t="shared" si="308"/>
        <v>0</v>
      </c>
      <c r="AI360" s="24" t="s">
        <v>1025</v>
      </c>
      <c r="AJ360" s="14">
        <f t="shared" si="309"/>
        <v>0</v>
      </c>
      <c r="AK360" s="14">
        <f t="shared" si="310"/>
        <v>0</v>
      </c>
      <c r="AL360" s="14">
        <f t="shared" si="311"/>
        <v>0</v>
      </c>
      <c r="AN360" s="30">
        <v>21</v>
      </c>
      <c r="AO360" s="30">
        <f t="shared" si="312"/>
        <v>0</v>
      </c>
      <c r="AP360" s="30">
        <f t="shared" si="313"/>
        <v>0</v>
      </c>
      <c r="AQ360" s="25" t="s">
        <v>13</v>
      </c>
      <c r="AV360" s="30">
        <f t="shared" si="314"/>
        <v>0</v>
      </c>
      <c r="AW360" s="30">
        <f t="shared" si="315"/>
        <v>0</v>
      </c>
      <c r="AX360" s="30">
        <f t="shared" si="316"/>
        <v>0</v>
      </c>
      <c r="AY360" s="31" t="s">
        <v>1060</v>
      </c>
      <c r="AZ360" s="31" t="s">
        <v>1077</v>
      </c>
      <c r="BA360" s="24" t="s">
        <v>1081</v>
      </c>
      <c r="BC360" s="30">
        <f t="shared" si="317"/>
        <v>0</v>
      </c>
      <c r="BD360" s="30">
        <f t="shared" si="318"/>
        <v>0</v>
      </c>
      <c r="BE360" s="30">
        <v>0</v>
      </c>
      <c r="BF360" s="30">
        <f>360</f>
        <v>360</v>
      </c>
      <c r="BH360" s="14">
        <f t="shared" si="319"/>
        <v>0</v>
      </c>
      <c r="BI360" s="14">
        <f t="shared" si="320"/>
        <v>0</v>
      </c>
      <c r="BJ360" s="14">
        <f t="shared" si="321"/>
        <v>0</v>
      </c>
    </row>
    <row r="361" spans="1:62" ht="12.75">
      <c r="A361" s="4" t="s">
        <v>302</v>
      </c>
      <c r="B361" s="4" t="s">
        <v>623</v>
      </c>
      <c r="C361" s="153" t="s">
        <v>972</v>
      </c>
      <c r="D361" s="154"/>
      <c r="E361" s="154"/>
      <c r="F361" s="4" t="s">
        <v>991</v>
      </c>
      <c r="G361" s="64">
        <v>445</v>
      </c>
      <c r="H361" s="82">
        <v>0</v>
      </c>
      <c r="I361" s="14">
        <f t="shared" si="298"/>
        <v>0</v>
      </c>
      <c r="J361" s="14">
        <f t="shared" si="299"/>
        <v>0</v>
      </c>
      <c r="K361" s="14">
        <f t="shared" si="300"/>
        <v>0</v>
      </c>
      <c r="L361" s="25"/>
      <c r="Z361" s="30">
        <f t="shared" si="301"/>
        <v>0</v>
      </c>
      <c r="AB361" s="30">
        <f t="shared" si="302"/>
        <v>0</v>
      </c>
      <c r="AC361" s="30">
        <f t="shared" si="303"/>
        <v>0</v>
      </c>
      <c r="AD361" s="30">
        <f t="shared" si="304"/>
        <v>0</v>
      </c>
      <c r="AE361" s="30">
        <f t="shared" si="305"/>
        <v>0</v>
      </c>
      <c r="AF361" s="30">
        <f t="shared" si="306"/>
        <v>0</v>
      </c>
      <c r="AG361" s="30">
        <f t="shared" si="307"/>
        <v>0</v>
      </c>
      <c r="AH361" s="30">
        <f t="shared" si="308"/>
        <v>0</v>
      </c>
      <c r="AI361" s="24" t="s">
        <v>1025</v>
      </c>
      <c r="AJ361" s="14">
        <f t="shared" si="309"/>
        <v>0</v>
      </c>
      <c r="AK361" s="14">
        <f t="shared" si="310"/>
        <v>0</v>
      </c>
      <c r="AL361" s="14">
        <f t="shared" si="311"/>
        <v>0</v>
      </c>
      <c r="AN361" s="30">
        <v>21</v>
      </c>
      <c r="AO361" s="30">
        <f t="shared" si="312"/>
        <v>0</v>
      </c>
      <c r="AP361" s="30">
        <f t="shared" si="313"/>
        <v>0</v>
      </c>
      <c r="AQ361" s="25" t="s">
        <v>13</v>
      </c>
      <c r="AV361" s="30">
        <f t="shared" si="314"/>
        <v>0</v>
      </c>
      <c r="AW361" s="30">
        <f t="shared" si="315"/>
        <v>0</v>
      </c>
      <c r="AX361" s="30">
        <f t="shared" si="316"/>
        <v>0</v>
      </c>
      <c r="AY361" s="31" t="s">
        <v>1060</v>
      </c>
      <c r="AZ361" s="31" t="s">
        <v>1077</v>
      </c>
      <c r="BA361" s="24" t="s">
        <v>1081</v>
      </c>
      <c r="BC361" s="30">
        <f t="shared" si="317"/>
        <v>0</v>
      </c>
      <c r="BD361" s="30">
        <f t="shared" si="318"/>
        <v>0</v>
      </c>
      <c r="BE361" s="30">
        <v>0</v>
      </c>
      <c r="BF361" s="30">
        <f>361</f>
        <v>361</v>
      </c>
      <c r="BH361" s="14">
        <f t="shared" si="319"/>
        <v>0</v>
      </c>
      <c r="BI361" s="14">
        <f t="shared" si="320"/>
        <v>0</v>
      </c>
      <c r="BJ361" s="14">
        <f t="shared" si="321"/>
        <v>0</v>
      </c>
    </row>
    <row r="362" spans="1:62" ht="12.75">
      <c r="A362" s="4" t="s">
        <v>303</v>
      </c>
      <c r="B362" s="4" t="s">
        <v>624</v>
      </c>
      <c r="C362" s="153" t="s">
        <v>973</v>
      </c>
      <c r="D362" s="154"/>
      <c r="E362" s="154"/>
      <c r="F362" s="4" t="s">
        <v>992</v>
      </c>
      <c r="G362" s="64">
        <v>110</v>
      </c>
      <c r="H362" s="82">
        <v>0</v>
      </c>
      <c r="I362" s="14">
        <f t="shared" si="298"/>
        <v>0</v>
      </c>
      <c r="J362" s="14">
        <f t="shared" si="299"/>
        <v>0</v>
      </c>
      <c r="K362" s="14">
        <f t="shared" si="300"/>
        <v>0</v>
      </c>
      <c r="L362" s="25"/>
      <c r="Z362" s="30">
        <f t="shared" si="301"/>
        <v>0</v>
      </c>
      <c r="AB362" s="30">
        <f t="shared" si="302"/>
        <v>0</v>
      </c>
      <c r="AC362" s="30">
        <f t="shared" si="303"/>
        <v>0</v>
      </c>
      <c r="AD362" s="30">
        <f t="shared" si="304"/>
        <v>0</v>
      </c>
      <c r="AE362" s="30">
        <f t="shared" si="305"/>
        <v>0</v>
      </c>
      <c r="AF362" s="30">
        <f t="shared" si="306"/>
        <v>0</v>
      </c>
      <c r="AG362" s="30">
        <f t="shared" si="307"/>
        <v>0</v>
      </c>
      <c r="AH362" s="30">
        <f t="shared" si="308"/>
        <v>0</v>
      </c>
      <c r="AI362" s="24" t="s">
        <v>1025</v>
      </c>
      <c r="AJ362" s="14">
        <f t="shared" si="309"/>
        <v>0</v>
      </c>
      <c r="AK362" s="14">
        <f t="shared" si="310"/>
        <v>0</v>
      </c>
      <c r="AL362" s="14">
        <f t="shared" si="311"/>
        <v>0</v>
      </c>
      <c r="AN362" s="30">
        <v>21</v>
      </c>
      <c r="AO362" s="30">
        <f t="shared" si="312"/>
        <v>0</v>
      </c>
      <c r="AP362" s="30">
        <f t="shared" si="313"/>
        <v>0</v>
      </c>
      <c r="AQ362" s="25" t="s">
        <v>13</v>
      </c>
      <c r="AV362" s="30">
        <f t="shared" si="314"/>
        <v>0</v>
      </c>
      <c r="AW362" s="30">
        <f t="shared" si="315"/>
        <v>0</v>
      </c>
      <c r="AX362" s="30">
        <f t="shared" si="316"/>
        <v>0</v>
      </c>
      <c r="AY362" s="31" t="s">
        <v>1060</v>
      </c>
      <c r="AZ362" s="31" t="s">
        <v>1077</v>
      </c>
      <c r="BA362" s="24" t="s">
        <v>1081</v>
      </c>
      <c r="BC362" s="30">
        <f t="shared" si="317"/>
        <v>0</v>
      </c>
      <c r="BD362" s="30">
        <f t="shared" si="318"/>
        <v>0</v>
      </c>
      <c r="BE362" s="30">
        <v>0</v>
      </c>
      <c r="BF362" s="30">
        <f>362</f>
        <v>362</v>
      </c>
      <c r="BH362" s="14">
        <f t="shared" si="319"/>
        <v>0</v>
      </c>
      <c r="BI362" s="14">
        <f t="shared" si="320"/>
        <v>0</v>
      </c>
      <c r="BJ362" s="14">
        <f t="shared" si="321"/>
        <v>0</v>
      </c>
    </row>
    <row r="363" spans="1:62" ht="12.75">
      <c r="A363" s="4" t="s">
        <v>304</v>
      </c>
      <c r="B363" s="4" t="s">
        <v>625</v>
      </c>
      <c r="C363" s="153" t="s">
        <v>974</v>
      </c>
      <c r="D363" s="154"/>
      <c r="E363" s="154"/>
      <c r="F363" s="4" t="s">
        <v>992</v>
      </c>
      <c r="G363" s="64">
        <v>110</v>
      </c>
      <c r="H363" s="82">
        <v>0</v>
      </c>
      <c r="I363" s="14">
        <f t="shared" si="298"/>
        <v>0</v>
      </c>
      <c r="J363" s="14">
        <f t="shared" si="299"/>
        <v>0</v>
      </c>
      <c r="K363" s="14">
        <f t="shared" si="300"/>
        <v>0</v>
      </c>
      <c r="L363" s="25"/>
      <c r="Z363" s="30">
        <f t="shared" si="301"/>
        <v>0</v>
      </c>
      <c r="AB363" s="30">
        <f t="shared" si="302"/>
        <v>0</v>
      </c>
      <c r="AC363" s="30">
        <f t="shared" si="303"/>
        <v>0</v>
      </c>
      <c r="AD363" s="30">
        <f t="shared" si="304"/>
        <v>0</v>
      </c>
      <c r="AE363" s="30">
        <f t="shared" si="305"/>
        <v>0</v>
      </c>
      <c r="AF363" s="30">
        <f t="shared" si="306"/>
        <v>0</v>
      </c>
      <c r="AG363" s="30">
        <f t="shared" si="307"/>
        <v>0</v>
      </c>
      <c r="AH363" s="30">
        <f t="shared" si="308"/>
        <v>0</v>
      </c>
      <c r="AI363" s="24" t="s">
        <v>1025</v>
      </c>
      <c r="AJ363" s="14">
        <f t="shared" si="309"/>
        <v>0</v>
      </c>
      <c r="AK363" s="14">
        <f t="shared" si="310"/>
        <v>0</v>
      </c>
      <c r="AL363" s="14">
        <f t="shared" si="311"/>
        <v>0</v>
      </c>
      <c r="AN363" s="30">
        <v>21</v>
      </c>
      <c r="AO363" s="30">
        <f t="shared" si="312"/>
        <v>0</v>
      </c>
      <c r="AP363" s="30">
        <f t="shared" si="313"/>
        <v>0</v>
      </c>
      <c r="AQ363" s="25" t="s">
        <v>13</v>
      </c>
      <c r="AV363" s="30">
        <f t="shared" si="314"/>
        <v>0</v>
      </c>
      <c r="AW363" s="30">
        <f t="shared" si="315"/>
        <v>0</v>
      </c>
      <c r="AX363" s="30">
        <f t="shared" si="316"/>
        <v>0</v>
      </c>
      <c r="AY363" s="31" t="s">
        <v>1060</v>
      </c>
      <c r="AZ363" s="31" t="s">
        <v>1077</v>
      </c>
      <c r="BA363" s="24" t="s">
        <v>1081</v>
      </c>
      <c r="BC363" s="30">
        <f t="shared" si="317"/>
        <v>0</v>
      </c>
      <c r="BD363" s="30">
        <f t="shared" si="318"/>
        <v>0</v>
      </c>
      <c r="BE363" s="30">
        <v>0</v>
      </c>
      <c r="BF363" s="30">
        <f>363</f>
        <v>363</v>
      </c>
      <c r="BH363" s="14">
        <f t="shared" si="319"/>
        <v>0</v>
      </c>
      <c r="BI363" s="14">
        <f t="shared" si="320"/>
        <v>0</v>
      </c>
      <c r="BJ363" s="14">
        <f t="shared" si="321"/>
        <v>0</v>
      </c>
    </row>
    <row r="364" spans="1:62" ht="12.75">
      <c r="A364" s="4" t="s">
        <v>305</v>
      </c>
      <c r="B364" s="4" t="s">
        <v>626</v>
      </c>
      <c r="C364" s="153" t="s">
        <v>975</v>
      </c>
      <c r="D364" s="154"/>
      <c r="E364" s="154"/>
      <c r="F364" s="4" t="s">
        <v>992</v>
      </c>
      <c r="G364" s="64">
        <v>220</v>
      </c>
      <c r="H364" s="82">
        <v>0</v>
      </c>
      <c r="I364" s="14">
        <f t="shared" si="298"/>
        <v>0</v>
      </c>
      <c r="J364" s="14">
        <f t="shared" si="299"/>
        <v>0</v>
      </c>
      <c r="K364" s="14">
        <f t="shared" si="300"/>
        <v>0</v>
      </c>
      <c r="L364" s="25"/>
      <c r="Z364" s="30">
        <f t="shared" si="301"/>
        <v>0</v>
      </c>
      <c r="AB364" s="30">
        <f t="shared" si="302"/>
        <v>0</v>
      </c>
      <c r="AC364" s="30">
        <f t="shared" si="303"/>
        <v>0</v>
      </c>
      <c r="AD364" s="30">
        <f t="shared" si="304"/>
        <v>0</v>
      </c>
      <c r="AE364" s="30">
        <f t="shared" si="305"/>
        <v>0</v>
      </c>
      <c r="AF364" s="30">
        <f t="shared" si="306"/>
        <v>0</v>
      </c>
      <c r="AG364" s="30">
        <f t="shared" si="307"/>
        <v>0</v>
      </c>
      <c r="AH364" s="30">
        <f t="shared" si="308"/>
        <v>0</v>
      </c>
      <c r="AI364" s="24" t="s">
        <v>1025</v>
      </c>
      <c r="AJ364" s="14">
        <f t="shared" si="309"/>
        <v>0</v>
      </c>
      <c r="AK364" s="14">
        <f t="shared" si="310"/>
        <v>0</v>
      </c>
      <c r="AL364" s="14">
        <f t="shared" si="311"/>
        <v>0</v>
      </c>
      <c r="AN364" s="30">
        <v>21</v>
      </c>
      <c r="AO364" s="30">
        <f t="shared" si="312"/>
        <v>0</v>
      </c>
      <c r="AP364" s="30">
        <f t="shared" si="313"/>
        <v>0</v>
      </c>
      <c r="AQ364" s="25" t="s">
        <v>13</v>
      </c>
      <c r="AV364" s="30">
        <f t="shared" si="314"/>
        <v>0</v>
      </c>
      <c r="AW364" s="30">
        <f t="shared" si="315"/>
        <v>0</v>
      </c>
      <c r="AX364" s="30">
        <f t="shared" si="316"/>
        <v>0</v>
      </c>
      <c r="AY364" s="31" t="s">
        <v>1060</v>
      </c>
      <c r="AZ364" s="31" t="s">
        <v>1077</v>
      </c>
      <c r="BA364" s="24" t="s">
        <v>1081</v>
      </c>
      <c r="BC364" s="30">
        <f t="shared" si="317"/>
        <v>0</v>
      </c>
      <c r="BD364" s="30">
        <f t="shared" si="318"/>
        <v>0</v>
      </c>
      <c r="BE364" s="30">
        <v>0</v>
      </c>
      <c r="BF364" s="30">
        <f>364</f>
        <v>364</v>
      </c>
      <c r="BH364" s="14">
        <f t="shared" si="319"/>
        <v>0</v>
      </c>
      <c r="BI364" s="14">
        <f t="shared" si="320"/>
        <v>0</v>
      </c>
      <c r="BJ364" s="14">
        <f t="shared" si="321"/>
        <v>0</v>
      </c>
    </row>
    <row r="365" spans="1:62" ht="12.75">
      <c r="A365" s="4" t="s">
        <v>306</v>
      </c>
      <c r="B365" s="4" t="s">
        <v>627</v>
      </c>
      <c r="C365" s="153" t="s">
        <v>976</v>
      </c>
      <c r="D365" s="154"/>
      <c r="E365" s="154"/>
      <c r="F365" s="4" t="s">
        <v>996</v>
      </c>
      <c r="G365" s="64">
        <v>10</v>
      </c>
      <c r="H365" s="82">
        <v>0</v>
      </c>
      <c r="I365" s="14">
        <f t="shared" si="298"/>
        <v>0</v>
      </c>
      <c r="J365" s="14">
        <f t="shared" si="299"/>
        <v>0</v>
      </c>
      <c r="K365" s="14">
        <f t="shared" si="300"/>
        <v>0</v>
      </c>
      <c r="L365" s="25"/>
      <c r="Z365" s="30">
        <f t="shared" si="301"/>
        <v>0</v>
      </c>
      <c r="AB365" s="30">
        <f t="shared" si="302"/>
        <v>0</v>
      </c>
      <c r="AC365" s="30">
        <f t="shared" si="303"/>
        <v>0</v>
      </c>
      <c r="AD365" s="30">
        <f t="shared" si="304"/>
        <v>0</v>
      </c>
      <c r="AE365" s="30">
        <f t="shared" si="305"/>
        <v>0</v>
      </c>
      <c r="AF365" s="30">
        <f t="shared" si="306"/>
        <v>0</v>
      </c>
      <c r="AG365" s="30">
        <f t="shared" si="307"/>
        <v>0</v>
      </c>
      <c r="AH365" s="30">
        <f t="shared" si="308"/>
        <v>0</v>
      </c>
      <c r="AI365" s="24" t="s">
        <v>1025</v>
      </c>
      <c r="AJ365" s="14">
        <f t="shared" si="309"/>
        <v>0</v>
      </c>
      <c r="AK365" s="14">
        <f t="shared" si="310"/>
        <v>0</v>
      </c>
      <c r="AL365" s="14">
        <f t="shared" si="311"/>
        <v>0</v>
      </c>
      <c r="AN365" s="30">
        <v>21</v>
      </c>
      <c r="AO365" s="30">
        <f t="shared" si="312"/>
        <v>0</v>
      </c>
      <c r="AP365" s="30">
        <f t="shared" si="313"/>
        <v>0</v>
      </c>
      <c r="AQ365" s="25" t="s">
        <v>13</v>
      </c>
      <c r="AV365" s="30">
        <f t="shared" si="314"/>
        <v>0</v>
      </c>
      <c r="AW365" s="30">
        <f t="shared" si="315"/>
        <v>0</v>
      </c>
      <c r="AX365" s="30">
        <f t="shared" si="316"/>
        <v>0</v>
      </c>
      <c r="AY365" s="31" t="s">
        <v>1060</v>
      </c>
      <c r="AZ365" s="31" t="s">
        <v>1077</v>
      </c>
      <c r="BA365" s="24" t="s">
        <v>1081</v>
      </c>
      <c r="BC365" s="30">
        <f t="shared" si="317"/>
        <v>0</v>
      </c>
      <c r="BD365" s="30">
        <f t="shared" si="318"/>
        <v>0</v>
      </c>
      <c r="BE365" s="30">
        <v>0</v>
      </c>
      <c r="BF365" s="30">
        <f>365</f>
        <v>365</v>
      </c>
      <c r="BH365" s="14">
        <f t="shared" si="319"/>
        <v>0</v>
      </c>
      <c r="BI365" s="14">
        <f t="shared" si="320"/>
        <v>0</v>
      </c>
      <c r="BJ365" s="14">
        <f t="shared" si="321"/>
        <v>0</v>
      </c>
    </row>
    <row r="366" spans="1:62" ht="12.75">
      <c r="A366" s="4" t="s">
        <v>307</v>
      </c>
      <c r="B366" s="4" t="s">
        <v>628</v>
      </c>
      <c r="C366" s="153" t="s">
        <v>977</v>
      </c>
      <c r="D366" s="154"/>
      <c r="E366" s="154"/>
      <c r="F366" s="4" t="s">
        <v>995</v>
      </c>
      <c r="G366" s="64">
        <v>207</v>
      </c>
      <c r="H366" s="82">
        <v>0</v>
      </c>
      <c r="I366" s="14">
        <f t="shared" si="298"/>
        <v>0</v>
      </c>
      <c r="J366" s="14">
        <f t="shared" si="299"/>
        <v>0</v>
      </c>
      <c r="K366" s="14">
        <f t="shared" si="300"/>
        <v>0</v>
      </c>
      <c r="L366" s="25"/>
      <c r="Z366" s="30">
        <f t="shared" si="301"/>
        <v>0</v>
      </c>
      <c r="AB366" s="30">
        <f t="shared" si="302"/>
        <v>0</v>
      </c>
      <c r="AC366" s="30">
        <f t="shared" si="303"/>
        <v>0</v>
      </c>
      <c r="AD366" s="30">
        <f t="shared" si="304"/>
        <v>0</v>
      </c>
      <c r="AE366" s="30">
        <f t="shared" si="305"/>
        <v>0</v>
      </c>
      <c r="AF366" s="30">
        <f t="shared" si="306"/>
        <v>0</v>
      </c>
      <c r="AG366" s="30">
        <f t="shared" si="307"/>
        <v>0</v>
      </c>
      <c r="AH366" s="30">
        <f t="shared" si="308"/>
        <v>0</v>
      </c>
      <c r="AI366" s="24" t="s">
        <v>1025</v>
      </c>
      <c r="AJ366" s="14">
        <f t="shared" si="309"/>
        <v>0</v>
      </c>
      <c r="AK366" s="14">
        <f t="shared" si="310"/>
        <v>0</v>
      </c>
      <c r="AL366" s="14">
        <f t="shared" si="311"/>
        <v>0</v>
      </c>
      <c r="AN366" s="30">
        <v>21</v>
      </c>
      <c r="AO366" s="30">
        <f aca="true" t="shared" si="322" ref="AO366:AO373">H366*0</f>
        <v>0</v>
      </c>
      <c r="AP366" s="30">
        <f aca="true" t="shared" si="323" ref="AP366:AP373">H366*(1-0)</f>
        <v>0</v>
      </c>
      <c r="AQ366" s="25" t="s">
        <v>13</v>
      </c>
      <c r="AV366" s="30">
        <f t="shared" si="314"/>
        <v>0</v>
      </c>
      <c r="AW366" s="30">
        <f t="shared" si="315"/>
        <v>0</v>
      </c>
      <c r="AX366" s="30">
        <f t="shared" si="316"/>
        <v>0</v>
      </c>
      <c r="AY366" s="31" t="s">
        <v>1060</v>
      </c>
      <c r="AZ366" s="31" t="s">
        <v>1077</v>
      </c>
      <c r="BA366" s="24" t="s">
        <v>1081</v>
      </c>
      <c r="BC366" s="30">
        <f t="shared" si="317"/>
        <v>0</v>
      </c>
      <c r="BD366" s="30">
        <f t="shared" si="318"/>
        <v>0</v>
      </c>
      <c r="BE366" s="30">
        <v>0</v>
      </c>
      <c r="BF366" s="30">
        <f>366</f>
        <v>366</v>
      </c>
      <c r="BH366" s="14">
        <f t="shared" si="319"/>
        <v>0</v>
      </c>
      <c r="BI366" s="14">
        <f t="shared" si="320"/>
        <v>0</v>
      </c>
      <c r="BJ366" s="14">
        <f t="shared" si="321"/>
        <v>0</v>
      </c>
    </row>
    <row r="367" spans="1:62" ht="12.75">
      <c r="A367" s="4" t="s">
        <v>308</v>
      </c>
      <c r="B367" s="4" t="s">
        <v>629</v>
      </c>
      <c r="C367" s="153" t="s">
        <v>978</v>
      </c>
      <c r="D367" s="154"/>
      <c r="E367" s="154"/>
      <c r="F367" s="4" t="s">
        <v>995</v>
      </c>
      <c r="G367" s="64">
        <v>207</v>
      </c>
      <c r="H367" s="82">
        <v>0</v>
      </c>
      <c r="I367" s="14">
        <f t="shared" si="298"/>
        <v>0</v>
      </c>
      <c r="J367" s="14">
        <f t="shared" si="299"/>
        <v>0</v>
      </c>
      <c r="K367" s="14">
        <f t="shared" si="300"/>
        <v>0</v>
      </c>
      <c r="L367" s="25"/>
      <c r="Z367" s="30">
        <f t="shared" si="301"/>
        <v>0</v>
      </c>
      <c r="AB367" s="30">
        <f t="shared" si="302"/>
        <v>0</v>
      </c>
      <c r="AC367" s="30">
        <f t="shared" si="303"/>
        <v>0</v>
      </c>
      <c r="AD367" s="30">
        <f t="shared" si="304"/>
        <v>0</v>
      </c>
      <c r="AE367" s="30">
        <f t="shared" si="305"/>
        <v>0</v>
      </c>
      <c r="AF367" s="30">
        <f t="shared" si="306"/>
        <v>0</v>
      </c>
      <c r="AG367" s="30">
        <f t="shared" si="307"/>
        <v>0</v>
      </c>
      <c r="AH367" s="30">
        <f t="shared" si="308"/>
        <v>0</v>
      </c>
      <c r="AI367" s="24" t="s">
        <v>1025</v>
      </c>
      <c r="AJ367" s="14">
        <f t="shared" si="309"/>
        <v>0</v>
      </c>
      <c r="AK367" s="14">
        <f t="shared" si="310"/>
        <v>0</v>
      </c>
      <c r="AL367" s="14">
        <f t="shared" si="311"/>
        <v>0</v>
      </c>
      <c r="AN367" s="30">
        <v>21</v>
      </c>
      <c r="AO367" s="30">
        <f t="shared" si="322"/>
        <v>0</v>
      </c>
      <c r="AP367" s="30">
        <f t="shared" si="323"/>
        <v>0</v>
      </c>
      <c r="AQ367" s="25" t="s">
        <v>13</v>
      </c>
      <c r="AV367" s="30">
        <f t="shared" si="314"/>
        <v>0</v>
      </c>
      <c r="AW367" s="30">
        <f t="shared" si="315"/>
        <v>0</v>
      </c>
      <c r="AX367" s="30">
        <f t="shared" si="316"/>
        <v>0</v>
      </c>
      <c r="AY367" s="31" t="s">
        <v>1060</v>
      </c>
      <c r="AZ367" s="31" t="s">
        <v>1077</v>
      </c>
      <c r="BA367" s="24" t="s">
        <v>1081</v>
      </c>
      <c r="BC367" s="30">
        <f t="shared" si="317"/>
        <v>0</v>
      </c>
      <c r="BD367" s="30">
        <f t="shared" si="318"/>
        <v>0</v>
      </c>
      <c r="BE367" s="30">
        <v>0</v>
      </c>
      <c r="BF367" s="30">
        <f>367</f>
        <v>367</v>
      </c>
      <c r="BH367" s="14">
        <f t="shared" si="319"/>
        <v>0</v>
      </c>
      <c r="BI367" s="14">
        <f t="shared" si="320"/>
        <v>0</v>
      </c>
      <c r="BJ367" s="14">
        <f t="shared" si="321"/>
        <v>0</v>
      </c>
    </row>
    <row r="368" spans="1:62" ht="12.75">
      <c r="A368" s="4" t="s">
        <v>309</v>
      </c>
      <c r="B368" s="4" t="s">
        <v>630</v>
      </c>
      <c r="C368" s="153" t="s">
        <v>979</v>
      </c>
      <c r="D368" s="154"/>
      <c r="E368" s="154"/>
      <c r="F368" s="4" t="s">
        <v>995</v>
      </c>
      <c r="G368" s="64">
        <v>207</v>
      </c>
      <c r="H368" s="82">
        <v>0</v>
      </c>
      <c r="I368" s="14">
        <f t="shared" si="298"/>
        <v>0</v>
      </c>
      <c r="J368" s="14">
        <f t="shared" si="299"/>
        <v>0</v>
      </c>
      <c r="K368" s="14">
        <f t="shared" si="300"/>
        <v>0</v>
      </c>
      <c r="L368" s="25"/>
      <c r="Z368" s="30">
        <f t="shared" si="301"/>
        <v>0</v>
      </c>
      <c r="AB368" s="30">
        <f t="shared" si="302"/>
        <v>0</v>
      </c>
      <c r="AC368" s="30">
        <f t="shared" si="303"/>
        <v>0</v>
      </c>
      <c r="AD368" s="30">
        <f t="shared" si="304"/>
        <v>0</v>
      </c>
      <c r="AE368" s="30">
        <f t="shared" si="305"/>
        <v>0</v>
      </c>
      <c r="AF368" s="30">
        <f t="shared" si="306"/>
        <v>0</v>
      </c>
      <c r="AG368" s="30">
        <f t="shared" si="307"/>
        <v>0</v>
      </c>
      <c r="AH368" s="30">
        <f t="shared" si="308"/>
        <v>0</v>
      </c>
      <c r="AI368" s="24" t="s">
        <v>1025</v>
      </c>
      <c r="AJ368" s="14">
        <f t="shared" si="309"/>
        <v>0</v>
      </c>
      <c r="AK368" s="14">
        <f t="shared" si="310"/>
        <v>0</v>
      </c>
      <c r="AL368" s="14">
        <f t="shared" si="311"/>
        <v>0</v>
      </c>
      <c r="AN368" s="30">
        <v>21</v>
      </c>
      <c r="AO368" s="30">
        <f t="shared" si="322"/>
        <v>0</v>
      </c>
      <c r="AP368" s="30">
        <f t="shared" si="323"/>
        <v>0</v>
      </c>
      <c r="AQ368" s="25" t="s">
        <v>13</v>
      </c>
      <c r="AV368" s="30">
        <f t="shared" si="314"/>
        <v>0</v>
      </c>
      <c r="AW368" s="30">
        <f t="shared" si="315"/>
        <v>0</v>
      </c>
      <c r="AX368" s="30">
        <f t="shared" si="316"/>
        <v>0</v>
      </c>
      <c r="AY368" s="31" t="s">
        <v>1060</v>
      </c>
      <c r="AZ368" s="31" t="s">
        <v>1077</v>
      </c>
      <c r="BA368" s="24" t="s">
        <v>1081</v>
      </c>
      <c r="BC368" s="30">
        <f t="shared" si="317"/>
        <v>0</v>
      </c>
      <c r="BD368" s="30">
        <f t="shared" si="318"/>
        <v>0</v>
      </c>
      <c r="BE368" s="30">
        <v>0</v>
      </c>
      <c r="BF368" s="30">
        <f>368</f>
        <v>368</v>
      </c>
      <c r="BH368" s="14">
        <f t="shared" si="319"/>
        <v>0</v>
      </c>
      <c r="BI368" s="14">
        <f t="shared" si="320"/>
        <v>0</v>
      </c>
      <c r="BJ368" s="14">
        <f t="shared" si="321"/>
        <v>0</v>
      </c>
    </row>
    <row r="369" spans="1:62" ht="12.75">
      <c r="A369" s="4" t="s">
        <v>310</v>
      </c>
      <c r="B369" s="4" t="s">
        <v>631</v>
      </c>
      <c r="C369" s="153" t="s">
        <v>980</v>
      </c>
      <c r="D369" s="154"/>
      <c r="E369" s="154"/>
      <c r="F369" s="4" t="s">
        <v>991</v>
      </c>
      <c r="G369" s="64">
        <v>1</v>
      </c>
      <c r="H369" s="82">
        <v>0</v>
      </c>
      <c r="I369" s="14">
        <f t="shared" si="298"/>
        <v>0</v>
      </c>
      <c r="J369" s="14">
        <f t="shared" si="299"/>
        <v>0</v>
      </c>
      <c r="K369" s="14">
        <f t="shared" si="300"/>
        <v>0</v>
      </c>
      <c r="L369" s="25"/>
      <c r="Z369" s="30">
        <f t="shared" si="301"/>
        <v>0</v>
      </c>
      <c r="AB369" s="30">
        <f t="shared" si="302"/>
        <v>0</v>
      </c>
      <c r="AC369" s="30">
        <f t="shared" si="303"/>
        <v>0</v>
      </c>
      <c r="AD369" s="30">
        <f t="shared" si="304"/>
        <v>0</v>
      </c>
      <c r="AE369" s="30">
        <f t="shared" si="305"/>
        <v>0</v>
      </c>
      <c r="AF369" s="30">
        <f t="shared" si="306"/>
        <v>0</v>
      </c>
      <c r="AG369" s="30">
        <f t="shared" si="307"/>
        <v>0</v>
      </c>
      <c r="AH369" s="30">
        <f t="shared" si="308"/>
        <v>0</v>
      </c>
      <c r="AI369" s="24" t="s">
        <v>1025</v>
      </c>
      <c r="AJ369" s="14">
        <f t="shared" si="309"/>
        <v>0</v>
      </c>
      <c r="AK369" s="14">
        <f t="shared" si="310"/>
        <v>0</v>
      </c>
      <c r="AL369" s="14">
        <f t="shared" si="311"/>
        <v>0</v>
      </c>
      <c r="AN369" s="30">
        <v>21</v>
      </c>
      <c r="AO369" s="30">
        <f t="shared" si="322"/>
        <v>0</v>
      </c>
      <c r="AP369" s="30">
        <f t="shared" si="323"/>
        <v>0</v>
      </c>
      <c r="AQ369" s="25" t="s">
        <v>13</v>
      </c>
      <c r="AV369" s="30">
        <f t="shared" si="314"/>
        <v>0</v>
      </c>
      <c r="AW369" s="30">
        <f t="shared" si="315"/>
        <v>0</v>
      </c>
      <c r="AX369" s="30">
        <f t="shared" si="316"/>
        <v>0</v>
      </c>
      <c r="AY369" s="31" t="s">
        <v>1060</v>
      </c>
      <c r="AZ369" s="31" t="s">
        <v>1077</v>
      </c>
      <c r="BA369" s="24" t="s">
        <v>1081</v>
      </c>
      <c r="BC369" s="30">
        <f t="shared" si="317"/>
        <v>0</v>
      </c>
      <c r="BD369" s="30">
        <f t="shared" si="318"/>
        <v>0</v>
      </c>
      <c r="BE369" s="30">
        <v>0</v>
      </c>
      <c r="BF369" s="30">
        <f>369</f>
        <v>369</v>
      </c>
      <c r="BH369" s="14">
        <f t="shared" si="319"/>
        <v>0</v>
      </c>
      <c r="BI369" s="14">
        <f t="shared" si="320"/>
        <v>0</v>
      </c>
      <c r="BJ369" s="14">
        <f t="shared" si="321"/>
        <v>0</v>
      </c>
    </row>
    <row r="370" spans="1:62" ht="12.75">
      <c r="A370" s="4" t="s">
        <v>311</v>
      </c>
      <c r="B370" s="4" t="s">
        <v>632</v>
      </c>
      <c r="C370" s="153" t="s">
        <v>981</v>
      </c>
      <c r="D370" s="154"/>
      <c r="E370" s="154"/>
      <c r="F370" s="4" t="s">
        <v>991</v>
      </c>
      <c r="G370" s="64">
        <v>1</v>
      </c>
      <c r="H370" s="82">
        <v>0</v>
      </c>
      <c r="I370" s="14">
        <f t="shared" si="298"/>
        <v>0</v>
      </c>
      <c r="J370" s="14">
        <f t="shared" si="299"/>
        <v>0</v>
      </c>
      <c r="K370" s="14">
        <f t="shared" si="300"/>
        <v>0</v>
      </c>
      <c r="L370" s="25"/>
      <c r="Z370" s="30">
        <f t="shared" si="301"/>
        <v>0</v>
      </c>
      <c r="AB370" s="30">
        <f t="shared" si="302"/>
        <v>0</v>
      </c>
      <c r="AC370" s="30">
        <f t="shared" si="303"/>
        <v>0</v>
      </c>
      <c r="AD370" s="30">
        <f t="shared" si="304"/>
        <v>0</v>
      </c>
      <c r="AE370" s="30">
        <f t="shared" si="305"/>
        <v>0</v>
      </c>
      <c r="AF370" s="30">
        <f t="shared" si="306"/>
        <v>0</v>
      </c>
      <c r="AG370" s="30">
        <f t="shared" si="307"/>
        <v>0</v>
      </c>
      <c r="AH370" s="30">
        <f t="shared" si="308"/>
        <v>0</v>
      </c>
      <c r="AI370" s="24" t="s">
        <v>1025</v>
      </c>
      <c r="AJ370" s="14">
        <f t="shared" si="309"/>
        <v>0</v>
      </c>
      <c r="AK370" s="14">
        <f t="shared" si="310"/>
        <v>0</v>
      </c>
      <c r="AL370" s="14">
        <f t="shared" si="311"/>
        <v>0</v>
      </c>
      <c r="AN370" s="30">
        <v>21</v>
      </c>
      <c r="AO370" s="30">
        <f t="shared" si="322"/>
        <v>0</v>
      </c>
      <c r="AP370" s="30">
        <f t="shared" si="323"/>
        <v>0</v>
      </c>
      <c r="AQ370" s="25" t="s">
        <v>13</v>
      </c>
      <c r="AV370" s="30">
        <f t="shared" si="314"/>
        <v>0</v>
      </c>
      <c r="AW370" s="30">
        <f t="shared" si="315"/>
        <v>0</v>
      </c>
      <c r="AX370" s="30">
        <f t="shared" si="316"/>
        <v>0</v>
      </c>
      <c r="AY370" s="31" t="s">
        <v>1060</v>
      </c>
      <c r="AZ370" s="31" t="s">
        <v>1077</v>
      </c>
      <c r="BA370" s="24" t="s">
        <v>1081</v>
      </c>
      <c r="BC370" s="30">
        <f t="shared" si="317"/>
        <v>0</v>
      </c>
      <c r="BD370" s="30">
        <f t="shared" si="318"/>
        <v>0</v>
      </c>
      <c r="BE370" s="30">
        <v>0</v>
      </c>
      <c r="BF370" s="30">
        <f>370</f>
        <v>370</v>
      </c>
      <c r="BH370" s="14">
        <f t="shared" si="319"/>
        <v>0</v>
      </c>
      <c r="BI370" s="14">
        <f t="shared" si="320"/>
        <v>0</v>
      </c>
      <c r="BJ370" s="14">
        <f t="shared" si="321"/>
        <v>0</v>
      </c>
    </row>
    <row r="371" spans="1:62" ht="12.75">
      <c r="A371" s="4" t="s">
        <v>312</v>
      </c>
      <c r="B371" s="4" t="s">
        <v>633</v>
      </c>
      <c r="C371" s="153" t="s">
        <v>982</v>
      </c>
      <c r="D371" s="154"/>
      <c r="E371" s="154"/>
      <c r="F371" s="4" t="s">
        <v>991</v>
      </c>
      <c r="G371" s="64">
        <v>1</v>
      </c>
      <c r="H371" s="82">
        <v>0</v>
      </c>
      <c r="I371" s="14">
        <f t="shared" si="298"/>
        <v>0</v>
      </c>
      <c r="J371" s="14">
        <f t="shared" si="299"/>
        <v>0</v>
      </c>
      <c r="K371" s="14">
        <f t="shared" si="300"/>
        <v>0</v>
      </c>
      <c r="L371" s="25"/>
      <c r="Z371" s="30">
        <f t="shared" si="301"/>
        <v>0</v>
      </c>
      <c r="AB371" s="30">
        <f t="shared" si="302"/>
        <v>0</v>
      </c>
      <c r="AC371" s="30">
        <f t="shared" si="303"/>
        <v>0</v>
      </c>
      <c r="AD371" s="30">
        <f t="shared" si="304"/>
        <v>0</v>
      </c>
      <c r="AE371" s="30">
        <f t="shared" si="305"/>
        <v>0</v>
      </c>
      <c r="AF371" s="30">
        <f t="shared" si="306"/>
        <v>0</v>
      </c>
      <c r="AG371" s="30">
        <f t="shared" si="307"/>
        <v>0</v>
      </c>
      <c r="AH371" s="30">
        <f t="shared" si="308"/>
        <v>0</v>
      </c>
      <c r="AI371" s="24" t="s">
        <v>1025</v>
      </c>
      <c r="AJ371" s="14">
        <f t="shared" si="309"/>
        <v>0</v>
      </c>
      <c r="AK371" s="14">
        <f t="shared" si="310"/>
        <v>0</v>
      </c>
      <c r="AL371" s="14">
        <f t="shared" si="311"/>
        <v>0</v>
      </c>
      <c r="AN371" s="30">
        <v>21</v>
      </c>
      <c r="AO371" s="30">
        <f t="shared" si="322"/>
        <v>0</v>
      </c>
      <c r="AP371" s="30">
        <f t="shared" si="323"/>
        <v>0</v>
      </c>
      <c r="AQ371" s="25" t="s">
        <v>13</v>
      </c>
      <c r="AV371" s="30">
        <f t="shared" si="314"/>
        <v>0</v>
      </c>
      <c r="AW371" s="30">
        <f t="shared" si="315"/>
        <v>0</v>
      </c>
      <c r="AX371" s="30">
        <f t="shared" si="316"/>
        <v>0</v>
      </c>
      <c r="AY371" s="31" t="s">
        <v>1060</v>
      </c>
      <c r="AZ371" s="31" t="s">
        <v>1077</v>
      </c>
      <c r="BA371" s="24" t="s">
        <v>1081</v>
      </c>
      <c r="BC371" s="30">
        <f t="shared" si="317"/>
        <v>0</v>
      </c>
      <c r="BD371" s="30">
        <f t="shared" si="318"/>
        <v>0</v>
      </c>
      <c r="BE371" s="30">
        <v>0</v>
      </c>
      <c r="BF371" s="30">
        <f>371</f>
        <v>371</v>
      </c>
      <c r="BH371" s="14">
        <f t="shared" si="319"/>
        <v>0</v>
      </c>
      <c r="BI371" s="14">
        <f t="shared" si="320"/>
        <v>0</v>
      </c>
      <c r="BJ371" s="14">
        <f t="shared" si="321"/>
        <v>0</v>
      </c>
    </row>
    <row r="372" spans="1:62" ht="12.75">
      <c r="A372" s="4" t="s">
        <v>313</v>
      </c>
      <c r="B372" s="4" t="s">
        <v>634</v>
      </c>
      <c r="C372" s="153" t="s">
        <v>983</v>
      </c>
      <c r="D372" s="154"/>
      <c r="E372" s="154"/>
      <c r="F372" s="4" t="s">
        <v>991</v>
      </c>
      <c r="G372" s="64">
        <v>1</v>
      </c>
      <c r="H372" s="82">
        <v>0</v>
      </c>
      <c r="I372" s="14">
        <f t="shared" si="298"/>
        <v>0</v>
      </c>
      <c r="J372" s="14">
        <f t="shared" si="299"/>
        <v>0</v>
      </c>
      <c r="K372" s="14">
        <f t="shared" si="300"/>
        <v>0</v>
      </c>
      <c r="L372" s="25"/>
      <c r="Z372" s="30">
        <f t="shared" si="301"/>
        <v>0</v>
      </c>
      <c r="AB372" s="30">
        <f t="shared" si="302"/>
        <v>0</v>
      </c>
      <c r="AC372" s="30">
        <f t="shared" si="303"/>
        <v>0</v>
      </c>
      <c r="AD372" s="30">
        <f t="shared" si="304"/>
        <v>0</v>
      </c>
      <c r="AE372" s="30">
        <f t="shared" si="305"/>
        <v>0</v>
      </c>
      <c r="AF372" s="30">
        <f t="shared" si="306"/>
        <v>0</v>
      </c>
      <c r="AG372" s="30">
        <f t="shared" si="307"/>
        <v>0</v>
      </c>
      <c r="AH372" s="30">
        <f t="shared" si="308"/>
        <v>0</v>
      </c>
      <c r="AI372" s="24" t="s">
        <v>1025</v>
      </c>
      <c r="AJ372" s="14">
        <f t="shared" si="309"/>
        <v>0</v>
      </c>
      <c r="AK372" s="14">
        <f t="shared" si="310"/>
        <v>0</v>
      </c>
      <c r="AL372" s="14">
        <f t="shared" si="311"/>
        <v>0</v>
      </c>
      <c r="AN372" s="30">
        <v>21</v>
      </c>
      <c r="AO372" s="30">
        <f t="shared" si="322"/>
        <v>0</v>
      </c>
      <c r="AP372" s="30">
        <f t="shared" si="323"/>
        <v>0</v>
      </c>
      <c r="AQ372" s="25" t="s">
        <v>13</v>
      </c>
      <c r="AV372" s="30">
        <f t="shared" si="314"/>
        <v>0</v>
      </c>
      <c r="AW372" s="30">
        <f t="shared" si="315"/>
        <v>0</v>
      </c>
      <c r="AX372" s="30">
        <f t="shared" si="316"/>
        <v>0</v>
      </c>
      <c r="AY372" s="31" t="s">
        <v>1060</v>
      </c>
      <c r="AZ372" s="31" t="s">
        <v>1077</v>
      </c>
      <c r="BA372" s="24" t="s">
        <v>1081</v>
      </c>
      <c r="BC372" s="30">
        <f t="shared" si="317"/>
        <v>0</v>
      </c>
      <c r="BD372" s="30">
        <f t="shared" si="318"/>
        <v>0</v>
      </c>
      <c r="BE372" s="30">
        <v>0</v>
      </c>
      <c r="BF372" s="30">
        <f>372</f>
        <v>372</v>
      </c>
      <c r="BH372" s="14">
        <f t="shared" si="319"/>
        <v>0</v>
      </c>
      <c r="BI372" s="14">
        <f t="shared" si="320"/>
        <v>0</v>
      </c>
      <c r="BJ372" s="14">
        <f t="shared" si="321"/>
        <v>0</v>
      </c>
    </row>
    <row r="373" spans="1:62" ht="12.75">
      <c r="A373" s="4" t="s">
        <v>314</v>
      </c>
      <c r="B373" s="4" t="s">
        <v>635</v>
      </c>
      <c r="C373" s="153" t="s">
        <v>984</v>
      </c>
      <c r="D373" s="154"/>
      <c r="E373" s="154"/>
      <c r="F373" s="4" t="s">
        <v>991</v>
      </c>
      <c r="G373" s="64">
        <v>1</v>
      </c>
      <c r="H373" s="82">
        <v>0</v>
      </c>
      <c r="I373" s="14">
        <f t="shared" si="298"/>
        <v>0</v>
      </c>
      <c r="J373" s="14">
        <f t="shared" si="299"/>
        <v>0</v>
      </c>
      <c r="K373" s="14">
        <f t="shared" si="300"/>
        <v>0</v>
      </c>
      <c r="L373" s="25"/>
      <c r="Z373" s="30">
        <f t="shared" si="301"/>
        <v>0</v>
      </c>
      <c r="AB373" s="30">
        <f t="shared" si="302"/>
        <v>0</v>
      </c>
      <c r="AC373" s="30">
        <f t="shared" si="303"/>
        <v>0</v>
      </c>
      <c r="AD373" s="30">
        <f t="shared" si="304"/>
        <v>0</v>
      </c>
      <c r="AE373" s="30">
        <f t="shared" si="305"/>
        <v>0</v>
      </c>
      <c r="AF373" s="30">
        <f t="shared" si="306"/>
        <v>0</v>
      </c>
      <c r="AG373" s="30">
        <f t="shared" si="307"/>
        <v>0</v>
      </c>
      <c r="AH373" s="30">
        <f t="shared" si="308"/>
        <v>0</v>
      </c>
      <c r="AI373" s="24" t="s">
        <v>1025</v>
      </c>
      <c r="AJ373" s="14">
        <f t="shared" si="309"/>
        <v>0</v>
      </c>
      <c r="AK373" s="14">
        <f t="shared" si="310"/>
        <v>0</v>
      </c>
      <c r="AL373" s="14">
        <f t="shared" si="311"/>
        <v>0</v>
      </c>
      <c r="AN373" s="30">
        <v>21</v>
      </c>
      <c r="AO373" s="30">
        <f t="shared" si="322"/>
        <v>0</v>
      </c>
      <c r="AP373" s="30">
        <f t="shared" si="323"/>
        <v>0</v>
      </c>
      <c r="AQ373" s="25" t="s">
        <v>13</v>
      </c>
      <c r="AV373" s="30">
        <f t="shared" si="314"/>
        <v>0</v>
      </c>
      <c r="AW373" s="30">
        <f t="shared" si="315"/>
        <v>0</v>
      </c>
      <c r="AX373" s="30">
        <f t="shared" si="316"/>
        <v>0</v>
      </c>
      <c r="AY373" s="31" t="s">
        <v>1060</v>
      </c>
      <c r="AZ373" s="31" t="s">
        <v>1077</v>
      </c>
      <c r="BA373" s="24" t="s">
        <v>1081</v>
      </c>
      <c r="BC373" s="30">
        <f t="shared" si="317"/>
        <v>0</v>
      </c>
      <c r="BD373" s="30">
        <f t="shared" si="318"/>
        <v>0</v>
      </c>
      <c r="BE373" s="30">
        <v>0</v>
      </c>
      <c r="BF373" s="30">
        <f>373</f>
        <v>373</v>
      </c>
      <c r="BH373" s="14">
        <f t="shared" si="319"/>
        <v>0</v>
      </c>
      <c r="BI373" s="14">
        <f t="shared" si="320"/>
        <v>0</v>
      </c>
      <c r="BJ373" s="14">
        <f t="shared" si="321"/>
        <v>0</v>
      </c>
    </row>
    <row r="374" spans="1:47" ht="12.75">
      <c r="A374" s="3"/>
      <c r="B374" s="11" t="s">
        <v>523</v>
      </c>
      <c r="C374" s="151" t="s">
        <v>864</v>
      </c>
      <c r="D374" s="152"/>
      <c r="E374" s="152"/>
      <c r="F374" s="3" t="s">
        <v>6</v>
      </c>
      <c r="G374" s="3" t="s">
        <v>6</v>
      </c>
      <c r="H374" s="3" t="s">
        <v>6</v>
      </c>
      <c r="I374" s="32">
        <f>SUM(I375:I375)</f>
        <v>0</v>
      </c>
      <c r="J374" s="32">
        <f>SUM(J375:J375)</f>
        <v>0</v>
      </c>
      <c r="K374" s="32">
        <f>SUM(K375:K375)</f>
        <v>0</v>
      </c>
      <c r="L374" s="24"/>
      <c r="AI374" s="24" t="s">
        <v>1025</v>
      </c>
      <c r="AS374" s="32">
        <f>SUM(AJ375:AJ375)</f>
        <v>0</v>
      </c>
      <c r="AT374" s="32">
        <f>SUM(AK375:AK375)</f>
        <v>0</v>
      </c>
      <c r="AU374" s="32">
        <f>SUM(AL375:AL375)</f>
        <v>0</v>
      </c>
    </row>
    <row r="375" spans="1:62" ht="12.75">
      <c r="A375" s="4" t="s">
        <v>315</v>
      </c>
      <c r="B375" s="4" t="s">
        <v>636</v>
      </c>
      <c r="C375" s="153" t="s">
        <v>985</v>
      </c>
      <c r="D375" s="154"/>
      <c r="E375" s="154"/>
      <c r="F375" s="4" t="s">
        <v>998</v>
      </c>
      <c r="G375" s="64">
        <v>4800</v>
      </c>
      <c r="H375" s="82">
        <v>0</v>
      </c>
      <c r="I375" s="14">
        <f>G375*AO375</f>
        <v>0</v>
      </c>
      <c r="J375" s="14">
        <f>G375*AP375</f>
        <v>0</v>
      </c>
      <c r="K375" s="14">
        <f>G375*H375</f>
        <v>0</v>
      </c>
      <c r="L375" s="25" t="s">
        <v>1014</v>
      </c>
      <c r="Z375" s="30">
        <f>IF(AQ375="5",BJ375,0)</f>
        <v>0</v>
      </c>
      <c r="AB375" s="30">
        <f>IF(AQ375="1",BH375,0)</f>
        <v>0</v>
      </c>
      <c r="AC375" s="30">
        <f>IF(AQ375="1",BI375,0)</f>
        <v>0</v>
      </c>
      <c r="AD375" s="30">
        <f>IF(AQ375="7",BH375,0)</f>
        <v>0</v>
      </c>
      <c r="AE375" s="30">
        <f>IF(AQ375="7",BI375,0)</f>
        <v>0</v>
      </c>
      <c r="AF375" s="30">
        <f>IF(AQ375="2",BH375,0)</f>
        <v>0</v>
      </c>
      <c r="AG375" s="30">
        <f>IF(AQ375="2",BI375,0)</f>
        <v>0</v>
      </c>
      <c r="AH375" s="30">
        <f>IF(AQ375="0",BJ375,0)</f>
        <v>0</v>
      </c>
      <c r="AI375" s="24" t="s">
        <v>1025</v>
      </c>
      <c r="AJ375" s="14">
        <f>IF(AN375=0,K375,0)</f>
        <v>0</v>
      </c>
      <c r="AK375" s="14">
        <f>IF(AN375=15,K375,0)</f>
        <v>0</v>
      </c>
      <c r="AL375" s="14">
        <f>IF(AN375=21,K375,0)</f>
        <v>0</v>
      </c>
      <c r="AN375" s="30">
        <v>21</v>
      </c>
      <c r="AO375" s="30">
        <f>H375*0.141446540880503</f>
        <v>0</v>
      </c>
      <c r="AP375" s="30">
        <f>H375*(1-0.141446540880503)</f>
        <v>0</v>
      </c>
      <c r="AQ375" s="25" t="s">
        <v>13</v>
      </c>
      <c r="AV375" s="30">
        <f>AW375+AX375</f>
        <v>0</v>
      </c>
      <c r="AW375" s="30">
        <f>G375*AO375</f>
        <v>0</v>
      </c>
      <c r="AX375" s="30">
        <f>G375*AP375</f>
        <v>0</v>
      </c>
      <c r="AY375" s="31" t="s">
        <v>1053</v>
      </c>
      <c r="AZ375" s="31" t="s">
        <v>1078</v>
      </c>
      <c r="BA375" s="24" t="s">
        <v>1081</v>
      </c>
      <c r="BC375" s="30">
        <f>AW375+AX375</f>
        <v>0</v>
      </c>
      <c r="BD375" s="30">
        <f>H375/(100-BE375)*100</f>
        <v>0</v>
      </c>
      <c r="BE375" s="30">
        <v>0</v>
      </c>
      <c r="BF375" s="30">
        <f>375</f>
        <v>375</v>
      </c>
      <c r="BH375" s="14">
        <f>G375*AO375</f>
        <v>0</v>
      </c>
      <c r="BI375" s="14">
        <f>G375*AP375</f>
        <v>0</v>
      </c>
      <c r="BJ375" s="14">
        <f>G375*H375</f>
        <v>0</v>
      </c>
    </row>
    <row r="376" spans="1:47" ht="12.75">
      <c r="A376" s="3"/>
      <c r="B376" s="11" t="s">
        <v>581</v>
      </c>
      <c r="C376" s="151" t="s">
        <v>922</v>
      </c>
      <c r="D376" s="152"/>
      <c r="E376" s="152"/>
      <c r="F376" s="3" t="s">
        <v>6</v>
      </c>
      <c r="G376" s="3" t="s">
        <v>6</v>
      </c>
      <c r="H376" s="3" t="s">
        <v>6</v>
      </c>
      <c r="I376" s="32">
        <f>SUM(I377:I382)</f>
        <v>0</v>
      </c>
      <c r="J376" s="32">
        <f>SUM(J377:J382)</f>
        <v>0</v>
      </c>
      <c r="K376" s="32">
        <f>SUM(K377:K382)</f>
        <v>0</v>
      </c>
      <c r="L376" s="24"/>
      <c r="AI376" s="24" t="s">
        <v>1025</v>
      </c>
      <c r="AS376" s="32">
        <f>SUM(AJ377:AJ382)</f>
        <v>0</v>
      </c>
      <c r="AT376" s="32">
        <f>SUM(AK377:AK382)</f>
        <v>0</v>
      </c>
      <c r="AU376" s="32">
        <f>SUM(AL377:AL382)</f>
        <v>0</v>
      </c>
    </row>
    <row r="377" spans="1:62" ht="12.75">
      <c r="A377" s="4" t="s">
        <v>316</v>
      </c>
      <c r="B377" s="4" t="s">
        <v>582</v>
      </c>
      <c r="C377" s="153" t="s">
        <v>923</v>
      </c>
      <c r="D377" s="154"/>
      <c r="E377" s="154"/>
      <c r="F377" s="4" t="s">
        <v>991</v>
      </c>
      <c r="G377" s="64">
        <v>1</v>
      </c>
      <c r="H377" s="82">
        <v>0</v>
      </c>
      <c r="I377" s="14">
        <f aca="true" t="shared" si="324" ref="I377:I382">G377*AO377</f>
        <v>0</v>
      </c>
      <c r="J377" s="14">
        <f aca="true" t="shared" si="325" ref="J377:J382">G377*AP377</f>
        <v>0</v>
      </c>
      <c r="K377" s="14">
        <f aca="true" t="shared" si="326" ref="K377:K382">G377*H377</f>
        <v>0</v>
      </c>
      <c r="L377" s="25" t="s">
        <v>1014</v>
      </c>
      <c r="Z377" s="30">
        <f aca="true" t="shared" si="327" ref="Z377:Z382">IF(AQ377="5",BJ377,0)</f>
        <v>0</v>
      </c>
      <c r="AB377" s="30">
        <f aca="true" t="shared" si="328" ref="AB377:AB382">IF(AQ377="1",BH377,0)</f>
        <v>0</v>
      </c>
      <c r="AC377" s="30">
        <f aca="true" t="shared" si="329" ref="AC377:AC382">IF(AQ377="1",BI377,0)</f>
        <v>0</v>
      </c>
      <c r="AD377" s="30">
        <f aca="true" t="shared" si="330" ref="AD377:AD382">IF(AQ377="7",BH377,0)</f>
        <v>0</v>
      </c>
      <c r="AE377" s="30">
        <f aca="true" t="shared" si="331" ref="AE377:AE382">IF(AQ377="7",BI377,0)</f>
        <v>0</v>
      </c>
      <c r="AF377" s="30">
        <f aca="true" t="shared" si="332" ref="AF377:AF382">IF(AQ377="2",BH377,0)</f>
        <v>0</v>
      </c>
      <c r="AG377" s="30">
        <f aca="true" t="shared" si="333" ref="AG377:AG382">IF(AQ377="2",BI377,0)</f>
        <v>0</v>
      </c>
      <c r="AH377" s="30">
        <f aca="true" t="shared" si="334" ref="AH377:AH382">IF(AQ377="0",BJ377,0)</f>
        <v>0</v>
      </c>
      <c r="AI377" s="24" t="s">
        <v>1025</v>
      </c>
      <c r="AJ377" s="14">
        <f aca="true" t="shared" si="335" ref="AJ377:AJ382">IF(AN377=0,K377,0)</f>
        <v>0</v>
      </c>
      <c r="AK377" s="14">
        <f aca="true" t="shared" si="336" ref="AK377:AK382">IF(AN377=15,K377,0)</f>
        <v>0</v>
      </c>
      <c r="AL377" s="14">
        <f aca="true" t="shared" si="337" ref="AL377:AL382">IF(AN377=21,K377,0)</f>
        <v>0</v>
      </c>
      <c r="AN377" s="30">
        <v>21</v>
      </c>
      <c r="AO377" s="30">
        <f aca="true" t="shared" si="338" ref="AO377:AO382">H377*0</f>
        <v>0</v>
      </c>
      <c r="AP377" s="30">
        <f aca="true" t="shared" si="339" ref="AP377:AP382">H377*(1-0)</f>
        <v>0</v>
      </c>
      <c r="AQ377" s="25" t="s">
        <v>7</v>
      </c>
      <c r="AV377" s="30">
        <f aca="true" t="shared" si="340" ref="AV377:AV382">AW377+AX377</f>
        <v>0</v>
      </c>
      <c r="AW377" s="30">
        <f aca="true" t="shared" si="341" ref="AW377:AW382">G377*AO377</f>
        <v>0</v>
      </c>
      <c r="AX377" s="30">
        <f aca="true" t="shared" si="342" ref="AX377:AX382">G377*AP377</f>
        <v>0</v>
      </c>
      <c r="AY377" s="31" t="s">
        <v>1057</v>
      </c>
      <c r="AZ377" s="31" t="s">
        <v>1079</v>
      </c>
      <c r="BA377" s="24" t="s">
        <v>1081</v>
      </c>
      <c r="BC377" s="30">
        <f aca="true" t="shared" si="343" ref="BC377:BC382">AW377+AX377</f>
        <v>0</v>
      </c>
      <c r="BD377" s="30">
        <f aca="true" t="shared" si="344" ref="BD377:BD382">H377/(100-BE377)*100</f>
        <v>0</v>
      </c>
      <c r="BE377" s="30">
        <v>0</v>
      </c>
      <c r="BF377" s="30">
        <f>377</f>
        <v>377</v>
      </c>
      <c r="BH377" s="14">
        <f aca="true" t="shared" si="345" ref="BH377:BH382">G377*AO377</f>
        <v>0</v>
      </c>
      <c r="BI377" s="14">
        <f aca="true" t="shared" si="346" ref="BI377:BI382">G377*AP377</f>
        <v>0</v>
      </c>
      <c r="BJ377" s="14">
        <f aca="true" t="shared" si="347" ref="BJ377:BJ382">G377*H377</f>
        <v>0</v>
      </c>
    </row>
    <row r="378" spans="1:62" ht="12.75">
      <c r="A378" s="4" t="s">
        <v>317</v>
      </c>
      <c r="B378" s="4" t="s">
        <v>583</v>
      </c>
      <c r="C378" s="153" t="s">
        <v>924</v>
      </c>
      <c r="D378" s="154"/>
      <c r="E378" s="154"/>
      <c r="F378" s="4" t="s">
        <v>991</v>
      </c>
      <c r="G378" s="64">
        <v>1</v>
      </c>
      <c r="H378" s="82">
        <v>0</v>
      </c>
      <c r="I378" s="14">
        <f t="shared" si="324"/>
        <v>0</v>
      </c>
      <c r="J378" s="14">
        <f t="shared" si="325"/>
        <v>0</v>
      </c>
      <c r="K378" s="14">
        <f t="shared" si="326"/>
        <v>0</v>
      </c>
      <c r="L378" s="25" t="s">
        <v>1014</v>
      </c>
      <c r="Z378" s="30">
        <f t="shared" si="327"/>
        <v>0</v>
      </c>
      <c r="AB378" s="30">
        <f t="shared" si="328"/>
        <v>0</v>
      </c>
      <c r="AC378" s="30">
        <f t="shared" si="329"/>
        <v>0</v>
      </c>
      <c r="AD378" s="30">
        <f t="shared" si="330"/>
        <v>0</v>
      </c>
      <c r="AE378" s="30">
        <f t="shared" si="331"/>
        <v>0</v>
      </c>
      <c r="AF378" s="30">
        <f t="shared" si="332"/>
        <v>0</v>
      </c>
      <c r="AG378" s="30">
        <f t="shared" si="333"/>
        <v>0</v>
      </c>
      <c r="AH378" s="30">
        <f t="shared" si="334"/>
        <v>0</v>
      </c>
      <c r="AI378" s="24" t="s">
        <v>1025</v>
      </c>
      <c r="AJ378" s="14">
        <f t="shared" si="335"/>
        <v>0</v>
      </c>
      <c r="AK378" s="14">
        <f t="shared" si="336"/>
        <v>0</v>
      </c>
      <c r="AL378" s="14">
        <f t="shared" si="337"/>
        <v>0</v>
      </c>
      <c r="AN378" s="30">
        <v>21</v>
      </c>
      <c r="AO378" s="30">
        <f t="shared" si="338"/>
        <v>0</v>
      </c>
      <c r="AP378" s="30">
        <f t="shared" si="339"/>
        <v>0</v>
      </c>
      <c r="AQ378" s="25" t="s">
        <v>7</v>
      </c>
      <c r="AV378" s="30">
        <f t="shared" si="340"/>
        <v>0</v>
      </c>
      <c r="AW378" s="30">
        <f t="shared" si="341"/>
        <v>0</v>
      </c>
      <c r="AX378" s="30">
        <f t="shared" si="342"/>
        <v>0</v>
      </c>
      <c r="AY378" s="31" t="s">
        <v>1057</v>
      </c>
      <c r="AZ378" s="31" t="s">
        <v>1079</v>
      </c>
      <c r="BA378" s="24" t="s">
        <v>1081</v>
      </c>
      <c r="BC378" s="30">
        <f t="shared" si="343"/>
        <v>0</v>
      </c>
      <c r="BD378" s="30">
        <f t="shared" si="344"/>
        <v>0</v>
      </c>
      <c r="BE378" s="30">
        <v>0</v>
      </c>
      <c r="BF378" s="30">
        <f>378</f>
        <v>378</v>
      </c>
      <c r="BH378" s="14">
        <f t="shared" si="345"/>
        <v>0</v>
      </c>
      <c r="BI378" s="14">
        <f t="shared" si="346"/>
        <v>0</v>
      </c>
      <c r="BJ378" s="14">
        <f t="shared" si="347"/>
        <v>0</v>
      </c>
    </row>
    <row r="379" spans="1:62" ht="12.75">
      <c r="A379" s="4" t="s">
        <v>318</v>
      </c>
      <c r="B379" s="4" t="s">
        <v>584</v>
      </c>
      <c r="C379" s="153" t="s">
        <v>925</v>
      </c>
      <c r="D379" s="154"/>
      <c r="E379" s="154"/>
      <c r="F379" s="4" t="s">
        <v>991</v>
      </c>
      <c r="G379" s="64">
        <v>1</v>
      </c>
      <c r="H379" s="82">
        <v>0</v>
      </c>
      <c r="I379" s="14">
        <f t="shared" si="324"/>
        <v>0</v>
      </c>
      <c r="J379" s="14">
        <f t="shared" si="325"/>
        <v>0</v>
      </c>
      <c r="K379" s="14">
        <f t="shared" si="326"/>
        <v>0</v>
      </c>
      <c r="L379" s="25" t="s">
        <v>1014</v>
      </c>
      <c r="Z379" s="30">
        <f t="shared" si="327"/>
        <v>0</v>
      </c>
      <c r="AB379" s="30">
        <f t="shared" si="328"/>
        <v>0</v>
      </c>
      <c r="AC379" s="30">
        <f t="shared" si="329"/>
        <v>0</v>
      </c>
      <c r="AD379" s="30">
        <f t="shared" si="330"/>
        <v>0</v>
      </c>
      <c r="AE379" s="30">
        <f t="shared" si="331"/>
        <v>0</v>
      </c>
      <c r="AF379" s="30">
        <f t="shared" si="332"/>
        <v>0</v>
      </c>
      <c r="AG379" s="30">
        <f t="shared" si="333"/>
        <v>0</v>
      </c>
      <c r="AH379" s="30">
        <f t="shared" si="334"/>
        <v>0</v>
      </c>
      <c r="AI379" s="24" t="s">
        <v>1025</v>
      </c>
      <c r="AJ379" s="14">
        <f t="shared" si="335"/>
        <v>0</v>
      </c>
      <c r="AK379" s="14">
        <f t="shared" si="336"/>
        <v>0</v>
      </c>
      <c r="AL379" s="14">
        <f t="shared" si="337"/>
        <v>0</v>
      </c>
      <c r="AN379" s="30">
        <v>21</v>
      </c>
      <c r="AO379" s="30">
        <f t="shared" si="338"/>
        <v>0</v>
      </c>
      <c r="AP379" s="30">
        <f t="shared" si="339"/>
        <v>0</v>
      </c>
      <c r="AQ379" s="25" t="s">
        <v>7</v>
      </c>
      <c r="AV379" s="30">
        <f t="shared" si="340"/>
        <v>0</v>
      </c>
      <c r="AW379" s="30">
        <f t="shared" si="341"/>
        <v>0</v>
      </c>
      <c r="AX379" s="30">
        <f t="shared" si="342"/>
        <v>0</v>
      </c>
      <c r="AY379" s="31" t="s">
        <v>1057</v>
      </c>
      <c r="AZ379" s="31" t="s">
        <v>1079</v>
      </c>
      <c r="BA379" s="24" t="s">
        <v>1081</v>
      </c>
      <c r="BC379" s="30">
        <f t="shared" si="343"/>
        <v>0</v>
      </c>
      <c r="BD379" s="30">
        <f t="shared" si="344"/>
        <v>0</v>
      </c>
      <c r="BE379" s="30">
        <v>0</v>
      </c>
      <c r="BF379" s="30">
        <f>379</f>
        <v>379</v>
      </c>
      <c r="BH379" s="14">
        <f t="shared" si="345"/>
        <v>0</v>
      </c>
      <c r="BI379" s="14">
        <f t="shared" si="346"/>
        <v>0</v>
      </c>
      <c r="BJ379" s="14">
        <f t="shared" si="347"/>
        <v>0</v>
      </c>
    </row>
    <row r="380" spans="1:62" ht="12.75">
      <c r="A380" s="4" t="s">
        <v>319</v>
      </c>
      <c r="B380" s="4" t="s">
        <v>585</v>
      </c>
      <c r="C380" s="153" t="s">
        <v>926</v>
      </c>
      <c r="D380" s="154"/>
      <c r="E380" s="154"/>
      <c r="F380" s="4" t="s">
        <v>991</v>
      </c>
      <c r="G380" s="64">
        <v>1</v>
      </c>
      <c r="H380" s="82">
        <v>0</v>
      </c>
      <c r="I380" s="14">
        <f t="shared" si="324"/>
        <v>0</v>
      </c>
      <c r="J380" s="14">
        <f t="shared" si="325"/>
        <v>0</v>
      </c>
      <c r="K380" s="14">
        <f t="shared" si="326"/>
        <v>0</v>
      </c>
      <c r="L380" s="25" t="s">
        <v>1014</v>
      </c>
      <c r="Z380" s="30">
        <f t="shared" si="327"/>
        <v>0</v>
      </c>
      <c r="AB380" s="30">
        <f t="shared" si="328"/>
        <v>0</v>
      </c>
      <c r="AC380" s="30">
        <f t="shared" si="329"/>
        <v>0</v>
      </c>
      <c r="AD380" s="30">
        <f t="shared" si="330"/>
        <v>0</v>
      </c>
      <c r="AE380" s="30">
        <f t="shared" si="331"/>
        <v>0</v>
      </c>
      <c r="AF380" s="30">
        <f t="shared" si="332"/>
        <v>0</v>
      </c>
      <c r="AG380" s="30">
        <f t="shared" si="333"/>
        <v>0</v>
      </c>
      <c r="AH380" s="30">
        <f t="shared" si="334"/>
        <v>0</v>
      </c>
      <c r="AI380" s="24" t="s">
        <v>1025</v>
      </c>
      <c r="AJ380" s="14">
        <f t="shared" si="335"/>
        <v>0</v>
      </c>
      <c r="AK380" s="14">
        <f t="shared" si="336"/>
        <v>0</v>
      </c>
      <c r="AL380" s="14">
        <f t="shared" si="337"/>
        <v>0</v>
      </c>
      <c r="AN380" s="30">
        <v>21</v>
      </c>
      <c r="AO380" s="30">
        <f t="shared" si="338"/>
        <v>0</v>
      </c>
      <c r="AP380" s="30">
        <f t="shared" si="339"/>
        <v>0</v>
      </c>
      <c r="AQ380" s="25" t="s">
        <v>7</v>
      </c>
      <c r="AV380" s="30">
        <f t="shared" si="340"/>
        <v>0</v>
      </c>
      <c r="AW380" s="30">
        <f t="shared" si="341"/>
        <v>0</v>
      </c>
      <c r="AX380" s="30">
        <f t="shared" si="342"/>
        <v>0</v>
      </c>
      <c r="AY380" s="31" t="s">
        <v>1057</v>
      </c>
      <c r="AZ380" s="31" t="s">
        <v>1079</v>
      </c>
      <c r="BA380" s="24" t="s">
        <v>1081</v>
      </c>
      <c r="BC380" s="30">
        <f t="shared" si="343"/>
        <v>0</v>
      </c>
      <c r="BD380" s="30">
        <f t="shared" si="344"/>
        <v>0</v>
      </c>
      <c r="BE380" s="30">
        <v>0</v>
      </c>
      <c r="BF380" s="30">
        <f>380</f>
        <v>380</v>
      </c>
      <c r="BH380" s="14">
        <f t="shared" si="345"/>
        <v>0</v>
      </c>
      <c r="BI380" s="14">
        <f t="shared" si="346"/>
        <v>0</v>
      </c>
      <c r="BJ380" s="14">
        <f t="shared" si="347"/>
        <v>0</v>
      </c>
    </row>
    <row r="381" spans="1:62" ht="12.75">
      <c r="A381" s="4" t="s">
        <v>320</v>
      </c>
      <c r="B381" s="4" t="s">
        <v>586</v>
      </c>
      <c r="C381" s="153" t="s">
        <v>927</v>
      </c>
      <c r="D381" s="154"/>
      <c r="E381" s="154"/>
      <c r="F381" s="4" t="s">
        <v>991</v>
      </c>
      <c r="G381" s="64">
        <v>1</v>
      </c>
      <c r="H381" s="82">
        <v>0</v>
      </c>
      <c r="I381" s="14">
        <f t="shared" si="324"/>
        <v>0</v>
      </c>
      <c r="J381" s="14">
        <f t="shared" si="325"/>
        <v>0</v>
      </c>
      <c r="K381" s="14">
        <f t="shared" si="326"/>
        <v>0</v>
      </c>
      <c r="L381" s="25" t="s">
        <v>1014</v>
      </c>
      <c r="Z381" s="30">
        <f t="shared" si="327"/>
        <v>0</v>
      </c>
      <c r="AB381" s="30">
        <f t="shared" si="328"/>
        <v>0</v>
      </c>
      <c r="AC381" s="30">
        <f t="shared" si="329"/>
        <v>0</v>
      </c>
      <c r="AD381" s="30">
        <f t="shared" si="330"/>
        <v>0</v>
      </c>
      <c r="AE381" s="30">
        <f t="shared" si="331"/>
        <v>0</v>
      </c>
      <c r="AF381" s="30">
        <f t="shared" si="332"/>
        <v>0</v>
      </c>
      <c r="AG381" s="30">
        <f t="shared" si="333"/>
        <v>0</v>
      </c>
      <c r="AH381" s="30">
        <f t="shared" si="334"/>
        <v>0</v>
      </c>
      <c r="AI381" s="24" t="s">
        <v>1025</v>
      </c>
      <c r="AJ381" s="14">
        <f t="shared" si="335"/>
        <v>0</v>
      </c>
      <c r="AK381" s="14">
        <f t="shared" si="336"/>
        <v>0</v>
      </c>
      <c r="AL381" s="14">
        <f t="shared" si="337"/>
        <v>0</v>
      </c>
      <c r="AN381" s="30">
        <v>21</v>
      </c>
      <c r="AO381" s="30">
        <f t="shared" si="338"/>
        <v>0</v>
      </c>
      <c r="AP381" s="30">
        <f t="shared" si="339"/>
        <v>0</v>
      </c>
      <c r="AQ381" s="25" t="s">
        <v>7</v>
      </c>
      <c r="AV381" s="30">
        <f t="shared" si="340"/>
        <v>0</v>
      </c>
      <c r="AW381" s="30">
        <f t="shared" si="341"/>
        <v>0</v>
      </c>
      <c r="AX381" s="30">
        <f t="shared" si="342"/>
        <v>0</v>
      </c>
      <c r="AY381" s="31" t="s">
        <v>1057</v>
      </c>
      <c r="AZ381" s="31" t="s">
        <v>1079</v>
      </c>
      <c r="BA381" s="24" t="s">
        <v>1081</v>
      </c>
      <c r="BC381" s="30">
        <f t="shared" si="343"/>
        <v>0</v>
      </c>
      <c r="BD381" s="30">
        <f t="shared" si="344"/>
        <v>0</v>
      </c>
      <c r="BE381" s="30">
        <v>0</v>
      </c>
      <c r="BF381" s="30">
        <f>381</f>
        <v>381</v>
      </c>
      <c r="BH381" s="14">
        <f t="shared" si="345"/>
        <v>0</v>
      </c>
      <c r="BI381" s="14">
        <f t="shared" si="346"/>
        <v>0</v>
      </c>
      <c r="BJ381" s="14">
        <f t="shared" si="347"/>
        <v>0</v>
      </c>
    </row>
    <row r="382" spans="1:62" ht="12.75">
      <c r="A382" s="6" t="s">
        <v>321</v>
      </c>
      <c r="B382" s="6" t="s">
        <v>587</v>
      </c>
      <c r="C382" s="161" t="s">
        <v>928</v>
      </c>
      <c r="D382" s="162"/>
      <c r="E382" s="162"/>
      <c r="F382" s="6" t="s">
        <v>991</v>
      </c>
      <c r="G382" s="69">
        <v>1</v>
      </c>
      <c r="H382" s="86">
        <v>0</v>
      </c>
      <c r="I382" s="16">
        <f t="shared" si="324"/>
        <v>0</v>
      </c>
      <c r="J382" s="16">
        <f t="shared" si="325"/>
        <v>0</v>
      </c>
      <c r="K382" s="16">
        <f t="shared" si="326"/>
        <v>0</v>
      </c>
      <c r="L382" s="27" t="s">
        <v>1014</v>
      </c>
      <c r="Z382" s="30">
        <f t="shared" si="327"/>
        <v>0</v>
      </c>
      <c r="AB382" s="30">
        <f t="shared" si="328"/>
        <v>0</v>
      </c>
      <c r="AC382" s="30">
        <f t="shared" si="329"/>
        <v>0</v>
      </c>
      <c r="AD382" s="30">
        <f t="shared" si="330"/>
        <v>0</v>
      </c>
      <c r="AE382" s="30">
        <f t="shared" si="331"/>
        <v>0</v>
      </c>
      <c r="AF382" s="30">
        <f t="shared" si="332"/>
        <v>0</v>
      </c>
      <c r="AG382" s="30">
        <f t="shared" si="333"/>
        <v>0</v>
      </c>
      <c r="AH382" s="30">
        <f t="shared" si="334"/>
        <v>0</v>
      </c>
      <c r="AI382" s="24" t="s">
        <v>1025</v>
      </c>
      <c r="AJ382" s="14">
        <f t="shared" si="335"/>
        <v>0</v>
      </c>
      <c r="AK382" s="14">
        <f t="shared" si="336"/>
        <v>0</v>
      </c>
      <c r="AL382" s="14">
        <f t="shared" si="337"/>
        <v>0</v>
      </c>
      <c r="AN382" s="30">
        <v>21</v>
      </c>
      <c r="AO382" s="30">
        <f t="shared" si="338"/>
        <v>0</v>
      </c>
      <c r="AP382" s="30">
        <f t="shared" si="339"/>
        <v>0</v>
      </c>
      <c r="AQ382" s="25" t="s">
        <v>7</v>
      </c>
      <c r="AV382" s="30">
        <f t="shared" si="340"/>
        <v>0</v>
      </c>
      <c r="AW382" s="30">
        <f t="shared" si="341"/>
        <v>0</v>
      </c>
      <c r="AX382" s="30">
        <f t="shared" si="342"/>
        <v>0</v>
      </c>
      <c r="AY382" s="31" t="s">
        <v>1057</v>
      </c>
      <c r="AZ382" s="31" t="s">
        <v>1079</v>
      </c>
      <c r="BA382" s="24" t="s">
        <v>1081</v>
      </c>
      <c r="BC382" s="30">
        <f t="shared" si="343"/>
        <v>0</v>
      </c>
      <c r="BD382" s="30">
        <f t="shared" si="344"/>
        <v>0</v>
      </c>
      <c r="BE382" s="30">
        <v>0</v>
      </c>
      <c r="BF382" s="30">
        <f>382</f>
        <v>382</v>
      </c>
      <c r="BH382" s="14">
        <f t="shared" si="345"/>
        <v>0</v>
      </c>
      <c r="BI382" s="14">
        <f t="shared" si="346"/>
        <v>0</v>
      </c>
      <c r="BJ382" s="14">
        <f t="shared" si="347"/>
        <v>0</v>
      </c>
    </row>
    <row r="383" spans="1:12" ht="12.75">
      <c r="A383" s="7"/>
      <c r="B383" s="7"/>
      <c r="C383" s="7"/>
      <c r="D383" s="7"/>
      <c r="E383" s="7"/>
      <c r="F383" s="7"/>
      <c r="G383" s="7"/>
      <c r="H383" s="7"/>
      <c r="I383" s="163" t="s">
        <v>1009</v>
      </c>
      <c r="J383" s="94"/>
      <c r="K383" s="33">
        <f>K13+K16+K20+K23+K29+K34+K38+K41+K43+K48+K52+K54+K57+K63+K85+K91+K100+K112+K133+K139+K157+K159+K171+K179+K185+K195+K219+K240+K261+K269+K272+K299+K307+K309+K314+K316+K320+K324+K326+K328+K330+K332+K374+K376</f>
        <v>0</v>
      </c>
      <c r="L383" s="7"/>
    </row>
    <row r="384" ht="11.25" customHeight="1">
      <c r="A384" s="8" t="s">
        <v>322</v>
      </c>
    </row>
    <row r="385" spans="1:12" ht="12.75">
      <c r="A385" s="101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</sheetData>
  <sheetProtection password="DBEE" sheet="1" objects="1" scenarios="1"/>
  <mergeCells count="401">
    <mergeCell ref="C381:E381"/>
    <mergeCell ref="C382:E382"/>
    <mergeCell ref="I383:J383"/>
    <mergeCell ref="A385:L385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1:L1"/>
    <mergeCell ref="A2:B3"/>
    <mergeCell ref="C2:C3"/>
    <mergeCell ref="D2:E3"/>
    <mergeCell ref="F2:G3"/>
    <mergeCell ref="H2:H3"/>
    <mergeCell ref="I2:L3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</mergeCells>
  <printOptions/>
  <pageMargins left="0.394" right="0.394" top="0.591" bottom="0.591" header="0.5" footer="0.5"/>
  <pageSetup fitToHeight="0" fitToWidth="1" horizontalDpi="600" verticalDpi="600" orientation="portrait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1"/>
  <sheetViews>
    <sheetView workbookViewId="0" topLeftCell="A1">
      <pane ySplit="10" topLeftCell="A511" activePane="bottomLeft" state="frozen"/>
      <selection pane="bottomLeft" activeCell="D522" sqref="D522:E522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131.00390625" style="0" customWidth="1"/>
    <col min="5" max="5" width="14.57421875" style="0" customWidth="1"/>
    <col min="6" max="6" width="9.8515625" style="0" customWidth="1"/>
    <col min="7" max="7" width="15.7109375" style="0" customWidth="1"/>
    <col min="8" max="8" width="18.140625" style="0" hidden="1" customWidth="1"/>
  </cols>
  <sheetData>
    <row r="1" spans="1:8" ht="72.95" customHeight="1">
      <c r="A1" s="128" t="s">
        <v>1093</v>
      </c>
      <c r="B1" s="88"/>
      <c r="C1" s="88"/>
      <c r="D1" s="88"/>
      <c r="E1" s="88"/>
      <c r="F1" s="88"/>
      <c r="G1" s="88"/>
      <c r="H1" s="88"/>
    </row>
    <row r="2" spans="1:9" ht="12.75">
      <c r="A2" s="89" t="s">
        <v>1</v>
      </c>
      <c r="B2" s="90"/>
      <c r="C2" s="93" t="str">
        <f>'Stavební rozpočet'!C2</f>
        <v>SEN budovy Sládečkova vlastivědného muzea v Kladně, příspěvková organizace</v>
      </c>
      <c r="D2" s="94"/>
      <c r="E2" s="96" t="s">
        <v>1000</v>
      </c>
      <c r="F2" s="96" t="str">
        <f>'Stavební rozpočet'!I2</f>
        <v> </v>
      </c>
      <c r="G2" s="90"/>
      <c r="H2" s="129"/>
      <c r="I2" s="28"/>
    </row>
    <row r="3" spans="1:9" ht="12.75">
      <c r="A3" s="91"/>
      <c r="B3" s="92"/>
      <c r="C3" s="95"/>
      <c r="D3" s="95"/>
      <c r="E3" s="92"/>
      <c r="F3" s="92"/>
      <c r="G3" s="92"/>
      <c r="H3" s="98"/>
      <c r="I3" s="28"/>
    </row>
    <row r="4" spans="1:9" ht="12.75">
      <c r="A4" s="100" t="s">
        <v>2</v>
      </c>
      <c r="B4" s="92"/>
      <c r="C4" s="101" t="str">
        <f>'Stavební rozpočet'!C4</f>
        <v xml:space="preserve"> </v>
      </c>
      <c r="D4" s="92"/>
      <c r="E4" s="101" t="s">
        <v>1001</v>
      </c>
      <c r="F4" s="101" t="str">
        <f>'Stavební rozpočet'!I4</f>
        <v> </v>
      </c>
      <c r="G4" s="92"/>
      <c r="H4" s="98"/>
      <c r="I4" s="28"/>
    </row>
    <row r="5" spans="1:9" ht="12.75">
      <c r="A5" s="91"/>
      <c r="B5" s="92"/>
      <c r="C5" s="92"/>
      <c r="D5" s="92"/>
      <c r="E5" s="92"/>
      <c r="F5" s="92"/>
      <c r="G5" s="92"/>
      <c r="H5" s="98"/>
      <c r="I5" s="28"/>
    </row>
    <row r="6" spans="1:9" ht="12.75">
      <c r="A6" s="100" t="s">
        <v>3</v>
      </c>
      <c r="B6" s="92"/>
      <c r="C6" s="101" t="str">
        <f>'Stavební rozpočet'!C6</f>
        <v>Huťská 1375, parc.č.1679, k. ú. Kladno</v>
      </c>
      <c r="D6" s="92"/>
      <c r="E6" s="101" t="s">
        <v>1002</v>
      </c>
      <c r="F6" s="101" t="str">
        <f>'Stavební rozpočet'!I6</f>
        <v> </v>
      </c>
      <c r="G6" s="92"/>
      <c r="H6" s="98"/>
      <c r="I6" s="28"/>
    </row>
    <row r="7" spans="1:9" ht="12.75">
      <c r="A7" s="91"/>
      <c r="B7" s="92"/>
      <c r="C7" s="92"/>
      <c r="D7" s="92"/>
      <c r="E7" s="92"/>
      <c r="F7" s="92"/>
      <c r="G7" s="92"/>
      <c r="H7" s="98"/>
      <c r="I7" s="28"/>
    </row>
    <row r="8" spans="1:9" ht="12.75">
      <c r="A8" s="100" t="s">
        <v>1003</v>
      </c>
      <c r="B8" s="92"/>
      <c r="C8" s="101" t="str">
        <f>'Stavební rozpočet'!I8</f>
        <v> </v>
      </c>
      <c r="D8" s="92"/>
      <c r="E8" s="101" t="s">
        <v>989</v>
      </c>
      <c r="F8" s="101"/>
      <c r="G8" s="92"/>
      <c r="H8" s="98"/>
      <c r="I8" s="28"/>
    </row>
    <row r="9" spans="1:9" ht="12.75">
      <c r="A9" s="130"/>
      <c r="B9" s="131"/>
      <c r="C9" s="131"/>
      <c r="D9" s="131"/>
      <c r="E9" s="131"/>
      <c r="F9" s="131"/>
      <c r="G9" s="131"/>
      <c r="H9" s="132"/>
      <c r="I9" s="28"/>
    </row>
    <row r="10" spans="1:9" ht="12.75">
      <c r="A10" s="35" t="s">
        <v>5</v>
      </c>
      <c r="B10" s="40" t="s">
        <v>1086</v>
      </c>
      <c r="C10" s="40" t="s">
        <v>323</v>
      </c>
      <c r="D10" s="133" t="s">
        <v>639</v>
      </c>
      <c r="E10" s="134"/>
      <c r="F10" s="40" t="s">
        <v>990</v>
      </c>
      <c r="G10" s="41" t="s">
        <v>999</v>
      </c>
      <c r="H10" s="34" t="s">
        <v>1291</v>
      </c>
      <c r="I10" s="29"/>
    </row>
    <row r="11" spans="1:8" ht="12.75">
      <c r="A11" s="39"/>
      <c r="B11" s="39"/>
      <c r="C11" s="39" t="s">
        <v>18</v>
      </c>
      <c r="D11" s="164" t="s">
        <v>642</v>
      </c>
      <c r="E11" s="165"/>
      <c r="F11" s="39"/>
      <c r="G11" s="63"/>
      <c r="H11" s="42"/>
    </row>
    <row r="12" spans="1:8" ht="12.75">
      <c r="A12" s="4" t="s">
        <v>7</v>
      </c>
      <c r="B12" s="4" t="s">
        <v>1024</v>
      </c>
      <c r="C12" s="4" t="s">
        <v>324</v>
      </c>
      <c r="D12" s="153" t="s">
        <v>643</v>
      </c>
      <c r="E12" s="154"/>
      <c r="F12" s="4" t="s">
        <v>991</v>
      </c>
      <c r="G12" s="64">
        <v>1</v>
      </c>
      <c r="H12" s="14">
        <v>0</v>
      </c>
    </row>
    <row r="13" spans="4:7" ht="12.2" customHeight="1">
      <c r="D13" s="166" t="s">
        <v>1094</v>
      </c>
      <c r="E13" s="167"/>
      <c r="F13" s="167"/>
      <c r="G13" s="43">
        <v>1</v>
      </c>
    </row>
    <row r="14" spans="1:8" ht="12.75">
      <c r="A14" s="4" t="s">
        <v>8</v>
      </c>
      <c r="B14" s="4" t="s">
        <v>1024</v>
      </c>
      <c r="C14" s="4" t="s">
        <v>325</v>
      </c>
      <c r="D14" s="153" t="s">
        <v>644</v>
      </c>
      <c r="E14" s="154"/>
      <c r="F14" s="4" t="s">
        <v>992</v>
      </c>
      <c r="G14" s="64">
        <v>15.591</v>
      </c>
      <c r="H14" s="14">
        <v>0</v>
      </c>
    </row>
    <row r="15" spans="4:7" ht="12.2" customHeight="1">
      <c r="D15" s="166" t="s">
        <v>1095</v>
      </c>
      <c r="E15" s="167"/>
      <c r="F15" s="167"/>
      <c r="G15" s="43">
        <v>2.241</v>
      </c>
    </row>
    <row r="16" spans="1:8" ht="12.2" customHeight="1">
      <c r="A16" s="4"/>
      <c r="B16" s="4"/>
      <c r="C16" s="4"/>
      <c r="D16" s="166" t="s">
        <v>1096</v>
      </c>
      <c r="E16" s="167"/>
      <c r="F16" s="166"/>
      <c r="G16" s="65">
        <v>10.442</v>
      </c>
      <c r="H16" s="25"/>
    </row>
    <row r="17" spans="1:8" ht="12.2" customHeight="1">
      <c r="A17" s="4"/>
      <c r="B17" s="4"/>
      <c r="C17" s="4"/>
      <c r="D17" s="166" t="s">
        <v>1097</v>
      </c>
      <c r="E17" s="167"/>
      <c r="F17" s="166"/>
      <c r="G17" s="65">
        <v>2.908</v>
      </c>
      <c r="H17" s="25"/>
    </row>
    <row r="18" spans="1:8" ht="12.75">
      <c r="A18" s="11"/>
      <c r="B18" s="11"/>
      <c r="C18" s="11" t="s">
        <v>19</v>
      </c>
      <c r="D18" s="151" t="s">
        <v>645</v>
      </c>
      <c r="E18" s="152"/>
      <c r="F18" s="11"/>
      <c r="G18" s="66"/>
      <c r="H18" s="24"/>
    </row>
    <row r="19" spans="1:8" ht="12.75">
      <c r="A19" s="4" t="s">
        <v>9</v>
      </c>
      <c r="B19" s="4" t="s">
        <v>1024</v>
      </c>
      <c r="C19" s="4" t="s">
        <v>326</v>
      </c>
      <c r="D19" s="153" t="s">
        <v>646</v>
      </c>
      <c r="E19" s="154"/>
      <c r="F19" s="4" t="s">
        <v>992</v>
      </c>
      <c r="G19" s="64">
        <v>19.351</v>
      </c>
      <c r="H19" s="14">
        <v>0</v>
      </c>
    </row>
    <row r="20" spans="4:7" ht="12.2" customHeight="1">
      <c r="D20" s="166" t="s">
        <v>1098</v>
      </c>
      <c r="E20" s="167"/>
      <c r="F20" s="167"/>
      <c r="G20" s="43">
        <v>19.351</v>
      </c>
    </row>
    <row r="21" spans="1:8" ht="12.75">
      <c r="A21" s="4" t="s">
        <v>10</v>
      </c>
      <c r="B21" s="4" t="s">
        <v>1024</v>
      </c>
      <c r="C21" s="4" t="s">
        <v>327</v>
      </c>
      <c r="D21" s="153" t="s">
        <v>647</v>
      </c>
      <c r="E21" s="154"/>
      <c r="F21" s="4" t="s">
        <v>992</v>
      </c>
      <c r="G21" s="64">
        <v>96.048</v>
      </c>
      <c r="H21" s="14">
        <v>0</v>
      </c>
    </row>
    <row r="22" spans="4:7" ht="12.2" customHeight="1">
      <c r="D22" s="166" t="s">
        <v>1099</v>
      </c>
      <c r="E22" s="167"/>
      <c r="F22" s="167"/>
      <c r="G22" s="43">
        <v>96.048</v>
      </c>
    </row>
    <row r="23" spans="1:8" ht="12.75">
      <c r="A23" s="4" t="s">
        <v>11</v>
      </c>
      <c r="B23" s="4" t="s">
        <v>1024</v>
      </c>
      <c r="C23" s="4" t="s">
        <v>328</v>
      </c>
      <c r="D23" s="153" t="s">
        <v>648</v>
      </c>
      <c r="E23" s="154"/>
      <c r="F23" s="4" t="s">
        <v>992</v>
      </c>
      <c r="G23" s="64">
        <v>109.507</v>
      </c>
      <c r="H23" s="14">
        <v>0</v>
      </c>
    </row>
    <row r="24" spans="4:7" ht="12.2" customHeight="1">
      <c r="D24" s="166" t="s">
        <v>1100</v>
      </c>
      <c r="E24" s="167"/>
      <c r="F24" s="167"/>
      <c r="G24" s="43">
        <v>109.507</v>
      </c>
    </row>
    <row r="25" spans="1:8" ht="12.75">
      <c r="A25" s="4" t="s">
        <v>12</v>
      </c>
      <c r="B25" s="4" t="s">
        <v>1025</v>
      </c>
      <c r="C25" s="4" t="s">
        <v>588</v>
      </c>
      <c r="D25" s="153" t="s">
        <v>930</v>
      </c>
      <c r="E25" s="154"/>
      <c r="F25" s="4" t="s">
        <v>992</v>
      </c>
      <c r="G25" s="64">
        <v>1.836</v>
      </c>
      <c r="H25" s="14">
        <v>0</v>
      </c>
    </row>
    <row r="26" spans="4:7" ht="12.2" customHeight="1">
      <c r="D26" s="166" t="s">
        <v>1101</v>
      </c>
      <c r="E26" s="167"/>
      <c r="F26" s="167"/>
      <c r="G26" s="43">
        <v>1.836</v>
      </c>
    </row>
    <row r="27" spans="1:8" ht="12.75">
      <c r="A27" s="11"/>
      <c r="B27" s="11"/>
      <c r="C27" s="11" t="s">
        <v>21</v>
      </c>
      <c r="D27" s="151" t="s">
        <v>649</v>
      </c>
      <c r="E27" s="152"/>
      <c r="F27" s="11"/>
      <c r="G27" s="66"/>
      <c r="H27" s="24"/>
    </row>
    <row r="28" spans="1:8" ht="12.75">
      <c r="A28" s="4" t="s">
        <v>13</v>
      </c>
      <c r="B28" s="4" t="s">
        <v>1024</v>
      </c>
      <c r="C28" s="4" t="s">
        <v>329</v>
      </c>
      <c r="D28" s="153" t="s">
        <v>650</v>
      </c>
      <c r="E28" s="154"/>
      <c r="F28" s="4" t="s">
        <v>993</v>
      </c>
      <c r="G28" s="64">
        <v>221.786</v>
      </c>
      <c r="H28" s="14">
        <v>0</v>
      </c>
    </row>
    <row r="29" spans="4:7" ht="12.2" customHeight="1">
      <c r="D29" s="166" t="s">
        <v>1102</v>
      </c>
      <c r="E29" s="167"/>
      <c r="F29" s="167"/>
      <c r="G29" s="43">
        <v>39.192</v>
      </c>
    </row>
    <row r="30" spans="1:8" ht="12.2" customHeight="1">
      <c r="A30" s="4"/>
      <c r="B30" s="4"/>
      <c r="C30" s="4"/>
      <c r="D30" s="166" t="s">
        <v>1103</v>
      </c>
      <c r="E30" s="167"/>
      <c r="F30" s="166"/>
      <c r="G30" s="65">
        <v>182.594</v>
      </c>
      <c r="H30" s="25"/>
    </row>
    <row r="31" spans="1:8" ht="12.75">
      <c r="A31" s="4" t="s">
        <v>14</v>
      </c>
      <c r="B31" s="4" t="s">
        <v>1024</v>
      </c>
      <c r="C31" s="4" t="s">
        <v>330</v>
      </c>
      <c r="D31" s="153" t="s">
        <v>651</v>
      </c>
      <c r="E31" s="154"/>
      <c r="F31" s="4" t="s">
        <v>993</v>
      </c>
      <c r="G31" s="64">
        <v>221.786</v>
      </c>
      <c r="H31" s="14">
        <v>0</v>
      </c>
    </row>
    <row r="32" spans="4:7" ht="12.2" customHeight="1">
      <c r="D32" s="166" t="s">
        <v>1104</v>
      </c>
      <c r="E32" s="167"/>
      <c r="F32" s="167"/>
      <c r="G32" s="43">
        <v>221.786</v>
      </c>
    </row>
    <row r="33" spans="1:8" ht="12.75">
      <c r="A33" s="11"/>
      <c r="B33" s="11"/>
      <c r="C33" s="11" t="s">
        <v>22</v>
      </c>
      <c r="D33" s="151" t="s">
        <v>652</v>
      </c>
      <c r="E33" s="152"/>
      <c r="F33" s="11"/>
      <c r="G33" s="66"/>
      <c r="H33" s="24"/>
    </row>
    <row r="34" spans="1:8" ht="12.75">
      <c r="A34" s="4" t="s">
        <v>15</v>
      </c>
      <c r="B34" s="4" t="s">
        <v>1024</v>
      </c>
      <c r="C34" s="4" t="s">
        <v>331</v>
      </c>
      <c r="D34" s="153" t="s">
        <v>653</v>
      </c>
      <c r="E34" s="154"/>
      <c r="F34" s="4" t="s">
        <v>992</v>
      </c>
      <c r="G34" s="64">
        <v>7.66</v>
      </c>
      <c r="H34" s="14">
        <v>0</v>
      </c>
    </row>
    <row r="35" spans="4:7" ht="12.2" customHeight="1">
      <c r="D35" s="166" t="s">
        <v>1105</v>
      </c>
      <c r="E35" s="167"/>
      <c r="F35" s="167"/>
      <c r="G35" s="43">
        <v>7.66</v>
      </c>
    </row>
    <row r="36" spans="1:8" ht="12.75">
      <c r="A36" s="4" t="s">
        <v>16</v>
      </c>
      <c r="B36" s="4" t="s">
        <v>1025</v>
      </c>
      <c r="C36" s="4" t="s">
        <v>331</v>
      </c>
      <c r="D36" s="153" t="s">
        <v>653</v>
      </c>
      <c r="E36" s="154"/>
      <c r="F36" s="4" t="s">
        <v>992</v>
      </c>
      <c r="G36" s="64">
        <v>1.836</v>
      </c>
      <c r="H36" s="14">
        <v>0</v>
      </c>
    </row>
    <row r="37" spans="4:7" ht="12.2" customHeight="1">
      <c r="D37" s="166" t="s">
        <v>1106</v>
      </c>
      <c r="E37" s="167"/>
      <c r="F37" s="167"/>
      <c r="G37" s="43">
        <v>1.836</v>
      </c>
    </row>
    <row r="38" spans="1:8" ht="12.75">
      <c r="A38" s="4" t="s">
        <v>17</v>
      </c>
      <c r="B38" s="4" t="s">
        <v>1025</v>
      </c>
      <c r="C38" s="4" t="s">
        <v>589</v>
      </c>
      <c r="D38" s="153" t="s">
        <v>931</v>
      </c>
      <c r="E38" s="154"/>
      <c r="F38" s="4" t="s">
        <v>992</v>
      </c>
      <c r="G38" s="64">
        <v>1.836</v>
      </c>
      <c r="H38" s="14">
        <v>0</v>
      </c>
    </row>
    <row r="39" spans="4:7" ht="12.2" customHeight="1">
      <c r="D39" s="166" t="s">
        <v>1101</v>
      </c>
      <c r="E39" s="167"/>
      <c r="F39" s="167"/>
      <c r="G39" s="43">
        <v>1.836</v>
      </c>
    </row>
    <row r="40" spans="1:8" ht="12.75">
      <c r="A40" s="4" t="s">
        <v>18</v>
      </c>
      <c r="B40" s="4" t="s">
        <v>1024</v>
      </c>
      <c r="C40" s="4" t="s">
        <v>332</v>
      </c>
      <c r="D40" s="153" t="s">
        <v>654</v>
      </c>
      <c r="E40" s="154"/>
      <c r="F40" s="4" t="s">
        <v>992</v>
      </c>
      <c r="G40" s="64">
        <v>82.872</v>
      </c>
      <c r="H40" s="14">
        <v>0</v>
      </c>
    </row>
    <row r="41" spans="4:7" ht="12.2" customHeight="1">
      <c r="D41" s="166" t="s">
        <v>1107</v>
      </c>
      <c r="E41" s="167"/>
      <c r="F41" s="167"/>
      <c r="G41" s="43">
        <v>82.872</v>
      </c>
    </row>
    <row r="42" spans="1:8" ht="12.75">
      <c r="A42" s="4" t="s">
        <v>19</v>
      </c>
      <c r="B42" s="4" t="s">
        <v>1024</v>
      </c>
      <c r="C42" s="4" t="s">
        <v>333</v>
      </c>
      <c r="D42" s="153" t="s">
        <v>655</v>
      </c>
      <c r="E42" s="154"/>
      <c r="F42" s="4" t="s">
        <v>992</v>
      </c>
      <c r="G42" s="64">
        <v>26.635</v>
      </c>
      <c r="H42" s="14">
        <v>0</v>
      </c>
    </row>
    <row r="43" spans="4:7" ht="12.2" customHeight="1">
      <c r="D43" s="166" t="s">
        <v>1108</v>
      </c>
      <c r="E43" s="167"/>
      <c r="F43" s="167"/>
      <c r="G43" s="43">
        <v>26.635</v>
      </c>
    </row>
    <row r="44" spans="1:8" ht="12.75">
      <c r="A44" s="4" t="s">
        <v>20</v>
      </c>
      <c r="B44" s="4" t="s">
        <v>1024</v>
      </c>
      <c r="C44" s="4" t="s">
        <v>334</v>
      </c>
      <c r="D44" s="153" t="s">
        <v>656</v>
      </c>
      <c r="E44" s="154"/>
      <c r="F44" s="4" t="s">
        <v>992</v>
      </c>
      <c r="G44" s="64">
        <v>82.872</v>
      </c>
      <c r="H44" s="14">
        <v>0</v>
      </c>
    </row>
    <row r="45" spans="4:7" ht="12.2" customHeight="1">
      <c r="D45" s="166" t="s">
        <v>1109</v>
      </c>
      <c r="E45" s="167"/>
      <c r="F45" s="167"/>
      <c r="G45" s="43">
        <v>82.872</v>
      </c>
    </row>
    <row r="46" spans="1:8" ht="12.75">
      <c r="A46" s="4" t="s">
        <v>21</v>
      </c>
      <c r="B46" s="4" t="s">
        <v>1024</v>
      </c>
      <c r="C46" s="4" t="s">
        <v>335</v>
      </c>
      <c r="D46" s="153" t="s">
        <v>657</v>
      </c>
      <c r="E46" s="154"/>
      <c r="F46" s="4" t="s">
        <v>992</v>
      </c>
      <c r="G46" s="64">
        <v>21.367</v>
      </c>
      <c r="H46" s="14">
        <v>0</v>
      </c>
    </row>
    <row r="47" spans="4:7" ht="12.2" customHeight="1">
      <c r="D47" s="166" t="s">
        <v>1110</v>
      </c>
      <c r="E47" s="167"/>
      <c r="F47" s="167"/>
      <c r="G47" s="43">
        <v>21.367</v>
      </c>
    </row>
    <row r="48" spans="1:8" ht="12.75">
      <c r="A48" s="4" t="s">
        <v>22</v>
      </c>
      <c r="B48" s="4" t="s">
        <v>1025</v>
      </c>
      <c r="C48" s="4" t="s">
        <v>332</v>
      </c>
      <c r="D48" s="153" t="s">
        <v>654</v>
      </c>
      <c r="E48" s="154"/>
      <c r="F48" s="4" t="s">
        <v>992</v>
      </c>
      <c r="G48" s="64">
        <v>1.836</v>
      </c>
      <c r="H48" s="14">
        <v>0</v>
      </c>
    </row>
    <row r="49" spans="4:7" ht="12.2" customHeight="1">
      <c r="D49" s="166" t="s">
        <v>1106</v>
      </c>
      <c r="E49" s="167"/>
      <c r="F49" s="167"/>
      <c r="G49" s="43">
        <v>1.836</v>
      </c>
    </row>
    <row r="50" spans="1:8" ht="12.75">
      <c r="A50" s="4" t="s">
        <v>23</v>
      </c>
      <c r="B50" s="4" t="s">
        <v>1025</v>
      </c>
      <c r="C50" s="4" t="s">
        <v>334</v>
      </c>
      <c r="D50" s="153" t="s">
        <v>656</v>
      </c>
      <c r="E50" s="154"/>
      <c r="F50" s="4" t="s">
        <v>992</v>
      </c>
      <c r="G50" s="64">
        <v>1.836</v>
      </c>
      <c r="H50" s="14">
        <v>0</v>
      </c>
    </row>
    <row r="51" spans="4:7" ht="12.2" customHeight="1">
      <c r="D51" s="166" t="s">
        <v>1106</v>
      </c>
      <c r="E51" s="167"/>
      <c r="F51" s="167"/>
      <c r="G51" s="43">
        <v>1.836</v>
      </c>
    </row>
    <row r="52" spans="1:8" ht="12.75">
      <c r="A52" s="11"/>
      <c r="B52" s="11"/>
      <c r="C52" s="11" t="s">
        <v>23</v>
      </c>
      <c r="D52" s="151" t="s">
        <v>658</v>
      </c>
      <c r="E52" s="152"/>
      <c r="F52" s="11"/>
      <c r="G52" s="66"/>
      <c r="H52" s="24"/>
    </row>
    <row r="53" spans="1:8" ht="12.75">
      <c r="A53" s="4" t="s">
        <v>24</v>
      </c>
      <c r="B53" s="4" t="s">
        <v>1024</v>
      </c>
      <c r="C53" s="4" t="s">
        <v>336</v>
      </c>
      <c r="D53" s="153" t="s">
        <v>659</v>
      </c>
      <c r="E53" s="154"/>
      <c r="F53" s="4" t="s">
        <v>992</v>
      </c>
      <c r="G53" s="64">
        <v>10</v>
      </c>
      <c r="H53" s="14">
        <v>0</v>
      </c>
    </row>
    <row r="54" spans="4:7" ht="12.2" customHeight="1">
      <c r="D54" s="166" t="s">
        <v>1111</v>
      </c>
      <c r="E54" s="167"/>
      <c r="F54" s="167"/>
      <c r="G54" s="43">
        <v>10</v>
      </c>
    </row>
    <row r="55" spans="1:8" ht="12.75">
      <c r="A55" s="4" t="s">
        <v>25</v>
      </c>
      <c r="B55" s="4" t="s">
        <v>1024</v>
      </c>
      <c r="C55" s="4" t="s">
        <v>337</v>
      </c>
      <c r="D55" s="153" t="s">
        <v>660</v>
      </c>
      <c r="E55" s="154"/>
      <c r="F55" s="4" t="s">
        <v>993</v>
      </c>
      <c r="G55" s="64">
        <v>178.568</v>
      </c>
      <c r="H55" s="14">
        <v>0</v>
      </c>
    </row>
    <row r="56" spans="4:7" ht="12.2" customHeight="1">
      <c r="D56" s="166" t="s">
        <v>1112</v>
      </c>
      <c r="E56" s="167"/>
      <c r="F56" s="167"/>
      <c r="G56" s="43">
        <v>178.568</v>
      </c>
    </row>
    <row r="57" spans="1:8" ht="12.75">
      <c r="A57" s="4" t="s">
        <v>26</v>
      </c>
      <c r="B57" s="4" t="s">
        <v>1024</v>
      </c>
      <c r="C57" s="4" t="s">
        <v>338</v>
      </c>
      <c r="D57" s="153" t="s">
        <v>661</v>
      </c>
      <c r="E57" s="154"/>
      <c r="F57" s="4" t="s">
        <v>992</v>
      </c>
      <c r="G57" s="64">
        <v>26.635</v>
      </c>
      <c r="H57" s="14">
        <v>0</v>
      </c>
    </row>
    <row r="58" spans="4:7" ht="12.2" customHeight="1">
      <c r="D58" s="166" t="s">
        <v>1113</v>
      </c>
      <c r="E58" s="167"/>
      <c r="F58" s="167"/>
      <c r="G58" s="43">
        <v>26.635</v>
      </c>
    </row>
    <row r="59" spans="1:8" ht="12.75">
      <c r="A59" s="4" t="s">
        <v>27</v>
      </c>
      <c r="B59" s="4" t="s">
        <v>1024</v>
      </c>
      <c r="C59" s="4" t="s">
        <v>339</v>
      </c>
      <c r="D59" s="153" t="s">
        <v>662</v>
      </c>
      <c r="E59" s="154"/>
      <c r="F59" s="4" t="s">
        <v>992</v>
      </c>
      <c r="G59" s="64">
        <v>72.872</v>
      </c>
      <c r="H59" s="14">
        <v>0</v>
      </c>
    </row>
    <row r="60" spans="4:7" ht="12.2" customHeight="1">
      <c r="D60" s="166" t="s">
        <v>1114</v>
      </c>
      <c r="E60" s="167"/>
      <c r="F60" s="167"/>
      <c r="G60" s="43">
        <v>72.872</v>
      </c>
    </row>
    <row r="61" spans="1:8" ht="12.75">
      <c r="A61" s="4" t="s">
        <v>28</v>
      </c>
      <c r="B61" s="4" t="s">
        <v>1025</v>
      </c>
      <c r="C61" s="4" t="s">
        <v>339</v>
      </c>
      <c r="D61" s="153" t="s">
        <v>662</v>
      </c>
      <c r="E61" s="154"/>
      <c r="F61" s="4" t="s">
        <v>992</v>
      </c>
      <c r="G61" s="64">
        <v>1.836</v>
      </c>
      <c r="H61" s="14">
        <v>0</v>
      </c>
    </row>
    <row r="62" spans="4:7" ht="12.2" customHeight="1">
      <c r="D62" s="166" t="s">
        <v>1106</v>
      </c>
      <c r="E62" s="167"/>
      <c r="F62" s="167"/>
      <c r="G62" s="43">
        <v>1.836</v>
      </c>
    </row>
    <row r="63" spans="1:8" ht="12.75">
      <c r="A63" s="11"/>
      <c r="B63" s="11"/>
      <c r="C63" s="11" t="s">
        <v>24</v>
      </c>
      <c r="D63" s="151" t="s">
        <v>663</v>
      </c>
      <c r="E63" s="152"/>
      <c r="F63" s="11"/>
      <c r="G63" s="66"/>
      <c r="H63" s="24"/>
    </row>
    <row r="64" spans="1:8" ht="12.75">
      <c r="A64" s="4" t="s">
        <v>29</v>
      </c>
      <c r="B64" s="4" t="s">
        <v>1024</v>
      </c>
      <c r="C64" s="4" t="s">
        <v>340</v>
      </c>
      <c r="D64" s="153" t="s">
        <v>664</v>
      </c>
      <c r="E64" s="154"/>
      <c r="F64" s="4" t="s">
        <v>993</v>
      </c>
      <c r="G64" s="64">
        <v>793.94</v>
      </c>
      <c r="H64" s="14">
        <v>0</v>
      </c>
    </row>
    <row r="65" spans="4:7" ht="12.2" customHeight="1">
      <c r="D65" s="166" t="s">
        <v>1115</v>
      </c>
      <c r="E65" s="167"/>
      <c r="F65" s="167"/>
      <c r="G65" s="43">
        <v>793.94</v>
      </c>
    </row>
    <row r="66" spans="1:8" ht="12.75">
      <c r="A66" s="4" t="s">
        <v>30</v>
      </c>
      <c r="B66" s="4" t="s">
        <v>1024</v>
      </c>
      <c r="C66" s="4" t="s">
        <v>341</v>
      </c>
      <c r="D66" s="153" t="s">
        <v>665</v>
      </c>
      <c r="E66" s="154"/>
      <c r="F66" s="4" t="s">
        <v>991</v>
      </c>
      <c r="G66" s="64">
        <v>1</v>
      </c>
      <c r="H66" s="14">
        <v>0</v>
      </c>
    </row>
    <row r="67" spans="4:7" ht="12.2" customHeight="1">
      <c r="D67" s="166" t="s">
        <v>1094</v>
      </c>
      <c r="E67" s="167"/>
      <c r="F67" s="167"/>
      <c r="G67" s="43">
        <v>1</v>
      </c>
    </row>
    <row r="68" spans="1:8" ht="12.75">
      <c r="A68" s="4" t="s">
        <v>31</v>
      </c>
      <c r="B68" s="4" t="s">
        <v>1024</v>
      </c>
      <c r="C68" s="4" t="s">
        <v>342</v>
      </c>
      <c r="D68" s="153" t="s">
        <v>666</v>
      </c>
      <c r="E68" s="154"/>
      <c r="F68" s="4" t="s">
        <v>994</v>
      </c>
      <c r="G68" s="64">
        <v>49.275</v>
      </c>
      <c r="H68" s="14">
        <v>0</v>
      </c>
    </row>
    <row r="69" spans="4:7" ht="12.2" customHeight="1">
      <c r="D69" s="166" t="s">
        <v>1116</v>
      </c>
      <c r="E69" s="167"/>
      <c r="F69" s="167"/>
      <c r="G69" s="43">
        <v>49.275</v>
      </c>
    </row>
    <row r="70" spans="1:8" ht="12.75">
      <c r="A70" s="11"/>
      <c r="B70" s="11"/>
      <c r="C70" s="11" t="s">
        <v>33</v>
      </c>
      <c r="D70" s="151" t="s">
        <v>667</v>
      </c>
      <c r="E70" s="152"/>
      <c r="F70" s="11"/>
      <c r="G70" s="66"/>
      <c r="H70" s="24"/>
    </row>
    <row r="71" spans="1:8" ht="12.75">
      <c r="A71" s="4" t="s">
        <v>32</v>
      </c>
      <c r="B71" s="4" t="s">
        <v>1025</v>
      </c>
      <c r="C71" s="4" t="s">
        <v>590</v>
      </c>
      <c r="D71" s="153" t="s">
        <v>932</v>
      </c>
      <c r="E71" s="154"/>
      <c r="F71" s="4" t="s">
        <v>995</v>
      </c>
      <c r="G71" s="64">
        <v>104.22</v>
      </c>
      <c r="H71" s="14">
        <v>0</v>
      </c>
    </row>
    <row r="72" spans="4:7" ht="12.2" customHeight="1">
      <c r="D72" s="166" t="s">
        <v>1117</v>
      </c>
      <c r="E72" s="167"/>
      <c r="F72" s="167"/>
      <c r="G72" s="43">
        <v>104.22</v>
      </c>
    </row>
    <row r="73" spans="1:8" ht="12.75">
      <c r="A73" s="4" t="s">
        <v>33</v>
      </c>
      <c r="B73" s="4" t="s">
        <v>1025</v>
      </c>
      <c r="C73" s="4" t="s">
        <v>591</v>
      </c>
      <c r="D73" s="153" t="s">
        <v>933</v>
      </c>
      <c r="E73" s="154"/>
      <c r="F73" s="4" t="s">
        <v>991</v>
      </c>
      <c r="G73" s="64">
        <v>8</v>
      </c>
      <c r="H73" s="14">
        <v>0</v>
      </c>
    </row>
    <row r="74" spans="4:7" ht="12.2" customHeight="1">
      <c r="D74" s="166" t="s">
        <v>1118</v>
      </c>
      <c r="E74" s="167"/>
      <c r="F74" s="167"/>
      <c r="G74" s="43">
        <v>8</v>
      </c>
    </row>
    <row r="75" spans="1:8" ht="12.75">
      <c r="A75" s="4" t="s">
        <v>34</v>
      </c>
      <c r="B75" s="4" t="s">
        <v>1024</v>
      </c>
      <c r="C75" s="4" t="s">
        <v>343</v>
      </c>
      <c r="D75" s="153" t="s">
        <v>668</v>
      </c>
      <c r="E75" s="154"/>
      <c r="F75" s="4" t="s">
        <v>992</v>
      </c>
      <c r="G75" s="64">
        <v>4.138</v>
      </c>
      <c r="H75" s="14">
        <v>0</v>
      </c>
    </row>
    <row r="76" spans="4:7" ht="12.2" customHeight="1">
      <c r="D76" s="166" t="s">
        <v>1119</v>
      </c>
      <c r="E76" s="167"/>
      <c r="F76" s="167"/>
      <c r="G76" s="43">
        <v>4.138</v>
      </c>
    </row>
    <row r="77" spans="1:8" ht="12.75">
      <c r="A77" s="4" t="s">
        <v>35</v>
      </c>
      <c r="B77" s="4" t="s">
        <v>1024</v>
      </c>
      <c r="C77" s="4" t="s">
        <v>344</v>
      </c>
      <c r="D77" s="153" t="s">
        <v>669</v>
      </c>
      <c r="E77" s="154"/>
      <c r="F77" s="4" t="s">
        <v>992</v>
      </c>
      <c r="G77" s="64">
        <v>4</v>
      </c>
      <c r="H77" s="14">
        <v>0</v>
      </c>
    </row>
    <row r="78" spans="4:7" ht="12.2" customHeight="1">
      <c r="D78" s="166" t="s">
        <v>1120</v>
      </c>
      <c r="E78" s="167"/>
      <c r="F78" s="167"/>
      <c r="G78" s="43">
        <v>4</v>
      </c>
    </row>
    <row r="79" spans="1:8" ht="12.75">
      <c r="A79" s="4" t="s">
        <v>36</v>
      </c>
      <c r="B79" s="4" t="s">
        <v>1025</v>
      </c>
      <c r="C79" s="4" t="s">
        <v>592</v>
      </c>
      <c r="D79" s="153" t="s">
        <v>934</v>
      </c>
      <c r="E79" s="154"/>
      <c r="F79" s="4" t="s">
        <v>992</v>
      </c>
      <c r="G79" s="64">
        <v>9.692</v>
      </c>
      <c r="H79" s="14">
        <v>0</v>
      </c>
    </row>
    <row r="80" spans="4:7" ht="12.2" customHeight="1">
      <c r="D80" s="166" t="s">
        <v>1121</v>
      </c>
      <c r="E80" s="167"/>
      <c r="F80" s="167"/>
      <c r="G80" s="43">
        <v>9.692</v>
      </c>
    </row>
    <row r="81" spans="1:8" ht="12.75">
      <c r="A81" s="11"/>
      <c r="B81" s="11"/>
      <c r="C81" s="11" t="s">
        <v>34</v>
      </c>
      <c r="D81" s="151" t="s">
        <v>935</v>
      </c>
      <c r="E81" s="152"/>
      <c r="F81" s="11"/>
      <c r="G81" s="66"/>
      <c r="H81" s="24"/>
    </row>
    <row r="82" spans="1:8" ht="12.75">
      <c r="A82" s="4" t="s">
        <v>37</v>
      </c>
      <c r="B82" s="4" t="s">
        <v>1025</v>
      </c>
      <c r="C82" s="4" t="s">
        <v>593</v>
      </c>
      <c r="D82" s="153" t="s">
        <v>936</v>
      </c>
      <c r="E82" s="154"/>
      <c r="F82" s="4" t="s">
        <v>991</v>
      </c>
      <c r="G82" s="64">
        <v>1</v>
      </c>
      <c r="H82" s="14">
        <v>0</v>
      </c>
    </row>
    <row r="83" spans="4:7" ht="12.2" customHeight="1">
      <c r="D83" s="166" t="s">
        <v>1094</v>
      </c>
      <c r="E83" s="167"/>
      <c r="F83" s="167"/>
      <c r="G83" s="43">
        <v>1</v>
      </c>
    </row>
    <row r="84" spans="1:8" ht="12.75">
      <c r="A84" s="4" t="s">
        <v>38</v>
      </c>
      <c r="B84" s="4" t="s">
        <v>1025</v>
      </c>
      <c r="C84" s="4" t="s">
        <v>594</v>
      </c>
      <c r="D84" s="153" t="s">
        <v>937</v>
      </c>
      <c r="E84" s="154"/>
      <c r="F84" s="4" t="s">
        <v>995</v>
      </c>
      <c r="G84" s="64">
        <v>76</v>
      </c>
      <c r="H84" s="14">
        <v>0</v>
      </c>
    </row>
    <row r="85" spans="4:7" ht="12.2" customHeight="1">
      <c r="D85" s="166" t="s">
        <v>1122</v>
      </c>
      <c r="E85" s="167"/>
      <c r="F85" s="167"/>
      <c r="G85" s="43">
        <v>76</v>
      </c>
    </row>
    <row r="86" spans="1:8" ht="12.75">
      <c r="A86" s="4" t="s">
        <v>39</v>
      </c>
      <c r="B86" s="4" t="s">
        <v>1025</v>
      </c>
      <c r="C86" s="4" t="s">
        <v>595</v>
      </c>
      <c r="D86" s="153" t="s">
        <v>938</v>
      </c>
      <c r="E86" s="154"/>
      <c r="F86" s="4" t="s">
        <v>995</v>
      </c>
      <c r="G86" s="64">
        <v>76</v>
      </c>
      <c r="H86" s="14">
        <v>0</v>
      </c>
    </row>
    <row r="87" spans="4:7" ht="12.2" customHeight="1">
      <c r="D87" s="166" t="s">
        <v>1123</v>
      </c>
      <c r="E87" s="167"/>
      <c r="F87" s="167"/>
      <c r="G87" s="43">
        <v>76</v>
      </c>
    </row>
    <row r="88" spans="1:8" ht="12.75">
      <c r="A88" s="11"/>
      <c r="B88" s="11"/>
      <c r="C88" s="11" t="s">
        <v>39</v>
      </c>
      <c r="D88" s="151" t="s">
        <v>670</v>
      </c>
      <c r="E88" s="152"/>
      <c r="F88" s="11"/>
      <c r="G88" s="66"/>
      <c r="H88" s="24"/>
    </row>
    <row r="89" spans="1:8" ht="12.75">
      <c r="A89" s="4" t="s">
        <v>40</v>
      </c>
      <c r="B89" s="4" t="s">
        <v>1024</v>
      </c>
      <c r="C89" s="4" t="s">
        <v>345</v>
      </c>
      <c r="D89" s="153" t="s">
        <v>671</v>
      </c>
      <c r="E89" s="154"/>
      <c r="F89" s="4" t="s">
        <v>992</v>
      </c>
      <c r="G89" s="64">
        <v>0.15</v>
      </c>
      <c r="H89" s="14">
        <v>0</v>
      </c>
    </row>
    <row r="90" spans="4:7" ht="12.2" customHeight="1">
      <c r="D90" s="166" t="s">
        <v>1124</v>
      </c>
      <c r="E90" s="167"/>
      <c r="F90" s="167"/>
      <c r="G90" s="43">
        <v>0.15</v>
      </c>
    </row>
    <row r="91" spans="1:8" ht="12.75">
      <c r="A91" s="11"/>
      <c r="B91" s="11"/>
      <c r="C91" s="11" t="s">
        <v>47</v>
      </c>
      <c r="D91" s="151" t="s">
        <v>672</v>
      </c>
      <c r="E91" s="152"/>
      <c r="F91" s="11"/>
      <c r="G91" s="66"/>
      <c r="H91" s="24"/>
    </row>
    <row r="92" spans="1:8" ht="12.75">
      <c r="A92" s="4" t="s">
        <v>41</v>
      </c>
      <c r="B92" s="4" t="s">
        <v>1024</v>
      </c>
      <c r="C92" s="4" t="s">
        <v>346</v>
      </c>
      <c r="D92" s="153" t="s">
        <v>673</v>
      </c>
      <c r="E92" s="154"/>
      <c r="F92" s="4" t="s">
        <v>992</v>
      </c>
      <c r="G92" s="64">
        <v>1.133</v>
      </c>
      <c r="H92" s="14">
        <v>0</v>
      </c>
    </row>
    <row r="93" spans="4:7" ht="12.2" customHeight="1">
      <c r="D93" s="166" t="s">
        <v>1125</v>
      </c>
      <c r="E93" s="167"/>
      <c r="F93" s="167"/>
      <c r="G93" s="43">
        <v>1.133</v>
      </c>
    </row>
    <row r="94" spans="1:8" ht="12.75">
      <c r="A94" s="4" t="s">
        <v>42</v>
      </c>
      <c r="B94" s="4" t="s">
        <v>1024</v>
      </c>
      <c r="C94" s="4" t="s">
        <v>347</v>
      </c>
      <c r="D94" s="153" t="s">
        <v>674</v>
      </c>
      <c r="E94" s="154"/>
      <c r="F94" s="4" t="s">
        <v>995</v>
      </c>
      <c r="G94" s="64">
        <v>27.18</v>
      </c>
      <c r="H94" s="14">
        <v>0</v>
      </c>
    </row>
    <row r="95" spans="4:7" ht="12.2" customHeight="1">
      <c r="D95" s="166" t="s">
        <v>1126</v>
      </c>
      <c r="E95" s="167"/>
      <c r="F95" s="167"/>
      <c r="G95" s="43">
        <v>27.18</v>
      </c>
    </row>
    <row r="96" spans="1:8" ht="12.75">
      <c r="A96" s="4" t="s">
        <v>43</v>
      </c>
      <c r="B96" s="4" t="s">
        <v>1024</v>
      </c>
      <c r="C96" s="4" t="s">
        <v>348</v>
      </c>
      <c r="D96" s="153" t="s">
        <v>675</v>
      </c>
      <c r="E96" s="154"/>
      <c r="F96" s="4" t="s">
        <v>995</v>
      </c>
      <c r="G96" s="64">
        <v>27.18</v>
      </c>
      <c r="H96" s="14">
        <v>0</v>
      </c>
    </row>
    <row r="97" spans="4:7" ht="12.2" customHeight="1">
      <c r="D97" s="166" t="s">
        <v>1126</v>
      </c>
      <c r="E97" s="167"/>
      <c r="F97" s="167"/>
      <c r="G97" s="43">
        <v>27.18</v>
      </c>
    </row>
    <row r="98" spans="1:8" ht="12.75">
      <c r="A98" s="4" t="s">
        <v>44</v>
      </c>
      <c r="B98" s="4" t="s">
        <v>1024</v>
      </c>
      <c r="C98" s="4" t="s">
        <v>349</v>
      </c>
      <c r="D98" s="153" t="s">
        <v>676</v>
      </c>
      <c r="E98" s="154"/>
      <c r="F98" s="4" t="s">
        <v>994</v>
      </c>
      <c r="G98" s="64">
        <v>0.195</v>
      </c>
      <c r="H98" s="14">
        <v>0</v>
      </c>
    </row>
    <row r="99" spans="4:7" ht="12.2" customHeight="1">
      <c r="D99" s="166" t="s">
        <v>1127</v>
      </c>
      <c r="E99" s="167"/>
      <c r="F99" s="167"/>
      <c r="G99" s="43">
        <v>0.195</v>
      </c>
    </row>
    <row r="100" spans="1:8" ht="12.75">
      <c r="A100" s="11"/>
      <c r="B100" s="11"/>
      <c r="C100" s="11" t="s">
        <v>62</v>
      </c>
      <c r="D100" s="151" t="s">
        <v>677</v>
      </c>
      <c r="E100" s="152"/>
      <c r="F100" s="11"/>
      <c r="G100" s="66"/>
      <c r="H100" s="24"/>
    </row>
    <row r="101" spans="1:8" ht="12.75">
      <c r="A101" s="4" t="s">
        <v>45</v>
      </c>
      <c r="B101" s="4" t="s">
        <v>1024</v>
      </c>
      <c r="C101" s="4" t="s">
        <v>350</v>
      </c>
      <c r="D101" s="153" t="s">
        <v>678</v>
      </c>
      <c r="E101" s="154"/>
      <c r="F101" s="4" t="s">
        <v>993</v>
      </c>
      <c r="G101" s="64">
        <v>48.568</v>
      </c>
      <c r="H101" s="14">
        <v>0</v>
      </c>
    </row>
    <row r="102" spans="4:7" ht="12.2" customHeight="1">
      <c r="D102" s="166" t="s">
        <v>1128</v>
      </c>
      <c r="E102" s="167"/>
      <c r="F102" s="167"/>
      <c r="G102" s="43">
        <v>48.568</v>
      </c>
    </row>
    <row r="103" spans="1:8" ht="12.75">
      <c r="A103" s="4" t="s">
        <v>46</v>
      </c>
      <c r="B103" s="4" t="s">
        <v>1024</v>
      </c>
      <c r="C103" s="4" t="s">
        <v>351</v>
      </c>
      <c r="D103" s="153" t="s">
        <v>679</v>
      </c>
      <c r="E103" s="154"/>
      <c r="F103" s="4" t="s">
        <v>993</v>
      </c>
      <c r="G103" s="64">
        <v>48.568</v>
      </c>
      <c r="H103" s="14">
        <v>0</v>
      </c>
    </row>
    <row r="104" spans="4:7" ht="12.2" customHeight="1">
      <c r="D104" s="166" t="s">
        <v>1128</v>
      </c>
      <c r="E104" s="167"/>
      <c r="F104" s="167"/>
      <c r="G104" s="43">
        <v>48.568</v>
      </c>
    </row>
    <row r="105" spans="1:8" ht="12.75">
      <c r="A105" s="4" t="s">
        <v>47</v>
      </c>
      <c r="B105" s="4" t="s">
        <v>1024</v>
      </c>
      <c r="C105" s="4" t="s">
        <v>352</v>
      </c>
      <c r="D105" s="153" t="s">
        <v>680</v>
      </c>
      <c r="E105" s="154"/>
      <c r="F105" s="4" t="s">
        <v>993</v>
      </c>
      <c r="G105" s="64">
        <v>48.568</v>
      </c>
      <c r="H105" s="14">
        <v>0</v>
      </c>
    </row>
    <row r="106" spans="4:7" ht="12.2" customHeight="1">
      <c r="D106" s="166" t="s">
        <v>1128</v>
      </c>
      <c r="E106" s="167"/>
      <c r="F106" s="167"/>
      <c r="G106" s="43">
        <v>48.568</v>
      </c>
    </row>
    <row r="107" spans="1:8" ht="12.75">
      <c r="A107" s="11"/>
      <c r="B107" s="11"/>
      <c r="C107" s="11" t="s">
        <v>63</v>
      </c>
      <c r="D107" s="151" t="s">
        <v>681</v>
      </c>
      <c r="E107" s="152"/>
      <c r="F107" s="11"/>
      <c r="G107" s="66"/>
      <c r="H107" s="24"/>
    </row>
    <row r="108" spans="1:8" ht="12.75">
      <c r="A108" s="4" t="s">
        <v>48</v>
      </c>
      <c r="B108" s="4" t="s">
        <v>1024</v>
      </c>
      <c r="C108" s="4" t="s">
        <v>353</v>
      </c>
      <c r="D108" s="153" t="s">
        <v>682</v>
      </c>
      <c r="E108" s="154"/>
      <c r="F108" s="4" t="s">
        <v>993</v>
      </c>
      <c r="G108" s="64">
        <v>30</v>
      </c>
      <c r="H108" s="14">
        <v>0</v>
      </c>
    </row>
    <row r="109" spans="4:7" ht="12.2" customHeight="1">
      <c r="D109" s="166" t="s">
        <v>1129</v>
      </c>
      <c r="E109" s="167"/>
      <c r="F109" s="167"/>
      <c r="G109" s="43">
        <v>30</v>
      </c>
    </row>
    <row r="110" spans="1:8" ht="12.75">
      <c r="A110" s="11"/>
      <c r="B110" s="11"/>
      <c r="C110" s="11" t="s">
        <v>65</v>
      </c>
      <c r="D110" s="151" t="s">
        <v>683</v>
      </c>
      <c r="E110" s="152"/>
      <c r="F110" s="11"/>
      <c r="G110" s="66"/>
      <c r="H110" s="24"/>
    </row>
    <row r="111" spans="1:8" ht="12.75">
      <c r="A111" s="4" t="s">
        <v>49</v>
      </c>
      <c r="B111" s="4" t="s">
        <v>1024</v>
      </c>
      <c r="C111" s="4" t="s">
        <v>354</v>
      </c>
      <c r="D111" s="153" t="s">
        <v>684</v>
      </c>
      <c r="E111" s="154"/>
      <c r="F111" s="4" t="s">
        <v>993</v>
      </c>
      <c r="G111" s="64">
        <v>6</v>
      </c>
      <c r="H111" s="14">
        <v>0</v>
      </c>
    </row>
    <row r="112" spans="4:7" ht="12.2" customHeight="1">
      <c r="D112" s="166" t="s">
        <v>1130</v>
      </c>
      <c r="E112" s="167"/>
      <c r="F112" s="167"/>
      <c r="G112" s="43">
        <v>6</v>
      </c>
    </row>
    <row r="113" spans="1:8" ht="12.75">
      <c r="A113" s="4" t="s">
        <v>50</v>
      </c>
      <c r="B113" s="4" t="s">
        <v>1024</v>
      </c>
      <c r="C113" s="4" t="s">
        <v>355</v>
      </c>
      <c r="D113" s="153" t="s">
        <v>685</v>
      </c>
      <c r="E113" s="154"/>
      <c r="F113" s="4" t="s">
        <v>993</v>
      </c>
      <c r="G113" s="64">
        <v>48.568</v>
      </c>
      <c r="H113" s="14">
        <v>0</v>
      </c>
    </row>
    <row r="114" spans="4:7" ht="12.2" customHeight="1">
      <c r="D114" s="166" t="s">
        <v>1128</v>
      </c>
      <c r="E114" s="167"/>
      <c r="F114" s="167"/>
      <c r="G114" s="43">
        <v>48.568</v>
      </c>
    </row>
    <row r="115" spans="1:8" ht="12.75">
      <c r="A115" s="11"/>
      <c r="B115" s="11"/>
      <c r="C115" s="11" t="s">
        <v>67</v>
      </c>
      <c r="D115" s="151" t="s">
        <v>686</v>
      </c>
      <c r="E115" s="152"/>
      <c r="F115" s="11"/>
      <c r="G115" s="66"/>
      <c r="H115" s="24"/>
    </row>
    <row r="116" spans="1:8" ht="12.75">
      <c r="A116" s="4" t="s">
        <v>51</v>
      </c>
      <c r="B116" s="4" t="s">
        <v>1024</v>
      </c>
      <c r="C116" s="4" t="s">
        <v>356</v>
      </c>
      <c r="D116" s="153" t="s">
        <v>687</v>
      </c>
      <c r="E116" s="154"/>
      <c r="F116" s="4" t="s">
        <v>995</v>
      </c>
      <c r="G116" s="64">
        <v>380.48</v>
      </c>
      <c r="H116" s="14">
        <v>0</v>
      </c>
    </row>
    <row r="117" spans="4:7" ht="12.2" customHeight="1">
      <c r="D117" s="166" t="s">
        <v>1131</v>
      </c>
      <c r="E117" s="167"/>
      <c r="F117" s="167"/>
      <c r="G117" s="43">
        <v>380.48</v>
      </c>
    </row>
    <row r="118" spans="1:8" ht="12.75">
      <c r="A118" s="4" t="s">
        <v>52</v>
      </c>
      <c r="B118" s="4" t="s">
        <v>1024</v>
      </c>
      <c r="C118" s="4" t="s">
        <v>357</v>
      </c>
      <c r="D118" s="153" t="s">
        <v>688</v>
      </c>
      <c r="E118" s="154"/>
      <c r="F118" s="4" t="s">
        <v>995</v>
      </c>
      <c r="G118" s="64">
        <v>145.3</v>
      </c>
      <c r="H118" s="14">
        <v>0</v>
      </c>
    </row>
    <row r="119" spans="4:7" ht="12.2" customHeight="1">
      <c r="D119" s="166" t="s">
        <v>1132</v>
      </c>
      <c r="E119" s="167"/>
      <c r="F119" s="167"/>
      <c r="G119" s="43">
        <v>145.3</v>
      </c>
    </row>
    <row r="120" spans="1:8" ht="12.75">
      <c r="A120" s="4" t="s">
        <v>53</v>
      </c>
      <c r="B120" s="4" t="s">
        <v>1024</v>
      </c>
      <c r="C120" s="4" t="s">
        <v>358</v>
      </c>
      <c r="D120" s="153" t="s">
        <v>689</v>
      </c>
      <c r="E120" s="154"/>
      <c r="F120" s="4" t="s">
        <v>993</v>
      </c>
      <c r="G120" s="64">
        <v>208.969</v>
      </c>
      <c r="H120" s="14">
        <v>0</v>
      </c>
    </row>
    <row r="121" spans="4:7" ht="12.2" customHeight="1">
      <c r="D121" s="166" t="s">
        <v>1133</v>
      </c>
      <c r="E121" s="167"/>
      <c r="F121" s="167"/>
      <c r="G121" s="43">
        <v>208.969</v>
      </c>
    </row>
    <row r="122" spans="1:8" ht="12.75">
      <c r="A122" s="4" t="s">
        <v>54</v>
      </c>
      <c r="B122" s="4" t="s">
        <v>1024</v>
      </c>
      <c r="C122" s="4" t="s">
        <v>359</v>
      </c>
      <c r="D122" s="153" t="s">
        <v>690</v>
      </c>
      <c r="E122" s="154"/>
      <c r="F122" s="4" t="s">
        <v>993</v>
      </c>
      <c r="G122" s="64">
        <v>53.46</v>
      </c>
      <c r="H122" s="14">
        <v>0</v>
      </c>
    </row>
    <row r="123" spans="4:7" ht="12.2" customHeight="1">
      <c r="D123" s="166" t="s">
        <v>1134</v>
      </c>
      <c r="E123" s="167"/>
      <c r="F123" s="167"/>
      <c r="G123" s="43">
        <v>53.46</v>
      </c>
    </row>
    <row r="124" spans="1:8" ht="12.75">
      <c r="A124" s="11"/>
      <c r="B124" s="11"/>
      <c r="C124" s="11" t="s">
        <v>68</v>
      </c>
      <c r="D124" s="151" t="s">
        <v>692</v>
      </c>
      <c r="E124" s="152"/>
      <c r="F124" s="11"/>
      <c r="G124" s="66"/>
      <c r="H124" s="24"/>
    </row>
    <row r="125" spans="1:8" ht="12.75">
      <c r="A125" s="4" t="s">
        <v>55</v>
      </c>
      <c r="B125" s="4" t="s">
        <v>1024</v>
      </c>
      <c r="C125" s="4" t="s">
        <v>360</v>
      </c>
      <c r="D125" s="153" t="s">
        <v>693</v>
      </c>
      <c r="E125" s="154"/>
      <c r="F125" s="4" t="s">
        <v>993</v>
      </c>
      <c r="G125" s="64">
        <v>208.969</v>
      </c>
      <c r="H125" s="14">
        <v>0</v>
      </c>
    </row>
    <row r="126" spans="4:7" ht="12.2" customHeight="1">
      <c r="D126" s="166" t="s">
        <v>1135</v>
      </c>
      <c r="E126" s="167"/>
      <c r="F126" s="167"/>
      <c r="G126" s="43">
        <v>149.642</v>
      </c>
    </row>
    <row r="127" spans="1:8" ht="12.2" customHeight="1">
      <c r="A127" s="4"/>
      <c r="B127" s="4"/>
      <c r="C127" s="4"/>
      <c r="D127" s="166" t="s">
        <v>1136</v>
      </c>
      <c r="E127" s="167"/>
      <c r="F127" s="166"/>
      <c r="G127" s="65">
        <v>59.327</v>
      </c>
      <c r="H127" s="25"/>
    </row>
    <row r="128" spans="1:8" ht="12.75">
      <c r="A128" s="4" t="s">
        <v>56</v>
      </c>
      <c r="B128" s="4" t="s">
        <v>1024</v>
      </c>
      <c r="C128" s="4" t="s">
        <v>361</v>
      </c>
      <c r="D128" s="153" t="s">
        <v>694</v>
      </c>
      <c r="E128" s="154"/>
      <c r="F128" s="4" t="s">
        <v>991</v>
      </c>
      <c r="G128" s="64">
        <v>1</v>
      </c>
      <c r="H128" s="14">
        <v>0</v>
      </c>
    </row>
    <row r="129" spans="1:8" ht="12.75">
      <c r="A129" s="4" t="s">
        <v>57</v>
      </c>
      <c r="B129" s="4" t="s">
        <v>1024</v>
      </c>
      <c r="C129" s="4" t="s">
        <v>362</v>
      </c>
      <c r="D129" s="153" t="s">
        <v>695</v>
      </c>
      <c r="E129" s="154"/>
      <c r="F129" s="4" t="s">
        <v>993</v>
      </c>
      <c r="G129" s="64">
        <v>9.5</v>
      </c>
      <c r="H129" s="14">
        <v>0</v>
      </c>
    </row>
    <row r="130" spans="4:7" ht="12.2" customHeight="1">
      <c r="D130" s="166" t="s">
        <v>1137</v>
      </c>
      <c r="E130" s="167"/>
      <c r="F130" s="167"/>
      <c r="G130" s="43">
        <v>9.5</v>
      </c>
    </row>
    <row r="131" spans="1:8" ht="12.75">
      <c r="A131" s="4" t="s">
        <v>58</v>
      </c>
      <c r="B131" s="4" t="s">
        <v>1024</v>
      </c>
      <c r="C131" s="4" t="s">
        <v>363</v>
      </c>
      <c r="D131" s="153" t="s">
        <v>696</v>
      </c>
      <c r="E131" s="154"/>
      <c r="F131" s="4" t="s">
        <v>993</v>
      </c>
      <c r="G131" s="64">
        <v>967.602</v>
      </c>
      <c r="H131" s="14">
        <v>0</v>
      </c>
    </row>
    <row r="132" spans="4:7" ht="12.2" customHeight="1">
      <c r="D132" s="166" t="s">
        <v>1138</v>
      </c>
      <c r="E132" s="167"/>
      <c r="F132" s="167"/>
      <c r="G132" s="43">
        <v>967.602</v>
      </c>
    </row>
    <row r="133" spans="1:8" ht="12.75">
      <c r="A133" s="4" t="s">
        <v>59</v>
      </c>
      <c r="B133" s="4" t="s">
        <v>1024</v>
      </c>
      <c r="C133" s="4" t="s">
        <v>364</v>
      </c>
      <c r="D133" s="153" t="s">
        <v>697</v>
      </c>
      <c r="E133" s="154"/>
      <c r="F133" s="4" t="s">
        <v>993</v>
      </c>
      <c r="G133" s="64">
        <v>167.156</v>
      </c>
      <c r="H133" s="14">
        <v>0</v>
      </c>
    </row>
    <row r="134" spans="4:7" ht="12.2" customHeight="1">
      <c r="D134" s="166" t="s">
        <v>1139</v>
      </c>
      <c r="E134" s="167"/>
      <c r="F134" s="167"/>
      <c r="G134" s="43">
        <v>167.156</v>
      </c>
    </row>
    <row r="135" spans="1:8" ht="12.75">
      <c r="A135" s="4" t="s">
        <v>60</v>
      </c>
      <c r="B135" s="4" t="s">
        <v>1024</v>
      </c>
      <c r="C135" s="4" t="s">
        <v>365</v>
      </c>
      <c r="D135" s="153" t="s">
        <v>698</v>
      </c>
      <c r="E135" s="154"/>
      <c r="F135" s="4" t="s">
        <v>995</v>
      </c>
      <c r="G135" s="64">
        <v>60</v>
      </c>
      <c r="H135" s="14">
        <v>0</v>
      </c>
    </row>
    <row r="136" spans="4:7" ht="12.2" customHeight="1">
      <c r="D136" s="166" t="s">
        <v>1140</v>
      </c>
      <c r="E136" s="167"/>
      <c r="F136" s="167"/>
      <c r="G136" s="43">
        <v>60</v>
      </c>
    </row>
    <row r="137" spans="1:8" ht="12.75">
      <c r="A137" s="4" t="s">
        <v>61</v>
      </c>
      <c r="B137" s="4" t="s">
        <v>1024</v>
      </c>
      <c r="C137" s="4" t="s">
        <v>366</v>
      </c>
      <c r="D137" s="153" t="s">
        <v>699</v>
      </c>
      <c r="E137" s="154"/>
      <c r="F137" s="4" t="s">
        <v>993</v>
      </c>
      <c r="G137" s="64">
        <v>167.156</v>
      </c>
      <c r="H137" s="14">
        <v>0</v>
      </c>
    </row>
    <row r="138" spans="4:7" ht="12.2" customHeight="1">
      <c r="D138" s="166" t="s">
        <v>1139</v>
      </c>
      <c r="E138" s="167"/>
      <c r="F138" s="167"/>
      <c r="G138" s="43">
        <v>167.156</v>
      </c>
    </row>
    <row r="139" spans="1:8" ht="12.75">
      <c r="A139" s="4" t="s">
        <v>62</v>
      </c>
      <c r="B139" s="4" t="s">
        <v>1024</v>
      </c>
      <c r="C139" s="4" t="s">
        <v>367</v>
      </c>
      <c r="D139" s="153" t="s">
        <v>700</v>
      </c>
      <c r="E139" s="154"/>
      <c r="F139" s="4" t="s">
        <v>993</v>
      </c>
      <c r="G139" s="64">
        <v>129.841</v>
      </c>
      <c r="H139" s="14">
        <v>0</v>
      </c>
    </row>
    <row r="140" spans="4:7" ht="12.2" customHeight="1">
      <c r="D140" s="166" t="s">
        <v>1141</v>
      </c>
      <c r="E140" s="167"/>
      <c r="F140" s="167"/>
      <c r="G140" s="43">
        <v>15.882</v>
      </c>
    </row>
    <row r="141" spans="1:8" ht="12.2" customHeight="1">
      <c r="A141" s="4"/>
      <c r="B141" s="4"/>
      <c r="C141" s="4"/>
      <c r="D141" s="166" t="s">
        <v>1142</v>
      </c>
      <c r="E141" s="167"/>
      <c r="F141" s="166"/>
      <c r="G141" s="65">
        <v>20.009</v>
      </c>
      <c r="H141" s="25"/>
    </row>
    <row r="142" spans="1:8" ht="12.2" customHeight="1">
      <c r="A142" s="4"/>
      <c r="B142" s="4"/>
      <c r="C142" s="4"/>
      <c r="D142" s="166" t="s">
        <v>1143</v>
      </c>
      <c r="E142" s="167"/>
      <c r="F142" s="166"/>
      <c r="G142" s="65">
        <v>39.277</v>
      </c>
      <c r="H142" s="25"/>
    </row>
    <row r="143" spans="1:8" ht="12.2" customHeight="1">
      <c r="A143" s="4"/>
      <c r="B143" s="4"/>
      <c r="C143" s="4"/>
      <c r="D143" s="166" t="s">
        <v>1144</v>
      </c>
      <c r="E143" s="167"/>
      <c r="F143" s="166"/>
      <c r="G143" s="65">
        <v>13.83</v>
      </c>
      <c r="H143" s="25"/>
    </row>
    <row r="144" spans="1:8" ht="12.2" customHeight="1">
      <c r="A144" s="4"/>
      <c r="B144" s="4"/>
      <c r="C144" s="4"/>
      <c r="D144" s="166" t="s">
        <v>1145</v>
      </c>
      <c r="E144" s="167"/>
      <c r="F144" s="166"/>
      <c r="G144" s="65">
        <v>36.568</v>
      </c>
      <c r="H144" s="25"/>
    </row>
    <row r="145" spans="1:8" ht="12.2" customHeight="1">
      <c r="A145" s="4"/>
      <c r="B145" s="4"/>
      <c r="C145" s="4"/>
      <c r="D145" s="166" t="s">
        <v>1146</v>
      </c>
      <c r="E145" s="167"/>
      <c r="F145" s="166"/>
      <c r="G145" s="65">
        <v>4.275</v>
      </c>
      <c r="H145" s="25"/>
    </row>
    <row r="146" spans="1:8" ht="12.75">
      <c r="A146" s="4" t="s">
        <v>63</v>
      </c>
      <c r="B146" s="4" t="s">
        <v>1024</v>
      </c>
      <c r="C146" s="4" t="s">
        <v>368</v>
      </c>
      <c r="D146" s="153" t="s">
        <v>701</v>
      </c>
      <c r="E146" s="154"/>
      <c r="F146" s="4" t="s">
        <v>993</v>
      </c>
      <c r="G146" s="64">
        <v>375.008</v>
      </c>
      <c r="H146" s="14">
        <v>0</v>
      </c>
    </row>
    <row r="147" spans="4:7" ht="12.2" customHeight="1">
      <c r="D147" s="166" t="s">
        <v>1147</v>
      </c>
      <c r="E147" s="167"/>
      <c r="F147" s="167"/>
      <c r="G147" s="43">
        <v>231.637</v>
      </c>
    </row>
    <row r="148" spans="1:8" ht="12.2" customHeight="1">
      <c r="A148" s="4"/>
      <c r="B148" s="4"/>
      <c r="C148" s="4"/>
      <c r="D148" s="166" t="s">
        <v>1148</v>
      </c>
      <c r="E148" s="167"/>
      <c r="F148" s="166"/>
      <c r="G148" s="65">
        <v>67.186</v>
      </c>
      <c r="H148" s="25"/>
    </row>
    <row r="149" spans="1:8" ht="12.2" customHeight="1">
      <c r="A149" s="4"/>
      <c r="B149" s="4"/>
      <c r="C149" s="4"/>
      <c r="D149" s="166" t="s">
        <v>1149</v>
      </c>
      <c r="E149" s="167"/>
      <c r="F149" s="166"/>
      <c r="G149" s="65">
        <v>76.185</v>
      </c>
      <c r="H149" s="25"/>
    </row>
    <row r="150" spans="1:8" ht="12.75">
      <c r="A150" s="4" t="s">
        <v>64</v>
      </c>
      <c r="B150" s="4" t="s">
        <v>1024</v>
      </c>
      <c r="C150" s="4" t="s">
        <v>368</v>
      </c>
      <c r="D150" s="153" t="s">
        <v>702</v>
      </c>
      <c r="E150" s="154"/>
      <c r="F150" s="4" t="s">
        <v>993</v>
      </c>
      <c r="G150" s="64">
        <v>264.897</v>
      </c>
      <c r="H150" s="14">
        <v>0</v>
      </c>
    </row>
    <row r="151" spans="4:7" ht="12.2" customHeight="1">
      <c r="D151" s="166" t="s">
        <v>1150</v>
      </c>
      <c r="E151" s="167"/>
      <c r="F151" s="167"/>
      <c r="G151" s="43">
        <v>112.768</v>
      </c>
    </row>
    <row r="152" spans="1:8" ht="12.2" customHeight="1">
      <c r="A152" s="4"/>
      <c r="B152" s="4"/>
      <c r="C152" s="4"/>
      <c r="D152" s="166" t="s">
        <v>1151</v>
      </c>
      <c r="E152" s="167"/>
      <c r="F152" s="166"/>
      <c r="G152" s="65">
        <v>95.406</v>
      </c>
      <c r="H152" s="25"/>
    </row>
    <row r="153" spans="1:8" ht="12.2" customHeight="1">
      <c r="A153" s="4"/>
      <c r="B153" s="4"/>
      <c r="C153" s="4"/>
      <c r="D153" s="166" t="s">
        <v>1152</v>
      </c>
      <c r="E153" s="167"/>
      <c r="F153" s="166"/>
      <c r="G153" s="65">
        <v>56.723</v>
      </c>
      <c r="H153" s="25"/>
    </row>
    <row r="154" spans="1:8" ht="12.75">
      <c r="A154" s="4" t="s">
        <v>65</v>
      </c>
      <c r="B154" s="4" t="s">
        <v>1024</v>
      </c>
      <c r="C154" s="4" t="s">
        <v>369</v>
      </c>
      <c r="D154" s="153" t="s">
        <v>703</v>
      </c>
      <c r="E154" s="154"/>
      <c r="F154" s="4" t="s">
        <v>993</v>
      </c>
      <c r="G154" s="64">
        <v>197.856</v>
      </c>
      <c r="H154" s="14">
        <v>0</v>
      </c>
    </row>
    <row r="155" spans="4:7" ht="12.2" customHeight="1">
      <c r="D155" s="166" t="s">
        <v>1153</v>
      </c>
      <c r="E155" s="167"/>
      <c r="F155" s="167"/>
      <c r="G155" s="43">
        <v>100.801</v>
      </c>
    </row>
    <row r="156" spans="1:8" ht="12.2" customHeight="1">
      <c r="A156" s="4"/>
      <c r="B156" s="4"/>
      <c r="C156" s="4"/>
      <c r="D156" s="166" t="s">
        <v>1154</v>
      </c>
      <c r="E156" s="167"/>
      <c r="F156" s="166"/>
      <c r="G156" s="65">
        <v>97.055</v>
      </c>
      <c r="H156" s="25"/>
    </row>
    <row r="157" spans="1:8" ht="12.75">
      <c r="A157" s="4" t="s">
        <v>66</v>
      </c>
      <c r="B157" s="4" t="s">
        <v>1024</v>
      </c>
      <c r="C157" s="4" t="s">
        <v>370</v>
      </c>
      <c r="D157" s="153" t="s">
        <v>704</v>
      </c>
      <c r="E157" s="154"/>
      <c r="F157" s="4" t="s">
        <v>995</v>
      </c>
      <c r="G157" s="64">
        <v>37.75</v>
      </c>
      <c r="H157" s="14">
        <v>0</v>
      </c>
    </row>
    <row r="158" spans="4:7" ht="12.2" customHeight="1">
      <c r="D158" s="166" t="s">
        <v>1155</v>
      </c>
      <c r="E158" s="167"/>
      <c r="F158" s="167"/>
      <c r="G158" s="43">
        <v>37.75</v>
      </c>
    </row>
    <row r="159" spans="1:8" ht="12.75">
      <c r="A159" s="4" t="s">
        <v>67</v>
      </c>
      <c r="B159" s="4" t="s">
        <v>1024</v>
      </c>
      <c r="C159" s="4" t="s">
        <v>371</v>
      </c>
      <c r="D159" s="153" t="s">
        <v>705</v>
      </c>
      <c r="E159" s="154"/>
      <c r="F159" s="4" t="s">
        <v>993</v>
      </c>
      <c r="G159" s="64">
        <v>1134.758</v>
      </c>
      <c r="H159" s="14">
        <v>0</v>
      </c>
    </row>
    <row r="160" spans="4:7" ht="12.2" customHeight="1">
      <c r="D160" s="166" t="s">
        <v>1156</v>
      </c>
      <c r="E160" s="167"/>
      <c r="F160" s="167"/>
      <c r="G160" s="43">
        <v>1134.758</v>
      </c>
    </row>
    <row r="161" spans="1:8" ht="12.75">
      <c r="A161" s="4" t="s">
        <v>68</v>
      </c>
      <c r="B161" s="4" t="s">
        <v>1024</v>
      </c>
      <c r="C161" s="4" t="s">
        <v>372</v>
      </c>
      <c r="D161" s="153" t="s">
        <v>706</v>
      </c>
      <c r="E161" s="154"/>
      <c r="F161" s="4" t="s">
        <v>995</v>
      </c>
      <c r="G161" s="64">
        <v>380.48</v>
      </c>
      <c r="H161" s="14">
        <v>0</v>
      </c>
    </row>
    <row r="162" spans="4:7" ht="12.2" customHeight="1">
      <c r="D162" s="166" t="s">
        <v>1157</v>
      </c>
      <c r="E162" s="167"/>
      <c r="F162" s="167"/>
      <c r="G162" s="43">
        <v>247.5</v>
      </c>
    </row>
    <row r="163" spans="1:8" ht="12.2" customHeight="1">
      <c r="A163" s="4"/>
      <c r="B163" s="4"/>
      <c r="C163" s="4"/>
      <c r="D163" s="166" t="s">
        <v>1158</v>
      </c>
      <c r="E163" s="167"/>
      <c r="F163" s="166"/>
      <c r="G163" s="65">
        <v>132.98</v>
      </c>
      <c r="H163" s="25"/>
    </row>
    <row r="164" spans="1:8" ht="12.75">
      <c r="A164" s="4" t="s">
        <v>69</v>
      </c>
      <c r="B164" s="4" t="s">
        <v>1024</v>
      </c>
      <c r="C164" s="4" t="s">
        <v>373</v>
      </c>
      <c r="D164" s="153" t="s">
        <v>707</v>
      </c>
      <c r="E164" s="154"/>
      <c r="F164" s="4" t="s">
        <v>995</v>
      </c>
      <c r="G164" s="64">
        <v>93.15</v>
      </c>
      <c r="H164" s="14">
        <v>0</v>
      </c>
    </row>
    <row r="165" spans="4:7" ht="12.2" customHeight="1">
      <c r="D165" s="166" t="s">
        <v>1159</v>
      </c>
      <c r="E165" s="167"/>
      <c r="F165" s="167"/>
      <c r="G165" s="43">
        <v>59.5</v>
      </c>
    </row>
    <row r="166" spans="1:8" ht="12.2" customHeight="1">
      <c r="A166" s="4"/>
      <c r="B166" s="4"/>
      <c r="C166" s="4"/>
      <c r="D166" s="166" t="s">
        <v>1160</v>
      </c>
      <c r="E166" s="167"/>
      <c r="F166" s="166"/>
      <c r="G166" s="65">
        <v>33.65</v>
      </c>
      <c r="H166" s="25"/>
    </row>
    <row r="167" spans="1:8" ht="12.75">
      <c r="A167" s="4" t="s">
        <v>70</v>
      </c>
      <c r="B167" s="4" t="s">
        <v>1024</v>
      </c>
      <c r="C167" s="4" t="s">
        <v>374</v>
      </c>
      <c r="D167" s="153" t="s">
        <v>708</v>
      </c>
      <c r="E167" s="154"/>
      <c r="F167" s="4" t="s">
        <v>993</v>
      </c>
      <c r="G167" s="64">
        <v>693.823</v>
      </c>
      <c r="H167" s="14">
        <v>0</v>
      </c>
    </row>
    <row r="168" spans="4:7" ht="12.2" customHeight="1">
      <c r="D168" s="166" t="s">
        <v>1161</v>
      </c>
      <c r="E168" s="167"/>
      <c r="F168" s="167"/>
      <c r="G168" s="43">
        <v>693.823</v>
      </c>
    </row>
    <row r="169" spans="1:8" ht="12.75">
      <c r="A169" s="4" t="s">
        <v>71</v>
      </c>
      <c r="B169" s="4" t="s">
        <v>1024</v>
      </c>
      <c r="C169" s="4" t="s">
        <v>375</v>
      </c>
      <c r="D169" s="153" t="s">
        <v>709</v>
      </c>
      <c r="E169" s="154"/>
      <c r="F169" s="4" t="s">
        <v>995</v>
      </c>
      <c r="G169" s="64">
        <v>145</v>
      </c>
      <c r="H169" s="14">
        <v>0</v>
      </c>
    </row>
    <row r="170" spans="4:7" ht="12.2" customHeight="1">
      <c r="D170" s="166" t="s">
        <v>1162</v>
      </c>
      <c r="E170" s="167"/>
      <c r="F170" s="167"/>
      <c r="G170" s="43">
        <v>145</v>
      </c>
    </row>
    <row r="171" spans="1:8" ht="12.75">
      <c r="A171" s="4" t="s">
        <v>72</v>
      </c>
      <c r="B171" s="4" t="s">
        <v>1024</v>
      </c>
      <c r="C171" s="4" t="s">
        <v>376</v>
      </c>
      <c r="D171" s="153" t="s">
        <v>710</v>
      </c>
      <c r="E171" s="154"/>
      <c r="F171" s="4" t="s">
        <v>993</v>
      </c>
      <c r="G171" s="64">
        <v>1134.758</v>
      </c>
      <c r="H171" s="14">
        <v>0</v>
      </c>
    </row>
    <row r="172" spans="4:7" ht="12.2" customHeight="1">
      <c r="D172" s="166" t="s">
        <v>1163</v>
      </c>
      <c r="E172" s="167"/>
      <c r="F172" s="167"/>
      <c r="G172" s="43">
        <v>1134.758</v>
      </c>
    </row>
    <row r="173" spans="1:8" ht="12.75">
      <c r="A173" s="4" t="s">
        <v>73</v>
      </c>
      <c r="B173" s="4" t="s">
        <v>1024</v>
      </c>
      <c r="C173" s="4" t="s">
        <v>377</v>
      </c>
      <c r="D173" s="153" t="s">
        <v>711</v>
      </c>
      <c r="E173" s="154"/>
      <c r="F173" s="4" t="s">
        <v>993</v>
      </c>
      <c r="G173" s="64">
        <v>1134.758</v>
      </c>
      <c r="H173" s="14">
        <v>0</v>
      </c>
    </row>
    <row r="174" spans="4:7" ht="12.2" customHeight="1">
      <c r="D174" s="166" t="s">
        <v>1163</v>
      </c>
      <c r="E174" s="167"/>
      <c r="F174" s="167"/>
      <c r="G174" s="43">
        <v>1134.758</v>
      </c>
    </row>
    <row r="175" spans="1:8" ht="12.75">
      <c r="A175" s="4" t="s">
        <v>74</v>
      </c>
      <c r="B175" s="4" t="s">
        <v>1024</v>
      </c>
      <c r="C175" s="4" t="s">
        <v>378</v>
      </c>
      <c r="D175" s="153" t="s">
        <v>712</v>
      </c>
      <c r="E175" s="154"/>
      <c r="F175" s="4" t="s">
        <v>993</v>
      </c>
      <c r="G175" s="64">
        <v>340.427</v>
      </c>
      <c r="H175" s="14">
        <v>0</v>
      </c>
    </row>
    <row r="176" spans="4:7" ht="12.2" customHeight="1">
      <c r="D176" s="166" t="s">
        <v>1164</v>
      </c>
      <c r="E176" s="167"/>
      <c r="F176" s="167"/>
      <c r="G176" s="43">
        <v>340.427</v>
      </c>
    </row>
    <row r="177" spans="1:8" ht="12.75">
      <c r="A177" s="4" t="s">
        <v>75</v>
      </c>
      <c r="B177" s="4" t="s">
        <v>1024</v>
      </c>
      <c r="C177" s="4" t="s">
        <v>379</v>
      </c>
      <c r="D177" s="153" t="s">
        <v>713</v>
      </c>
      <c r="E177" s="154"/>
      <c r="F177" s="4" t="s">
        <v>993</v>
      </c>
      <c r="G177" s="64">
        <v>567.379</v>
      </c>
      <c r="H177" s="14">
        <v>0</v>
      </c>
    </row>
    <row r="178" spans="4:7" ht="12.2" customHeight="1">
      <c r="D178" s="166" t="s">
        <v>1165</v>
      </c>
      <c r="E178" s="167"/>
      <c r="F178" s="167"/>
      <c r="G178" s="43">
        <v>567.379</v>
      </c>
    </row>
    <row r="179" spans="1:8" ht="12.75">
      <c r="A179" s="11"/>
      <c r="B179" s="11"/>
      <c r="C179" s="11" t="s">
        <v>69</v>
      </c>
      <c r="D179" s="151" t="s">
        <v>939</v>
      </c>
      <c r="E179" s="152"/>
      <c r="F179" s="11"/>
      <c r="G179" s="66"/>
      <c r="H179" s="24"/>
    </row>
    <row r="180" spans="1:8" ht="12.75">
      <c r="A180" s="4" t="s">
        <v>76</v>
      </c>
      <c r="B180" s="4" t="s">
        <v>1025</v>
      </c>
      <c r="C180" s="4" t="s">
        <v>596</v>
      </c>
      <c r="D180" s="153" t="s">
        <v>940</v>
      </c>
      <c r="E180" s="154"/>
      <c r="F180" s="4" t="s">
        <v>993</v>
      </c>
      <c r="G180" s="64">
        <v>75.5</v>
      </c>
      <c r="H180" s="14">
        <v>0</v>
      </c>
    </row>
    <row r="181" spans="4:7" ht="12.2" customHeight="1">
      <c r="D181" s="166" t="s">
        <v>1166</v>
      </c>
      <c r="E181" s="167"/>
      <c r="F181" s="167"/>
      <c r="G181" s="43">
        <v>75.5</v>
      </c>
    </row>
    <row r="182" spans="1:8" ht="12.75">
      <c r="A182" s="11"/>
      <c r="B182" s="11"/>
      <c r="C182" s="11" t="s">
        <v>70</v>
      </c>
      <c r="D182" s="151" t="s">
        <v>714</v>
      </c>
      <c r="E182" s="152"/>
      <c r="F182" s="11"/>
      <c r="G182" s="66"/>
      <c r="H182" s="24"/>
    </row>
    <row r="183" spans="1:8" ht="12.75">
      <c r="A183" s="4" t="s">
        <v>77</v>
      </c>
      <c r="B183" s="4" t="s">
        <v>1024</v>
      </c>
      <c r="C183" s="4" t="s">
        <v>380</v>
      </c>
      <c r="D183" s="153" t="s">
        <v>715</v>
      </c>
      <c r="E183" s="154"/>
      <c r="F183" s="4" t="s">
        <v>995</v>
      </c>
      <c r="G183" s="64">
        <v>19.5</v>
      </c>
      <c r="H183" s="14">
        <v>0</v>
      </c>
    </row>
    <row r="184" spans="4:7" ht="12.2" customHeight="1">
      <c r="D184" s="166" t="s">
        <v>1167</v>
      </c>
      <c r="E184" s="167"/>
      <c r="F184" s="167"/>
      <c r="G184" s="43">
        <v>19.5</v>
      </c>
    </row>
    <row r="185" spans="1:8" ht="12.75">
      <c r="A185" s="4" t="s">
        <v>78</v>
      </c>
      <c r="B185" s="4" t="s">
        <v>1024</v>
      </c>
      <c r="C185" s="4" t="s">
        <v>381</v>
      </c>
      <c r="D185" s="153" t="s">
        <v>716</v>
      </c>
      <c r="E185" s="154"/>
      <c r="F185" s="4" t="s">
        <v>995</v>
      </c>
      <c r="G185" s="64">
        <v>2.6</v>
      </c>
      <c r="H185" s="14">
        <v>0</v>
      </c>
    </row>
    <row r="186" spans="4:7" ht="12.2" customHeight="1">
      <c r="D186" s="166" t="s">
        <v>1168</v>
      </c>
      <c r="E186" s="167"/>
      <c r="F186" s="167"/>
      <c r="G186" s="43">
        <v>2.6</v>
      </c>
    </row>
    <row r="187" spans="1:8" ht="12.75">
      <c r="A187" s="4" t="s">
        <v>79</v>
      </c>
      <c r="B187" s="4" t="s">
        <v>1024</v>
      </c>
      <c r="C187" s="4" t="s">
        <v>382</v>
      </c>
      <c r="D187" s="153" t="s">
        <v>717</v>
      </c>
      <c r="E187" s="154"/>
      <c r="F187" s="4" t="s">
        <v>995</v>
      </c>
      <c r="G187" s="64">
        <v>4.5</v>
      </c>
      <c r="H187" s="14">
        <v>0</v>
      </c>
    </row>
    <row r="188" spans="4:7" ht="12.2" customHeight="1">
      <c r="D188" s="166" t="s">
        <v>1169</v>
      </c>
      <c r="E188" s="167"/>
      <c r="F188" s="167"/>
      <c r="G188" s="43">
        <v>4.5</v>
      </c>
    </row>
    <row r="189" spans="1:8" ht="12.75">
      <c r="A189" s="4" t="s">
        <v>80</v>
      </c>
      <c r="B189" s="4" t="s">
        <v>1024</v>
      </c>
      <c r="C189" s="4" t="s">
        <v>383</v>
      </c>
      <c r="D189" s="153" t="s">
        <v>718</v>
      </c>
      <c r="E189" s="154"/>
      <c r="F189" s="4" t="s">
        <v>995</v>
      </c>
      <c r="G189" s="64">
        <v>7.75</v>
      </c>
      <c r="H189" s="14">
        <v>0</v>
      </c>
    </row>
    <row r="190" spans="4:7" ht="12.2" customHeight="1">
      <c r="D190" s="166" t="s">
        <v>1170</v>
      </c>
      <c r="E190" s="167"/>
      <c r="F190" s="167"/>
      <c r="G190" s="43">
        <v>7.75</v>
      </c>
    </row>
    <row r="191" spans="1:8" ht="12.75">
      <c r="A191" s="4" t="s">
        <v>81</v>
      </c>
      <c r="B191" s="4" t="s">
        <v>1024</v>
      </c>
      <c r="C191" s="4" t="s">
        <v>384</v>
      </c>
      <c r="D191" s="153" t="s">
        <v>719</v>
      </c>
      <c r="E191" s="154"/>
      <c r="F191" s="4" t="s">
        <v>995</v>
      </c>
      <c r="G191" s="64">
        <v>3.4</v>
      </c>
      <c r="H191" s="14">
        <v>0</v>
      </c>
    </row>
    <row r="192" spans="4:7" ht="12.2" customHeight="1">
      <c r="D192" s="166" t="s">
        <v>1171</v>
      </c>
      <c r="E192" s="167"/>
      <c r="F192" s="167"/>
      <c r="G192" s="43">
        <v>3.4</v>
      </c>
    </row>
    <row r="193" spans="1:8" ht="12.75">
      <c r="A193" s="11"/>
      <c r="B193" s="11"/>
      <c r="C193" s="11" t="s">
        <v>100</v>
      </c>
      <c r="D193" s="151" t="s">
        <v>720</v>
      </c>
      <c r="E193" s="152"/>
      <c r="F193" s="11"/>
      <c r="G193" s="66"/>
      <c r="H193" s="24"/>
    </row>
    <row r="194" spans="1:8" ht="12.75">
      <c r="A194" s="4" t="s">
        <v>82</v>
      </c>
      <c r="B194" s="4" t="s">
        <v>1024</v>
      </c>
      <c r="C194" s="4" t="s">
        <v>385</v>
      </c>
      <c r="D194" s="153" t="s">
        <v>721</v>
      </c>
      <c r="E194" s="154"/>
      <c r="F194" s="4" t="s">
        <v>993</v>
      </c>
      <c r="G194" s="64">
        <v>1049.75</v>
      </c>
      <c r="H194" s="14">
        <v>0</v>
      </c>
    </row>
    <row r="195" spans="4:7" ht="12.2" customHeight="1">
      <c r="D195" s="166" t="s">
        <v>1172</v>
      </c>
      <c r="E195" s="167"/>
      <c r="F195" s="167"/>
      <c r="G195" s="43">
        <v>1049.75</v>
      </c>
    </row>
    <row r="196" spans="1:8" ht="12.75">
      <c r="A196" s="4" t="s">
        <v>83</v>
      </c>
      <c r="B196" s="4" t="s">
        <v>1024</v>
      </c>
      <c r="C196" s="4" t="s">
        <v>386</v>
      </c>
      <c r="D196" s="153" t="s">
        <v>722</v>
      </c>
      <c r="E196" s="154"/>
      <c r="F196" s="4" t="s">
        <v>993</v>
      </c>
      <c r="G196" s="64">
        <v>3149.25</v>
      </c>
      <c r="H196" s="14">
        <v>0</v>
      </c>
    </row>
    <row r="197" spans="4:7" ht="12.2" customHeight="1">
      <c r="D197" s="166" t="s">
        <v>1173</v>
      </c>
      <c r="E197" s="167"/>
      <c r="F197" s="167"/>
      <c r="G197" s="43">
        <v>3149.25</v>
      </c>
    </row>
    <row r="198" spans="1:8" ht="12.75">
      <c r="A198" s="4" t="s">
        <v>84</v>
      </c>
      <c r="B198" s="4" t="s">
        <v>1024</v>
      </c>
      <c r="C198" s="4" t="s">
        <v>387</v>
      </c>
      <c r="D198" s="153" t="s">
        <v>723</v>
      </c>
      <c r="E198" s="154"/>
      <c r="F198" s="4" t="s">
        <v>993</v>
      </c>
      <c r="G198" s="64">
        <v>1049.75</v>
      </c>
      <c r="H198" s="14">
        <v>0</v>
      </c>
    </row>
    <row r="199" spans="4:7" ht="12.2" customHeight="1">
      <c r="D199" s="166" t="s">
        <v>1174</v>
      </c>
      <c r="E199" s="167"/>
      <c r="F199" s="167"/>
      <c r="G199" s="43">
        <v>1049.75</v>
      </c>
    </row>
    <row r="200" spans="1:8" ht="12.75">
      <c r="A200" s="4" t="s">
        <v>85</v>
      </c>
      <c r="B200" s="4" t="s">
        <v>1024</v>
      </c>
      <c r="C200" s="4" t="s">
        <v>388</v>
      </c>
      <c r="D200" s="153" t="s">
        <v>724</v>
      </c>
      <c r="E200" s="154"/>
      <c r="F200" s="4" t="s">
        <v>993</v>
      </c>
      <c r="G200" s="64">
        <v>150</v>
      </c>
      <c r="H200" s="14">
        <v>0</v>
      </c>
    </row>
    <row r="201" spans="4:7" ht="12.2" customHeight="1">
      <c r="D201" s="166" t="s">
        <v>1175</v>
      </c>
      <c r="E201" s="167"/>
      <c r="F201" s="167"/>
      <c r="G201" s="43">
        <v>150</v>
      </c>
    </row>
    <row r="202" spans="1:8" ht="12.75">
      <c r="A202" s="4" t="s">
        <v>86</v>
      </c>
      <c r="B202" s="4" t="s">
        <v>1024</v>
      </c>
      <c r="C202" s="4" t="s">
        <v>389</v>
      </c>
      <c r="D202" s="153" t="s">
        <v>725</v>
      </c>
      <c r="E202" s="154"/>
      <c r="F202" s="4" t="s">
        <v>993</v>
      </c>
      <c r="G202" s="64">
        <v>1049.75</v>
      </c>
      <c r="H202" s="14">
        <v>0</v>
      </c>
    </row>
    <row r="203" spans="4:7" ht="12.2" customHeight="1">
      <c r="D203" s="166" t="s">
        <v>1174</v>
      </c>
      <c r="E203" s="167"/>
      <c r="F203" s="167"/>
      <c r="G203" s="43">
        <v>1049.75</v>
      </c>
    </row>
    <row r="204" spans="1:8" ht="12.75">
      <c r="A204" s="4" t="s">
        <v>87</v>
      </c>
      <c r="B204" s="4" t="s">
        <v>1024</v>
      </c>
      <c r="C204" s="4" t="s">
        <v>390</v>
      </c>
      <c r="D204" s="153" t="s">
        <v>726</v>
      </c>
      <c r="E204" s="154"/>
      <c r="F204" s="4" t="s">
        <v>993</v>
      </c>
      <c r="G204" s="64">
        <v>3149.25</v>
      </c>
      <c r="H204" s="14">
        <v>0</v>
      </c>
    </row>
    <row r="205" spans="4:7" ht="12.2" customHeight="1">
      <c r="D205" s="166" t="s">
        <v>1173</v>
      </c>
      <c r="E205" s="167"/>
      <c r="F205" s="167"/>
      <c r="G205" s="43">
        <v>3149.25</v>
      </c>
    </row>
    <row r="206" spans="1:8" ht="12.75">
      <c r="A206" s="4" t="s">
        <v>88</v>
      </c>
      <c r="B206" s="4" t="s">
        <v>1024</v>
      </c>
      <c r="C206" s="4" t="s">
        <v>391</v>
      </c>
      <c r="D206" s="153" t="s">
        <v>727</v>
      </c>
      <c r="E206" s="154"/>
      <c r="F206" s="4" t="s">
        <v>993</v>
      </c>
      <c r="G206" s="64">
        <v>1049.75</v>
      </c>
      <c r="H206" s="14">
        <v>0</v>
      </c>
    </row>
    <row r="207" spans="4:7" ht="12.2" customHeight="1">
      <c r="D207" s="166" t="s">
        <v>1174</v>
      </c>
      <c r="E207" s="167"/>
      <c r="F207" s="167"/>
      <c r="G207" s="43">
        <v>1049.75</v>
      </c>
    </row>
    <row r="208" spans="1:8" ht="12.75">
      <c r="A208" s="4" t="s">
        <v>89</v>
      </c>
      <c r="B208" s="4" t="s">
        <v>1024</v>
      </c>
      <c r="C208" s="4" t="s">
        <v>392</v>
      </c>
      <c r="D208" s="153" t="s">
        <v>728</v>
      </c>
      <c r="E208" s="154"/>
      <c r="F208" s="4" t="s">
        <v>996</v>
      </c>
      <c r="G208" s="64">
        <v>50</v>
      </c>
      <c r="H208" s="14">
        <v>0</v>
      </c>
    </row>
    <row r="209" spans="1:8" ht="12.75">
      <c r="A209" s="11"/>
      <c r="B209" s="11"/>
      <c r="C209" s="11" t="s">
        <v>101</v>
      </c>
      <c r="D209" s="151" t="s">
        <v>729</v>
      </c>
      <c r="E209" s="152"/>
      <c r="F209" s="11"/>
      <c r="G209" s="66"/>
      <c r="H209" s="24"/>
    </row>
    <row r="210" spans="1:8" ht="12.75">
      <c r="A210" s="4" t="s">
        <v>90</v>
      </c>
      <c r="B210" s="4" t="s">
        <v>1024</v>
      </c>
      <c r="C210" s="4" t="s">
        <v>393</v>
      </c>
      <c r="D210" s="153" t="s">
        <v>730</v>
      </c>
      <c r="E210" s="154"/>
      <c r="F210" s="4" t="s">
        <v>993</v>
      </c>
      <c r="G210" s="64">
        <v>208.969</v>
      </c>
      <c r="H210" s="14">
        <v>0</v>
      </c>
    </row>
    <row r="211" spans="4:7" ht="12.2" customHeight="1">
      <c r="D211" s="166" t="s">
        <v>1135</v>
      </c>
      <c r="E211" s="167"/>
      <c r="F211" s="167"/>
      <c r="G211" s="43">
        <v>149.642</v>
      </c>
    </row>
    <row r="212" spans="1:8" ht="12.2" customHeight="1">
      <c r="A212" s="4"/>
      <c r="B212" s="4"/>
      <c r="C212" s="4"/>
      <c r="D212" s="166" t="s">
        <v>1136</v>
      </c>
      <c r="E212" s="167"/>
      <c r="F212" s="166"/>
      <c r="G212" s="65">
        <v>59.327</v>
      </c>
      <c r="H212" s="25"/>
    </row>
    <row r="213" spans="1:8" ht="12.75">
      <c r="A213" s="4" t="s">
        <v>91</v>
      </c>
      <c r="B213" s="4" t="s">
        <v>1024</v>
      </c>
      <c r="C213" s="4" t="s">
        <v>394</v>
      </c>
      <c r="D213" s="153" t="s">
        <v>731</v>
      </c>
      <c r="E213" s="154"/>
      <c r="F213" s="4" t="s">
        <v>991</v>
      </c>
      <c r="G213" s="64">
        <v>5</v>
      </c>
      <c r="H213" s="14">
        <v>0</v>
      </c>
    </row>
    <row r="214" spans="4:7" ht="12.2" customHeight="1">
      <c r="D214" s="166" t="s">
        <v>1176</v>
      </c>
      <c r="E214" s="167"/>
      <c r="F214" s="167"/>
      <c r="G214" s="43">
        <v>5</v>
      </c>
    </row>
    <row r="215" spans="1:8" ht="12.75">
      <c r="A215" s="4" t="s">
        <v>92</v>
      </c>
      <c r="B215" s="4" t="s">
        <v>1024</v>
      </c>
      <c r="C215" s="4" t="s">
        <v>395</v>
      </c>
      <c r="D215" s="153" t="s">
        <v>732</v>
      </c>
      <c r="E215" s="154"/>
      <c r="F215" s="4" t="s">
        <v>991</v>
      </c>
      <c r="G215" s="64">
        <v>2</v>
      </c>
      <c r="H215" s="14">
        <v>0</v>
      </c>
    </row>
    <row r="216" spans="4:7" ht="12.2" customHeight="1">
      <c r="D216" s="166" t="s">
        <v>1177</v>
      </c>
      <c r="E216" s="167"/>
      <c r="F216" s="167"/>
      <c r="G216" s="43">
        <v>2</v>
      </c>
    </row>
    <row r="217" spans="1:8" ht="12.75">
      <c r="A217" s="4" t="s">
        <v>93</v>
      </c>
      <c r="B217" s="4" t="s">
        <v>1024</v>
      </c>
      <c r="C217" s="4" t="s">
        <v>396</v>
      </c>
      <c r="D217" s="153" t="s">
        <v>733</v>
      </c>
      <c r="E217" s="154"/>
      <c r="F217" s="4" t="s">
        <v>993</v>
      </c>
      <c r="G217" s="64">
        <v>260</v>
      </c>
      <c r="H217" s="14">
        <v>0</v>
      </c>
    </row>
    <row r="218" spans="4:7" ht="12.2" customHeight="1">
      <c r="D218" s="166" t="s">
        <v>1178</v>
      </c>
      <c r="E218" s="167"/>
      <c r="F218" s="167"/>
      <c r="G218" s="43">
        <v>260</v>
      </c>
    </row>
    <row r="219" spans="1:8" ht="12.75">
      <c r="A219" s="4" t="s">
        <v>94</v>
      </c>
      <c r="B219" s="4" t="s">
        <v>1025</v>
      </c>
      <c r="C219" s="4" t="s">
        <v>597</v>
      </c>
      <c r="D219" s="153" t="s">
        <v>941</v>
      </c>
      <c r="E219" s="154"/>
      <c r="F219" s="4" t="s">
        <v>991</v>
      </c>
      <c r="G219" s="64">
        <v>1</v>
      </c>
      <c r="H219" s="14">
        <v>0</v>
      </c>
    </row>
    <row r="220" spans="4:7" ht="12.2" customHeight="1">
      <c r="D220" s="166" t="s">
        <v>1094</v>
      </c>
      <c r="E220" s="167"/>
      <c r="F220" s="167"/>
      <c r="G220" s="43">
        <v>1</v>
      </c>
    </row>
    <row r="221" spans="1:8" ht="12.75">
      <c r="A221" s="4" t="s">
        <v>95</v>
      </c>
      <c r="B221" s="4" t="s">
        <v>1024</v>
      </c>
      <c r="C221" s="4" t="s">
        <v>397</v>
      </c>
      <c r="D221" s="153" t="s">
        <v>734</v>
      </c>
      <c r="E221" s="154"/>
      <c r="F221" s="4" t="s">
        <v>996</v>
      </c>
      <c r="G221" s="64">
        <v>250</v>
      </c>
      <c r="H221" s="14">
        <v>0</v>
      </c>
    </row>
    <row r="222" spans="4:7" ht="12.2" customHeight="1">
      <c r="D222" s="166" t="s">
        <v>1179</v>
      </c>
      <c r="E222" s="167"/>
      <c r="F222" s="167"/>
      <c r="G222" s="43">
        <v>250</v>
      </c>
    </row>
    <row r="223" spans="1:8" ht="12.75">
      <c r="A223" s="4" t="s">
        <v>96</v>
      </c>
      <c r="B223" s="4" t="s">
        <v>1024</v>
      </c>
      <c r="C223" s="4" t="s">
        <v>398</v>
      </c>
      <c r="D223" s="153" t="s">
        <v>735</v>
      </c>
      <c r="E223" s="154"/>
      <c r="F223" s="4" t="s">
        <v>991</v>
      </c>
      <c r="G223" s="64">
        <v>4</v>
      </c>
      <c r="H223" s="14">
        <v>0</v>
      </c>
    </row>
    <row r="224" spans="4:7" ht="12.2" customHeight="1">
      <c r="D224" s="166" t="s">
        <v>1120</v>
      </c>
      <c r="E224" s="167"/>
      <c r="F224" s="167"/>
      <c r="G224" s="43">
        <v>4</v>
      </c>
    </row>
    <row r="225" spans="1:8" ht="12.75">
      <c r="A225" s="4" t="s">
        <v>97</v>
      </c>
      <c r="B225" s="4" t="s">
        <v>1024</v>
      </c>
      <c r="C225" s="4" t="s">
        <v>399</v>
      </c>
      <c r="D225" s="153" t="s">
        <v>736</v>
      </c>
      <c r="E225" s="154"/>
      <c r="F225" s="4" t="s">
        <v>991</v>
      </c>
      <c r="G225" s="64">
        <v>4</v>
      </c>
      <c r="H225" s="14">
        <v>0</v>
      </c>
    </row>
    <row r="226" spans="4:7" ht="12.2" customHeight="1">
      <c r="D226" s="166" t="s">
        <v>1120</v>
      </c>
      <c r="E226" s="167"/>
      <c r="F226" s="167"/>
      <c r="G226" s="43">
        <v>4</v>
      </c>
    </row>
    <row r="227" spans="1:8" ht="12.75">
      <c r="A227" s="4" t="s">
        <v>98</v>
      </c>
      <c r="B227" s="4" t="s">
        <v>1024</v>
      </c>
      <c r="C227" s="4" t="s">
        <v>400</v>
      </c>
      <c r="D227" s="153" t="s">
        <v>737</v>
      </c>
      <c r="E227" s="154"/>
      <c r="F227" s="4" t="s">
        <v>991</v>
      </c>
      <c r="G227" s="64">
        <v>1</v>
      </c>
      <c r="H227" s="14">
        <v>0</v>
      </c>
    </row>
    <row r="228" spans="4:7" ht="12.2" customHeight="1">
      <c r="D228" s="166" t="s">
        <v>1094</v>
      </c>
      <c r="E228" s="167"/>
      <c r="F228" s="167"/>
      <c r="G228" s="43">
        <v>1</v>
      </c>
    </row>
    <row r="229" spans="1:8" ht="12.75">
      <c r="A229" s="4" t="s">
        <v>99</v>
      </c>
      <c r="B229" s="4" t="s">
        <v>1024</v>
      </c>
      <c r="C229" s="4" t="s">
        <v>401</v>
      </c>
      <c r="D229" s="153" t="s">
        <v>738</v>
      </c>
      <c r="E229" s="154"/>
      <c r="F229" s="4" t="s">
        <v>991</v>
      </c>
      <c r="G229" s="64">
        <v>1</v>
      </c>
      <c r="H229" s="14">
        <v>0</v>
      </c>
    </row>
    <row r="230" spans="4:7" ht="12.2" customHeight="1">
      <c r="D230" s="166" t="s">
        <v>1094</v>
      </c>
      <c r="E230" s="167"/>
      <c r="F230" s="167"/>
      <c r="G230" s="43">
        <v>1</v>
      </c>
    </row>
    <row r="231" spans="1:8" ht="12.75">
      <c r="A231" s="4" t="s">
        <v>100</v>
      </c>
      <c r="B231" s="4" t="s">
        <v>1024</v>
      </c>
      <c r="C231" s="4" t="s">
        <v>402</v>
      </c>
      <c r="D231" s="153" t="s">
        <v>739</v>
      </c>
      <c r="E231" s="154"/>
      <c r="F231" s="4" t="s">
        <v>991</v>
      </c>
      <c r="G231" s="64">
        <v>1</v>
      </c>
      <c r="H231" s="14">
        <v>0</v>
      </c>
    </row>
    <row r="232" spans="4:7" ht="12.2" customHeight="1">
      <c r="D232" s="166" t="s">
        <v>1094</v>
      </c>
      <c r="E232" s="167"/>
      <c r="F232" s="167"/>
      <c r="G232" s="43">
        <v>1</v>
      </c>
    </row>
    <row r="233" spans="1:8" ht="12.75">
      <c r="A233" s="4" t="s">
        <v>101</v>
      </c>
      <c r="B233" s="4" t="s">
        <v>1024</v>
      </c>
      <c r="C233" s="4" t="s">
        <v>403</v>
      </c>
      <c r="D233" s="153" t="s">
        <v>740</v>
      </c>
      <c r="E233" s="154"/>
      <c r="F233" s="4" t="s">
        <v>996</v>
      </c>
      <c r="G233" s="64">
        <v>16</v>
      </c>
      <c r="H233" s="14">
        <v>0</v>
      </c>
    </row>
    <row r="234" spans="1:8" ht="12.75">
      <c r="A234" s="11"/>
      <c r="B234" s="11"/>
      <c r="C234" s="11" t="s">
        <v>102</v>
      </c>
      <c r="D234" s="151" t="s">
        <v>741</v>
      </c>
      <c r="E234" s="152"/>
      <c r="F234" s="11"/>
      <c r="G234" s="66"/>
      <c r="H234" s="24"/>
    </row>
    <row r="235" spans="1:8" ht="12.75">
      <c r="A235" s="4" t="s">
        <v>102</v>
      </c>
      <c r="B235" s="4" t="s">
        <v>1024</v>
      </c>
      <c r="C235" s="4" t="s">
        <v>404</v>
      </c>
      <c r="D235" s="153" t="s">
        <v>742</v>
      </c>
      <c r="E235" s="154"/>
      <c r="F235" s="4" t="s">
        <v>992</v>
      </c>
      <c r="G235" s="64">
        <v>6.799</v>
      </c>
      <c r="H235" s="14">
        <v>0</v>
      </c>
    </row>
    <row r="236" spans="4:7" ht="12.2" customHeight="1">
      <c r="D236" s="166" t="s">
        <v>1180</v>
      </c>
      <c r="E236" s="167"/>
      <c r="F236" s="167"/>
      <c r="G236" s="43">
        <v>6.799</v>
      </c>
    </row>
    <row r="237" spans="1:8" ht="12.75">
      <c r="A237" s="4" t="s">
        <v>103</v>
      </c>
      <c r="B237" s="4" t="s">
        <v>1024</v>
      </c>
      <c r="C237" s="4" t="s">
        <v>405</v>
      </c>
      <c r="D237" s="153" t="s">
        <v>743</v>
      </c>
      <c r="E237" s="154"/>
      <c r="F237" s="4" t="s">
        <v>993</v>
      </c>
      <c r="G237" s="64">
        <v>132.083</v>
      </c>
      <c r="H237" s="14">
        <v>0</v>
      </c>
    </row>
    <row r="238" spans="4:7" ht="12.2" customHeight="1">
      <c r="D238" s="166" t="s">
        <v>1181</v>
      </c>
      <c r="E238" s="167"/>
      <c r="F238" s="167"/>
      <c r="G238" s="43">
        <v>132.083</v>
      </c>
    </row>
    <row r="239" spans="1:8" ht="12.75">
      <c r="A239" s="4" t="s">
        <v>104</v>
      </c>
      <c r="B239" s="4" t="s">
        <v>1024</v>
      </c>
      <c r="C239" s="4" t="s">
        <v>406</v>
      </c>
      <c r="D239" s="153" t="s">
        <v>744</v>
      </c>
      <c r="E239" s="154"/>
      <c r="F239" s="4" t="s">
        <v>992</v>
      </c>
      <c r="G239" s="64">
        <v>1.566</v>
      </c>
      <c r="H239" s="14">
        <v>0</v>
      </c>
    </row>
    <row r="240" spans="4:7" ht="12.2" customHeight="1">
      <c r="D240" s="166" t="s">
        <v>1182</v>
      </c>
      <c r="E240" s="167"/>
      <c r="F240" s="167"/>
      <c r="G240" s="43">
        <v>1.566</v>
      </c>
    </row>
    <row r="241" spans="1:8" ht="12.75">
      <c r="A241" s="4" t="s">
        <v>105</v>
      </c>
      <c r="B241" s="4" t="s">
        <v>1024</v>
      </c>
      <c r="C241" s="4" t="s">
        <v>407</v>
      </c>
      <c r="D241" s="153" t="s">
        <v>745</v>
      </c>
      <c r="E241" s="154"/>
      <c r="F241" s="4" t="s">
        <v>994</v>
      </c>
      <c r="G241" s="64">
        <v>1.127</v>
      </c>
      <c r="H241" s="14">
        <v>0</v>
      </c>
    </row>
    <row r="242" spans="4:7" ht="12.2" customHeight="1">
      <c r="D242" s="166" t="s">
        <v>1183</v>
      </c>
      <c r="E242" s="167"/>
      <c r="F242" s="167"/>
      <c r="G242" s="43">
        <v>1.127</v>
      </c>
    </row>
    <row r="243" spans="1:8" ht="12.75">
      <c r="A243" s="4" t="s">
        <v>106</v>
      </c>
      <c r="B243" s="4" t="s">
        <v>1025</v>
      </c>
      <c r="C243" s="4" t="s">
        <v>598</v>
      </c>
      <c r="D243" s="153" t="s">
        <v>942</v>
      </c>
      <c r="E243" s="154"/>
      <c r="F243" s="4" t="s">
        <v>997</v>
      </c>
      <c r="G243" s="64">
        <v>1</v>
      </c>
      <c r="H243" s="14">
        <v>0</v>
      </c>
    </row>
    <row r="244" spans="4:7" ht="12.2" customHeight="1">
      <c r="D244" s="166" t="s">
        <v>1094</v>
      </c>
      <c r="E244" s="167"/>
      <c r="F244" s="167"/>
      <c r="G244" s="43">
        <v>1</v>
      </c>
    </row>
    <row r="245" spans="1:8" ht="12.75">
      <c r="A245" s="4" t="s">
        <v>107</v>
      </c>
      <c r="B245" s="4" t="s">
        <v>1024</v>
      </c>
      <c r="C245" s="4" t="s">
        <v>408</v>
      </c>
      <c r="D245" s="153" t="s">
        <v>746</v>
      </c>
      <c r="E245" s="154"/>
      <c r="F245" s="4" t="s">
        <v>992</v>
      </c>
      <c r="G245" s="64">
        <v>5.08</v>
      </c>
      <c r="H245" s="14">
        <v>0</v>
      </c>
    </row>
    <row r="246" spans="4:7" ht="12.2" customHeight="1">
      <c r="D246" s="166" t="s">
        <v>1184</v>
      </c>
      <c r="E246" s="167"/>
      <c r="F246" s="167"/>
      <c r="G246" s="43">
        <v>5.08</v>
      </c>
    </row>
    <row r="247" spans="1:8" ht="12.75">
      <c r="A247" s="4" t="s">
        <v>108</v>
      </c>
      <c r="B247" s="4" t="s">
        <v>1024</v>
      </c>
      <c r="C247" s="4" t="s">
        <v>409</v>
      </c>
      <c r="D247" s="153" t="s">
        <v>747</v>
      </c>
      <c r="E247" s="154"/>
      <c r="F247" s="4" t="s">
        <v>992</v>
      </c>
      <c r="G247" s="64">
        <v>10.16</v>
      </c>
      <c r="H247" s="14">
        <v>0</v>
      </c>
    </row>
    <row r="248" spans="4:7" ht="12.2" customHeight="1">
      <c r="D248" s="166" t="s">
        <v>1185</v>
      </c>
      <c r="E248" s="167"/>
      <c r="F248" s="167"/>
      <c r="G248" s="43">
        <v>10.16</v>
      </c>
    </row>
    <row r="249" spans="1:8" ht="12.75">
      <c r="A249" s="4" t="s">
        <v>109</v>
      </c>
      <c r="B249" s="4" t="s">
        <v>1024</v>
      </c>
      <c r="C249" s="4" t="s">
        <v>410</v>
      </c>
      <c r="D249" s="153" t="s">
        <v>748</v>
      </c>
      <c r="E249" s="154"/>
      <c r="F249" s="4" t="s">
        <v>992</v>
      </c>
      <c r="G249" s="64">
        <v>10.16</v>
      </c>
      <c r="H249" s="14">
        <v>0</v>
      </c>
    </row>
    <row r="250" spans="4:7" ht="12.2" customHeight="1">
      <c r="D250" s="166" t="s">
        <v>1186</v>
      </c>
      <c r="E250" s="167"/>
      <c r="F250" s="167"/>
      <c r="G250" s="43">
        <v>10.16</v>
      </c>
    </row>
    <row r="251" spans="1:8" ht="12.75">
      <c r="A251" s="4" t="s">
        <v>110</v>
      </c>
      <c r="B251" s="4" t="s">
        <v>1024</v>
      </c>
      <c r="C251" s="4" t="s">
        <v>411</v>
      </c>
      <c r="D251" s="153" t="s">
        <v>749</v>
      </c>
      <c r="E251" s="154"/>
      <c r="F251" s="4" t="s">
        <v>995</v>
      </c>
      <c r="G251" s="64">
        <v>45.4</v>
      </c>
      <c r="H251" s="14">
        <v>0</v>
      </c>
    </row>
    <row r="252" spans="4:7" ht="12.2" customHeight="1">
      <c r="D252" s="166" t="s">
        <v>1187</v>
      </c>
      <c r="E252" s="167"/>
      <c r="F252" s="167"/>
      <c r="G252" s="43">
        <v>45.4</v>
      </c>
    </row>
    <row r="253" spans="1:8" ht="12.75">
      <c r="A253" s="4" t="s">
        <v>111</v>
      </c>
      <c r="B253" s="4" t="s">
        <v>1024</v>
      </c>
      <c r="C253" s="4" t="s">
        <v>412</v>
      </c>
      <c r="D253" s="153" t="s">
        <v>750</v>
      </c>
      <c r="E253" s="154"/>
      <c r="F253" s="4" t="s">
        <v>993</v>
      </c>
      <c r="G253" s="64">
        <v>132.083</v>
      </c>
      <c r="H253" s="14">
        <v>0</v>
      </c>
    </row>
    <row r="254" spans="4:7" ht="12.2" customHeight="1">
      <c r="D254" s="166" t="s">
        <v>1181</v>
      </c>
      <c r="E254" s="167"/>
      <c r="F254" s="167"/>
      <c r="G254" s="43">
        <v>132.083</v>
      </c>
    </row>
    <row r="255" spans="1:8" ht="12.75">
      <c r="A255" s="4" t="s">
        <v>112</v>
      </c>
      <c r="B255" s="4" t="s">
        <v>1024</v>
      </c>
      <c r="C255" s="4" t="s">
        <v>413</v>
      </c>
      <c r="D255" s="153" t="s">
        <v>751</v>
      </c>
      <c r="E255" s="154"/>
      <c r="F255" s="4" t="s">
        <v>995</v>
      </c>
      <c r="G255" s="64">
        <v>86.06</v>
      </c>
      <c r="H255" s="14">
        <v>0</v>
      </c>
    </row>
    <row r="256" spans="4:7" ht="12.2" customHeight="1">
      <c r="D256" s="166" t="s">
        <v>1188</v>
      </c>
      <c r="E256" s="167"/>
      <c r="F256" s="167"/>
      <c r="G256" s="43">
        <v>50.31</v>
      </c>
    </row>
    <row r="257" spans="1:8" ht="12.2" customHeight="1">
      <c r="A257" s="4"/>
      <c r="B257" s="4"/>
      <c r="C257" s="4"/>
      <c r="D257" s="166" t="s">
        <v>1189</v>
      </c>
      <c r="E257" s="167"/>
      <c r="F257" s="166"/>
      <c r="G257" s="65">
        <v>35.75</v>
      </c>
      <c r="H257" s="25"/>
    </row>
    <row r="258" spans="1:8" ht="12.75">
      <c r="A258" s="4" t="s">
        <v>113</v>
      </c>
      <c r="B258" s="4" t="s">
        <v>1024</v>
      </c>
      <c r="C258" s="4" t="s">
        <v>414</v>
      </c>
      <c r="D258" s="153" t="s">
        <v>752</v>
      </c>
      <c r="E258" s="154"/>
      <c r="F258" s="4" t="s">
        <v>991</v>
      </c>
      <c r="G258" s="64">
        <v>175</v>
      </c>
      <c r="H258" s="14">
        <v>0</v>
      </c>
    </row>
    <row r="259" spans="4:7" ht="12.2" customHeight="1">
      <c r="D259" s="166" t="s">
        <v>1190</v>
      </c>
      <c r="E259" s="167"/>
      <c r="F259" s="167"/>
      <c r="G259" s="43">
        <v>175</v>
      </c>
    </row>
    <row r="260" spans="1:8" ht="12.75">
      <c r="A260" s="4" t="s">
        <v>114</v>
      </c>
      <c r="B260" s="4" t="s">
        <v>1024</v>
      </c>
      <c r="C260" s="4" t="s">
        <v>415</v>
      </c>
      <c r="D260" s="153" t="s">
        <v>753</v>
      </c>
      <c r="E260" s="154"/>
      <c r="F260" s="4" t="s">
        <v>991</v>
      </c>
      <c r="G260" s="64">
        <v>4</v>
      </c>
      <c r="H260" s="14">
        <v>0</v>
      </c>
    </row>
    <row r="261" spans="4:7" ht="12.2" customHeight="1">
      <c r="D261" s="166" t="s">
        <v>1191</v>
      </c>
      <c r="E261" s="167"/>
      <c r="F261" s="167"/>
      <c r="G261" s="43">
        <v>4</v>
      </c>
    </row>
    <row r="262" spans="1:8" ht="12.75">
      <c r="A262" s="4" t="s">
        <v>115</v>
      </c>
      <c r="B262" s="4" t="s">
        <v>1024</v>
      </c>
      <c r="C262" s="4" t="s">
        <v>416</v>
      </c>
      <c r="D262" s="153" t="s">
        <v>754</v>
      </c>
      <c r="E262" s="154"/>
      <c r="F262" s="4" t="s">
        <v>993</v>
      </c>
      <c r="G262" s="64">
        <v>10.332</v>
      </c>
      <c r="H262" s="14">
        <v>0</v>
      </c>
    </row>
    <row r="263" spans="4:7" ht="12.2" customHeight="1">
      <c r="D263" s="166" t="s">
        <v>1192</v>
      </c>
      <c r="E263" s="167"/>
      <c r="F263" s="167"/>
      <c r="G263" s="43">
        <v>10.332</v>
      </c>
    </row>
    <row r="264" spans="1:8" ht="12.75">
      <c r="A264" s="4" t="s">
        <v>116</v>
      </c>
      <c r="B264" s="4" t="s">
        <v>1024</v>
      </c>
      <c r="C264" s="4" t="s">
        <v>417</v>
      </c>
      <c r="D264" s="153" t="s">
        <v>755</v>
      </c>
      <c r="E264" s="154"/>
      <c r="F264" s="4" t="s">
        <v>993</v>
      </c>
      <c r="G264" s="64">
        <v>6.398</v>
      </c>
      <c r="H264" s="14">
        <v>0</v>
      </c>
    </row>
    <row r="265" spans="4:7" ht="12.2" customHeight="1">
      <c r="D265" s="166" t="s">
        <v>1193</v>
      </c>
      <c r="E265" s="167"/>
      <c r="F265" s="167"/>
      <c r="G265" s="43">
        <v>6.398</v>
      </c>
    </row>
    <row r="266" spans="1:8" ht="12.75">
      <c r="A266" s="4" t="s">
        <v>117</v>
      </c>
      <c r="B266" s="4" t="s">
        <v>1024</v>
      </c>
      <c r="C266" s="4" t="s">
        <v>418</v>
      </c>
      <c r="D266" s="153" t="s">
        <v>756</v>
      </c>
      <c r="E266" s="154"/>
      <c r="F266" s="4" t="s">
        <v>993</v>
      </c>
      <c r="G266" s="64">
        <v>151.436</v>
      </c>
      <c r="H266" s="14">
        <v>0</v>
      </c>
    </row>
    <row r="267" spans="4:7" ht="12.2" customHeight="1">
      <c r="D267" s="166" t="s">
        <v>1194</v>
      </c>
      <c r="E267" s="167"/>
      <c r="F267" s="167"/>
      <c r="G267" s="43">
        <v>120.056</v>
      </c>
    </row>
    <row r="268" spans="1:8" ht="12.2" customHeight="1">
      <c r="A268" s="4"/>
      <c r="B268" s="4"/>
      <c r="C268" s="4"/>
      <c r="D268" s="166" t="s">
        <v>1195</v>
      </c>
      <c r="E268" s="167"/>
      <c r="F268" s="166"/>
      <c r="G268" s="65">
        <v>31.38</v>
      </c>
      <c r="H268" s="25"/>
    </row>
    <row r="269" spans="1:8" ht="12.75">
      <c r="A269" s="4" t="s">
        <v>118</v>
      </c>
      <c r="B269" s="4" t="s">
        <v>1024</v>
      </c>
      <c r="C269" s="4" t="s">
        <v>419</v>
      </c>
      <c r="D269" s="153" t="s">
        <v>757</v>
      </c>
      <c r="E269" s="154"/>
      <c r="F269" s="4" t="s">
        <v>993</v>
      </c>
      <c r="G269" s="64">
        <v>7.937</v>
      </c>
      <c r="H269" s="14">
        <v>0</v>
      </c>
    </row>
    <row r="270" spans="4:7" ht="12.2" customHeight="1">
      <c r="D270" s="166" t="s">
        <v>1196</v>
      </c>
      <c r="E270" s="167"/>
      <c r="F270" s="167"/>
      <c r="G270" s="43">
        <v>7.937</v>
      </c>
    </row>
    <row r="271" spans="1:8" ht="12.75">
      <c r="A271" s="4" t="s">
        <v>119</v>
      </c>
      <c r="B271" s="4" t="s">
        <v>1024</v>
      </c>
      <c r="C271" s="4" t="s">
        <v>420</v>
      </c>
      <c r="D271" s="153" t="s">
        <v>758</v>
      </c>
      <c r="E271" s="154"/>
      <c r="F271" s="4" t="s">
        <v>993</v>
      </c>
      <c r="G271" s="64">
        <v>1.592</v>
      </c>
      <c r="H271" s="14">
        <v>0</v>
      </c>
    </row>
    <row r="272" spans="4:7" ht="12.2" customHeight="1">
      <c r="D272" s="166" t="s">
        <v>1197</v>
      </c>
      <c r="E272" s="167"/>
      <c r="F272" s="167"/>
      <c r="G272" s="43">
        <v>1.592</v>
      </c>
    </row>
    <row r="273" spans="1:8" ht="12.75">
      <c r="A273" s="4" t="s">
        <v>120</v>
      </c>
      <c r="B273" s="4" t="s">
        <v>1024</v>
      </c>
      <c r="C273" s="4" t="s">
        <v>421</v>
      </c>
      <c r="D273" s="153" t="s">
        <v>759</v>
      </c>
      <c r="E273" s="154"/>
      <c r="F273" s="4" t="s">
        <v>993</v>
      </c>
      <c r="G273" s="64">
        <v>13.907</v>
      </c>
      <c r="H273" s="14">
        <v>0</v>
      </c>
    </row>
    <row r="274" spans="4:7" ht="12.2" customHeight="1">
      <c r="D274" s="166" t="s">
        <v>1198</v>
      </c>
      <c r="E274" s="167"/>
      <c r="F274" s="167"/>
      <c r="G274" s="43">
        <v>13.907</v>
      </c>
    </row>
    <row r="275" spans="1:8" ht="12.75">
      <c r="A275" s="4" t="s">
        <v>121</v>
      </c>
      <c r="B275" s="4" t="s">
        <v>1024</v>
      </c>
      <c r="C275" s="4" t="s">
        <v>422</v>
      </c>
      <c r="D275" s="153" t="s">
        <v>759</v>
      </c>
      <c r="E275" s="154"/>
      <c r="F275" s="4" t="s">
        <v>993</v>
      </c>
      <c r="G275" s="64">
        <v>6.76</v>
      </c>
      <c r="H275" s="14">
        <v>0</v>
      </c>
    </row>
    <row r="276" spans="4:7" ht="12.2" customHeight="1">
      <c r="D276" s="166" t="s">
        <v>1199</v>
      </c>
      <c r="E276" s="167"/>
      <c r="F276" s="167"/>
      <c r="G276" s="43">
        <v>6.76</v>
      </c>
    </row>
    <row r="277" spans="1:8" ht="12.75">
      <c r="A277" s="4" t="s">
        <v>122</v>
      </c>
      <c r="B277" s="4" t="s">
        <v>1024</v>
      </c>
      <c r="C277" s="4" t="s">
        <v>423</v>
      </c>
      <c r="D277" s="153" t="s">
        <v>760</v>
      </c>
      <c r="E277" s="154"/>
      <c r="F277" s="4" t="s">
        <v>993</v>
      </c>
      <c r="G277" s="64">
        <v>1</v>
      </c>
      <c r="H277" s="14">
        <v>0</v>
      </c>
    </row>
    <row r="278" spans="4:7" ht="12.2" customHeight="1">
      <c r="D278" s="166" t="s">
        <v>1094</v>
      </c>
      <c r="E278" s="167"/>
      <c r="F278" s="167"/>
      <c r="G278" s="43">
        <v>1</v>
      </c>
    </row>
    <row r="279" spans="1:8" ht="12.75">
      <c r="A279" s="11"/>
      <c r="B279" s="11"/>
      <c r="C279" s="11" t="s">
        <v>103</v>
      </c>
      <c r="D279" s="151" t="s">
        <v>761</v>
      </c>
      <c r="E279" s="152"/>
      <c r="F279" s="11"/>
      <c r="G279" s="66"/>
      <c r="H279" s="24"/>
    </row>
    <row r="280" spans="1:8" ht="12.75">
      <c r="A280" s="4" t="s">
        <v>123</v>
      </c>
      <c r="B280" s="4" t="s">
        <v>1024</v>
      </c>
      <c r="C280" s="4" t="s">
        <v>424</v>
      </c>
      <c r="D280" s="153" t="s">
        <v>762</v>
      </c>
      <c r="E280" s="154"/>
      <c r="F280" s="4" t="s">
        <v>993</v>
      </c>
      <c r="G280" s="64">
        <v>618.757</v>
      </c>
      <c r="H280" s="14">
        <v>0</v>
      </c>
    </row>
    <row r="281" spans="4:7" ht="12.2" customHeight="1">
      <c r="D281" s="166" t="s">
        <v>1200</v>
      </c>
      <c r="E281" s="167"/>
      <c r="F281" s="167"/>
      <c r="G281" s="43">
        <v>194.342</v>
      </c>
    </row>
    <row r="282" spans="1:8" ht="12.2" customHeight="1">
      <c r="A282" s="4"/>
      <c r="B282" s="4"/>
      <c r="C282" s="4"/>
      <c r="D282" s="166" t="s">
        <v>1201</v>
      </c>
      <c r="E282" s="167"/>
      <c r="F282" s="166"/>
      <c r="G282" s="65">
        <v>273.535</v>
      </c>
      <c r="H282" s="25"/>
    </row>
    <row r="283" spans="1:8" ht="12.2" customHeight="1">
      <c r="A283" s="4"/>
      <c r="B283" s="4"/>
      <c r="C283" s="4"/>
      <c r="D283" s="166" t="s">
        <v>1202</v>
      </c>
      <c r="E283" s="167"/>
      <c r="F283" s="166"/>
      <c r="G283" s="65">
        <v>-23.349</v>
      </c>
      <c r="H283" s="25"/>
    </row>
    <row r="284" spans="1:8" ht="12.2" customHeight="1">
      <c r="A284" s="4"/>
      <c r="B284" s="4"/>
      <c r="C284" s="4"/>
      <c r="D284" s="166" t="s">
        <v>1203</v>
      </c>
      <c r="E284" s="167"/>
      <c r="F284" s="166"/>
      <c r="G284" s="65">
        <v>40.138</v>
      </c>
      <c r="H284" s="25"/>
    </row>
    <row r="285" spans="1:8" ht="12.2" customHeight="1">
      <c r="A285" s="4"/>
      <c r="B285" s="4"/>
      <c r="C285" s="4"/>
      <c r="D285" s="166" t="s">
        <v>1204</v>
      </c>
      <c r="E285" s="167"/>
      <c r="F285" s="166"/>
      <c r="G285" s="65">
        <v>127.24</v>
      </c>
      <c r="H285" s="25"/>
    </row>
    <row r="286" spans="1:8" ht="12.2" customHeight="1">
      <c r="A286" s="4"/>
      <c r="B286" s="4"/>
      <c r="C286" s="4"/>
      <c r="D286" s="166" t="s">
        <v>1205</v>
      </c>
      <c r="E286" s="167"/>
      <c r="F286" s="166"/>
      <c r="G286" s="65">
        <v>6.851</v>
      </c>
      <c r="H286" s="25"/>
    </row>
    <row r="287" spans="1:8" ht="12.75">
      <c r="A287" s="4" t="s">
        <v>124</v>
      </c>
      <c r="B287" s="4" t="s">
        <v>1024</v>
      </c>
      <c r="C287" s="4" t="s">
        <v>425</v>
      </c>
      <c r="D287" s="153" t="s">
        <v>763</v>
      </c>
      <c r="E287" s="154"/>
      <c r="F287" s="4" t="s">
        <v>993</v>
      </c>
      <c r="G287" s="64">
        <v>75.066</v>
      </c>
      <c r="H287" s="14">
        <v>0</v>
      </c>
    </row>
    <row r="288" spans="4:7" ht="12.2" customHeight="1">
      <c r="D288" s="166" t="s">
        <v>1206</v>
      </c>
      <c r="E288" s="167"/>
      <c r="F288" s="167"/>
      <c r="G288" s="43">
        <v>33.527</v>
      </c>
    </row>
    <row r="289" spans="1:8" ht="12.2" customHeight="1">
      <c r="A289" s="4"/>
      <c r="B289" s="4"/>
      <c r="C289" s="4"/>
      <c r="D289" s="166" t="s">
        <v>1207</v>
      </c>
      <c r="E289" s="167"/>
      <c r="F289" s="166"/>
      <c r="G289" s="65">
        <v>21.908</v>
      </c>
      <c r="H289" s="25"/>
    </row>
    <row r="290" spans="1:8" ht="12.2" customHeight="1">
      <c r="A290" s="4"/>
      <c r="B290" s="4"/>
      <c r="C290" s="4"/>
      <c r="D290" s="166" t="s">
        <v>1208</v>
      </c>
      <c r="E290" s="167"/>
      <c r="F290" s="166"/>
      <c r="G290" s="65">
        <v>19.631</v>
      </c>
      <c r="H290" s="25"/>
    </row>
    <row r="291" spans="1:8" ht="12.75">
      <c r="A291" s="4" t="s">
        <v>125</v>
      </c>
      <c r="B291" s="4" t="s">
        <v>1024</v>
      </c>
      <c r="C291" s="4" t="s">
        <v>426</v>
      </c>
      <c r="D291" s="153" t="s">
        <v>764</v>
      </c>
      <c r="E291" s="154"/>
      <c r="F291" s="4" t="s">
        <v>993</v>
      </c>
      <c r="G291" s="64">
        <v>769.746</v>
      </c>
      <c r="H291" s="14">
        <v>0</v>
      </c>
    </row>
    <row r="292" spans="4:7" ht="12.2" customHeight="1">
      <c r="D292" s="166" t="s">
        <v>1209</v>
      </c>
      <c r="E292" s="167"/>
      <c r="F292" s="167"/>
      <c r="G292" s="43">
        <v>769.746</v>
      </c>
    </row>
    <row r="293" spans="1:8" ht="12.75">
      <c r="A293" s="4" t="s">
        <v>126</v>
      </c>
      <c r="B293" s="4" t="s">
        <v>1024</v>
      </c>
      <c r="C293" s="4" t="s">
        <v>427</v>
      </c>
      <c r="D293" s="153" t="s">
        <v>765</v>
      </c>
      <c r="E293" s="154"/>
      <c r="F293" s="4" t="s">
        <v>993</v>
      </c>
      <c r="G293" s="64">
        <v>17.12</v>
      </c>
      <c r="H293" s="14">
        <v>0</v>
      </c>
    </row>
    <row r="294" spans="4:7" ht="12.2" customHeight="1">
      <c r="D294" s="166" t="s">
        <v>1210</v>
      </c>
      <c r="E294" s="167"/>
      <c r="F294" s="167"/>
      <c r="G294" s="43">
        <v>17.12</v>
      </c>
    </row>
    <row r="295" spans="1:8" ht="12.75">
      <c r="A295" s="4" t="s">
        <v>127</v>
      </c>
      <c r="B295" s="4" t="s">
        <v>1024</v>
      </c>
      <c r="C295" s="4" t="s">
        <v>428</v>
      </c>
      <c r="D295" s="153" t="s">
        <v>766</v>
      </c>
      <c r="E295" s="154"/>
      <c r="F295" s="4" t="s">
        <v>993</v>
      </c>
      <c r="G295" s="64">
        <v>189.747</v>
      </c>
      <c r="H295" s="14">
        <v>0</v>
      </c>
    </row>
    <row r="296" spans="4:7" ht="12.2" customHeight="1">
      <c r="D296" s="166" t="s">
        <v>1211</v>
      </c>
      <c r="E296" s="167"/>
      <c r="F296" s="167"/>
      <c r="G296" s="43">
        <v>78.836</v>
      </c>
    </row>
    <row r="297" spans="1:8" ht="12.2" customHeight="1">
      <c r="A297" s="4"/>
      <c r="B297" s="4"/>
      <c r="C297" s="4"/>
      <c r="D297" s="166" t="s">
        <v>1212</v>
      </c>
      <c r="E297" s="167"/>
      <c r="F297" s="166"/>
      <c r="G297" s="65">
        <v>82.728</v>
      </c>
      <c r="H297" s="25"/>
    </row>
    <row r="298" spans="1:8" ht="12.2" customHeight="1">
      <c r="A298" s="4"/>
      <c r="B298" s="4"/>
      <c r="C298" s="4"/>
      <c r="D298" s="166" t="s">
        <v>1213</v>
      </c>
      <c r="E298" s="167"/>
      <c r="F298" s="166"/>
      <c r="G298" s="65">
        <v>32.143</v>
      </c>
      <c r="H298" s="25"/>
    </row>
    <row r="299" spans="1:8" ht="12.2" customHeight="1">
      <c r="A299" s="4"/>
      <c r="B299" s="4"/>
      <c r="C299" s="4"/>
      <c r="D299" s="166" t="s">
        <v>1214</v>
      </c>
      <c r="E299" s="167"/>
      <c r="F299" s="166"/>
      <c r="G299" s="65">
        <v>-3.96</v>
      </c>
      <c r="H299" s="25"/>
    </row>
    <row r="300" spans="1:8" ht="12.75">
      <c r="A300" s="11"/>
      <c r="B300" s="11"/>
      <c r="C300" s="11" t="s">
        <v>429</v>
      </c>
      <c r="D300" s="151" t="s">
        <v>767</v>
      </c>
      <c r="E300" s="152"/>
      <c r="F300" s="11"/>
      <c r="G300" s="66"/>
      <c r="H300" s="24"/>
    </row>
    <row r="301" spans="1:8" ht="12.75">
      <c r="A301" s="4" t="s">
        <v>128</v>
      </c>
      <c r="B301" s="4" t="s">
        <v>1024</v>
      </c>
      <c r="C301" s="4" t="s">
        <v>430</v>
      </c>
      <c r="D301" s="153" t="s">
        <v>768</v>
      </c>
      <c r="E301" s="154"/>
      <c r="F301" s="4" t="s">
        <v>994</v>
      </c>
      <c r="G301" s="64">
        <v>54.945</v>
      </c>
      <c r="H301" s="14">
        <v>0</v>
      </c>
    </row>
    <row r="302" spans="4:7" ht="12.2" customHeight="1">
      <c r="D302" s="166" t="s">
        <v>1215</v>
      </c>
      <c r="E302" s="167"/>
      <c r="F302" s="167"/>
      <c r="G302" s="43">
        <v>54.945</v>
      </c>
    </row>
    <row r="303" spans="1:8" ht="12.75">
      <c r="A303" s="4" t="s">
        <v>129</v>
      </c>
      <c r="B303" s="4" t="s">
        <v>1024</v>
      </c>
      <c r="C303" s="4" t="s">
        <v>431</v>
      </c>
      <c r="D303" s="153" t="s">
        <v>769</v>
      </c>
      <c r="E303" s="154"/>
      <c r="F303" s="4" t="s">
        <v>994</v>
      </c>
      <c r="G303" s="64">
        <v>42.455</v>
      </c>
      <c r="H303" s="14">
        <v>0</v>
      </c>
    </row>
    <row r="304" spans="4:7" ht="12.2" customHeight="1">
      <c r="D304" s="166" t="s">
        <v>1216</v>
      </c>
      <c r="E304" s="167"/>
      <c r="F304" s="167"/>
      <c r="G304" s="43">
        <v>42.455</v>
      </c>
    </row>
    <row r="305" spans="1:8" ht="12.75">
      <c r="A305" s="4" t="s">
        <v>130</v>
      </c>
      <c r="B305" s="4" t="s">
        <v>1024</v>
      </c>
      <c r="C305" s="4" t="s">
        <v>432</v>
      </c>
      <c r="D305" s="153" t="s">
        <v>770</v>
      </c>
      <c r="E305" s="154"/>
      <c r="F305" s="4" t="s">
        <v>994</v>
      </c>
      <c r="G305" s="64">
        <v>177.085</v>
      </c>
      <c r="H305" s="14">
        <v>0</v>
      </c>
    </row>
    <row r="306" spans="4:7" ht="12.2" customHeight="1">
      <c r="D306" s="166" t="s">
        <v>1217</v>
      </c>
      <c r="E306" s="167"/>
      <c r="F306" s="167"/>
      <c r="G306" s="43">
        <v>177.085</v>
      </c>
    </row>
    <row r="307" spans="1:8" ht="12.75">
      <c r="A307" s="4" t="s">
        <v>131</v>
      </c>
      <c r="B307" s="4" t="s">
        <v>1024</v>
      </c>
      <c r="C307" s="4" t="s">
        <v>433</v>
      </c>
      <c r="D307" s="153" t="s">
        <v>771</v>
      </c>
      <c r="E307" s="154"/>
      <c r="F307" s="4" t="s">
        <v>994</v>
      </c>
      <c r="G307" s="64">
        <v>2479.19</v>
      </c>
      <c r="H307" s="14">
        <v>0</v>
      </c>
    </row>
    <row r="308" spans="4:7" ht="12.2" customHeight="1">
      <c r="D308" s="166" t="s">
        <v>1218</v>
      </c>
      <c r="E308" s="167"/>
      <c r="F308" s="167"/>
      <c r="G308" s="43">
        <v>2479.19</v>
      </c>
    </row>
    <row r="309" spans="1:8" ht="12.75">
      <c r="A309" s="4" t="s">
        <v>132</v>
      </c>
      <c r="B309" s="4" t="s">
        <v>1024</v>
      </c>
      <c r="C309" s="4" t="s">
        <v>434</v>
      </c>
      <c r="D309" s="153" t="s">
        <v>772</v>
      </c>
      <c r="E309" s="154"/>
      <c r="F309" s="4" t="s">
        <v>994</v>
      </c>
      <c r="G309" s="64">
        <v>177.085</v>
      </c>
      <c r="H309" s="14">
        <v>0</v>
      </c>
    </row>
    <row r="310" spans="4:7" ht="12.2" customHeight="1">
      <c r="D310" s="166" t="s">
        <v>1219</v>
      </c>
      <c r="E310" s="167"/>
      <c r="F310" s="167"/>
      <c r="G310" s="43">
        <v>177.085</v>
      </c>
    </row>
    <row r="311" spans="1:8" ht="12.75">
      <c r="A311" s="4" t="s">
        <v>133</v>
      </c>
      <c r="B311" s="4" t="s">
        <v>1024</v>
      </c>
      <c r="C311" s="4" t="s">
        <v>435</v>
      </c>
      <c r="D311" s="153" t="s">
        <v>773</v>
      </c>
      <c r="E311" s="154"/>
      <c r="F311" s="4" t="s">
        <v>994</v>
      </c>
      <c r="G311" s="64">
        <v>1062.51</v>
      </c>
      <c r="H311" s="14">
        <v>0</v>
      </c>
    </row>
    <row r="312" spans="4:7" ht="12.2" customHeight="1">
      <c r="D312" s="166" t="s">
        <v>1220</v>
      </c>
      <c r="E312" s="167"/>
      <c r="F312" s="167"/>
      <c r="G312" s="43">
        <v>1062.51</v>
      </c>
    </row>
    <row r="313" spans="1:8" ht="12.75">
      <c r="A313" s="4" t="s">
        <v>134</v>
      </c>
      <c r="B313" s="4" t="s">
        <v>1024</v>
      </c>
      <c r="C313" s="4" t="s">
        <v>436</v>
      </c>
      <c r="D313" s="153" t="s">
        <v>774</v>
      </c>
      <c r="E313" s="154"/>
      <c r="F313" s="4" t="s">
        <v>994</v>
      </c>
      <c r="G313" s="64">
        <v>177.085</v>
      </c>
      <c r="H313" s="14">
        <v>0</v>
      </c>
    </row>
    <row r="314" spans="4:7" ht="12.2" customHeight="1">
      <c r="D314" s="166" t="s">
        <v>1219</v>
      </c>
      <c r="E314" s="167"/>
      <c r="F314" s="167"/>
      <c r="G314" s="43">
        <v>177.085</v>
      </c>
    </row>
    <row r="315" spans="1:8" ht="12.75">
      <c r="A315" s="4" t="s">
        <v>135</v>
      </c>
      <c r="B315" s="4" t="s">
        <v>1024</v>
      </c>
      <c r="C315" s="4" t="s">
        <v>437</v>
      </c>
      <c r="D315" s="153" t="s">
        <v>775</v>
      </c>
      <c r="E315" s="154"/>
      <c r="F315" s="4" t="s">
        <v>994</v>
      </c>
      <c r="G315" s="64">
        <v>177.085</v>
      </c>
      <c r="H315" s="14">
        <v>0</v>
      </c>
    </row>
    <row r="316" spans="4:7" ht="12.2" customHeight="1">
      <c r="D316" s="166" t="s">
        <v>1219</v>
      </c>
      <c r="E316" s="167"/>
      <c r="F316" s="167"/>
      <c r="G316" s="43">
        <v>177.085</v>
      </c>
    </row>
    <row r="317" spans="1:8" ht="12.75">
      <c r="A317" s="4" t="s">
        <v>136</v>
      </c>
      <c r="B317" s="4" t="s">
        <v>1024</v>
      </c>
      <c r="C317" s="4" t="s">
        <v>438</v>
      </c>
      <c r="D317" s="153" t="s">
        <v>776</v>
      </c>
      <c r="E317" s="154"/>
      <c r="F317" s="4" t="s">
        <v>994</v>
      </c>
      <c r="G317" s="64">
        <v>26.734</v>
      </c>
      <c r="H317" s="14">
        <v>0</v>
      </c>
    </row>
    <row r="318" spans="4:7" ht="12.2" customHeight="1">
      <c r="D318" s="166" t="s">
        <v>1221</v>
      </c>
      <c r="E318" s="167"/>
      <c r="F318" s="167"/>
      <c r="G318" s="43">
        <v>26.734</v>
      </c>
    </row>
    <row r="319" spans="1:8" ht="12.75">
      <c r="A319" s="4" t="s">
        <v>137</v>
      </c>
      <c r="B319" s="4" t="s">
        <v>1024</v>
      </c>
      <c r="C319" s="4" t="s">
        <v>439</v>
      </c>
      <c r="D319" s="153" t="s">
        <v>777</v>
      </c>
      <c r="E319" s="154"/>
      <c r="F319" s="4" t="s">
        <v>994</v>
      </c>
      <c r="G319" s="64">
        <v>47.126</v>
      </c>
      <c r="H319" s="14">
        <v>0</v>
      </c>
    </row>
    <row r="320" spans="4:7" ht="12.2" customHeight="1">
      <c r="D320" s="166" t="s">
        <v>1222</v>
      </c>
      <c r="E320" s="167"/>
      <c r="F320" s="167"/>
      <c r="G320" s="43">
        <v>47.126</v>
      </c>
    </row>
    <row r="321" spans="1:8" ht="12.75">
      <c r="A321" s="4" t="s">
        <v>138</v>
      </c>
      <c r="B321" s="4" t="s">
        <v>1024</v>
      </c>
      <c r="C321" s="4" t="s">
        <v>440</v>
      </c>
      <c r="D321" s="153" t="s">
        <v>778</v>
      </c>
      <c r="E321" s="154"/>
      <c r="F321" s="4" t="s">
        <v>994</v>
      </c>
      <c r="G321" s="64">
        <v>45.068</v>
      </c>
      <c r="H321" s="14">
        <v>0</v>
      </c>
    </row>
    <row r="322" spans="4:7" ht="12.2" customHeight="1">
      <c r="D322" s="166" t="s">
        <v>1223</v>
      </c>
      <c r="E322" s="167"/>
      <c r="F322" s="167"/>
      <c r="G322" s="43">
        <v>45.068</v>
      </c>
    </row>
    <row r="323" spans="1:8" ht="12.75">
      <c r="A323" s="4" t="s">
        <v>139</v>
      </c>
      <c r="B323" s="4" t="s">
        <v>1024</v>
      </c>
      <c r="C323" s="4" t="s">
        <v>441</v>
      </c>
      <c r="D323" s="153" t="s">
        <v>779</v>
      </c>
      <c r="E323" s="154"/>
      <c r="F323" s="4" t="s">
        <v>994</v>
      </c>
      <c r="G323" s="64">
        <v>18.411</v>
      </c>
      <c r="H323" s="14">
        <v>0</v>
      </c>
    </row>
    <row r="324" spans="4:7" ht="12.2" customHeight="1">
      <c r="D324" s="166" t="s">
        <v>1224</v>
      </c>
      <c r="E324" s="167"/>
      <c r="F324" s="167"/>
      <c r="G324" s="43">
        <v>18.411</v>
      </c>
    </row>
    <row r="325" spans="1:8" ht="12.75">
      <c r="A325" s="4" t="s">
        <v>140</v>
      </c>
      <c r="B325" s="4" t="s">
        <v>1024</v>
      </c>
      <c r="C325" s="4" t="s">
        <v>442</v>
      </c>
      <c r="D325" s="153" t="s">
        <v>780</v>
      </c>
      <c r="E325" s="154"/>
      <c r="F325" s="4" t="s">
        <v>994</v>
      </c>
      <c r="G325" s="64">
        <v>8.512</v>
      </c>
      <c r="H325" s="14">
        <v>0</v>
      </c>
    </row>
    <row r="326" spans="4:7" ht="12.2" customHeight="1">
      <c r="D326" s="166" t="s">
        <v>1225</v>
      </c>
      <c r="E326" s="167"/>
      <c r="F326" s="167"/>
      <c r="G326" s="43">
        <v>8.512</v>
      </c>
    </row>
    <row r="327" spans="1:8" ht="12.75">
      <c r="A327" s="4" t="s">
        <v>141</v>
      </c>
      <c r="B327" s="4" t="s">
        <v>1024</v>
      </c>
      <c r="C327" s="4" t="s">
        <v>443</v>
      </c>
      <c r="D327" s="153" t="s">
        <v>781</v>
      </c>
      <c r="E327" s="154"/>
      <c r="F327" s="4" t="s">
        <v>994</v>
      </c>
      <c r="G327" s="64">
        <v>11.35</v>
      </c>
      <c r="H327" s="14">
        <v>0</v>
      </c>
    </row>
    <row r="328" spans="4:7" ht="12.2" customHeight="1">
      <c r="D328" s="166" t="s">
        <v>1226</v>
      </c>
      <c r="E328" s="167"/>
      <c r="F328" s="167"/>
      <c r="G328" s="43">
        <v>11.35</v>
      </c>
    </row>
    <row r="329" spans="1:8" ht="12.75">
      <c r="A329" s="4" t="s">
        <v>142</v>
      </c>
      <c r="B329" s="4" t="s">
        <v>1024</v>
      </c>
      <c r="C329" s="4" t="s">
        <v>444</v>
      </c>
      <c r="D329" s="153" t="s">
        <v>782</v>
      </c>
      <c r="E329" s="154"/>
      <c r="F329" s="4" t="s">
        <v>994</v>
      </c>
      <c r="G329" s="64">
        <v>9.018</v>
      </c>
      <c r="H329" s="14">
        <v>0</v>
      </c>
    </row>
    <row r="330" spans="4:7" ht="12.2" customHeight="1">
      <c r="D330" s="166" t="s">
        <v>1227</v>
      </c>
      <c r="E330" s="167"/>
      <c r="F330" s="167"/>
      <c r="G330" s="43">
        <v>9.018</v>
      </c>
    </row>
    <row r="331" spans="1:8" ht="12.75">
      <c r="A331" s="4" t="s">
        <v>143</v>
      </c>
      <c r="B331" s="4" t="s">
        <v>1024</v>
      </c>
      <c r="C331" s="4" t="s">
        <v>445</v>
      </c>
      <c r="D331" s="153" t="s">
        <v>783</v>
      </c>
      <c r="E331" s="154"/>
      <c r="F331" s="4" t="s">
        <v>994</v>
      </c>
      <c r="G331" s="64">
        <v>10.058</v>
      </c>
      <c r="H331" s="14">
        <v>0</v>
      </c>
    </row>
    <row r="332" spans="4:7" ht="12.2" customHeight="1">
      <c r="D332" s="166" t="s">
        <v>1228</v>
      </c>
      <c r="E332" s="167"/>
      <c r="F332" s="167"/>
      <c r="G332" s="43">
        <v>10.058</v>
      </c>
    </row>
    <row r="333" spans="1:8" ht="12.75">
      <c r="A333" s="4" t="s">
        <v>144</v>
      </c>
      <c r="B333" s="4" t="s">
        <v>1024</v>
      </c>
      <c r="C333" s="4" t="s">
        <v>446</v>
      </c>
      <c r="D333" s="153" t="s">
        <v>784</v>
      </c>
      <c r="E333" s="154"/>
      <c r="F333" s="4" t="s">
        <v>994</v>
      </c>
      <c r="G333" s="64">
        <v>0.798</v>
      </c>
      <c r="H333" s="14">
        <v>0</v>
      </c>
    </row>
    <row r="334" spans="4:7" ht="12.2" customHeight="1">
      <c r="D334" s="166" t="s">
        <v>1229</v>
      </c>
      <c r="E334" s="167"/>
      <c r="F334" s="167"/>
      <c r="G334" s="43">
        <v>0.798</v>
      </c>
    </row>
    <row r="335" spans="1:8" ht="12.75">
      <c r="A335" s="11"/>
      <c r="B335" s="11"/>
      <c r="C335" s="11" t="s">
        <v>447</v>
      </c>
      <c r="D335" s="151" t="s">
        <v>785</v>
      </c>
      <c r="E335" s="152"/>
      <c r="F335" s="11"/>
      <c r="G335" s="66"/>
      <c r="H335" s="24"/>
    </row>
    <row r="336" spans="1:8" ht="12.75">
      <c r="A336" s="4" t="s">
        <v>145</v>
      </c>
      <c r="B336" s="4" t="s">
        <v>1024</v>
      </c>
      <c r="C336" s="4" t="s">
        <v>448</v>
      </c>
      <c r="D336" s="153" t="s">
        <v>786</v>
      </c>
      <c r="E336" s="154"/>
      <c r="F336" s="4" t="s">
        <v>994</v>
      </c>
      <c r="G336" s="64">
        <v>164.286</v>
      </c>
      <c r="H336" s="14">
        <v>0</v>
      </c>
    </row>
    <row r="337" spans="4:7" ht="12.2" customHeight="1">
      <c r="D337" s="166" t="s">
        <v>1230</v>
      </c>
      <c r="E337" s="167"/>
      <c r="F337" s="167"/>
      <c r="G337" s="43">
        <v>164.286</v>
      </c>
    </row>
    <row r="338" spans="1:8" ht="12.75">
      <c r="A338" s="4" t="s">
        <v>146</v>
      </c>
      <c r="B338" s="4" t="s">
        <v>1025</v>
      </c>
      <c r="C338" s="4" t="s">
        <v>448</v>
      </c>
      <c r="D338" s="153" t="s">
        <v>786</v>
      </c>
      <c r="E338" s="154"/>
      <c r="F338" s="4" t="s">
        <v>994</v>
      </c>
      <c r="G338" s="64">
        <v>85.379</v>
      </c>
      <c r="H338" s="14">
        <v>0</v>
      </c>
    </row>
    <row r="339" spans="4:7" ht="12.2" customHeight="1">
      <c r="D339" s="166" t="s">
        <v>1231</v>
      </c>
      <c r="E339" s="167"/>
      <c r="F339" s="167"/>
      <c r="G339" s="43">
        <v>85.379</v>
      </c>
    </row>
    <row r="340" spans="1:8" ht="12.75">
      <c r="A340" s="11"/>
      <c r="B340" s="11"/>
      <c r="C340" s="11" t="s">
        <v>449</v>
      </c>
      <c r="D340" s="151" t="s">
        <v>787</v>
      </c>
      <c r="E340" s="152"/>
      <c r="F340" s="11"/>
      <c r="G340" s="66"/>
      <c r="H340" s="24"/>
    </row>
    <row r="341" spans="1:8" ht="12.75">
      <c r="A341" s="4" t="s">
        <v>147</v>
      </c>
      <c r="B341" s="4" t="s">
        <v>1024</v>
      </c>
      <c r="C341" s="4" t="s">
        <v>450</v>
      </c>
      <c r="D341" s="153" t="s">
        <v>788</v>
      </c>
      <c r="E341" s="154"/>
      <c r="F341" s="4" t="s">
        <v>993</v>
      </c>
      <c r="G341" s="64">
        <v>945.798</v>
      </c>
      <c r="H341" s="14">
        <v>0</v>
      </c>
    </row>
    <row r="342" spans="4:7" ht="12.2" customHeight="1">
      <c r="D342" s="166" t="s">
        <v>1232</v>
      </c>
      <c r="E342" s="167"/>
      <c r="F342" s="167"/>
      <c r="G342" s="43">
        <v>945.798</v>
      </c>
    </row>
    <row r="343" spans="1:8" ht="12.75">
      <c r="A343" s="4" t="s">
        <v>148</v>
      </c>
      <c r="B343" s="4" t="s">
        <v>1024</v>
      </c>
      <c r="C343" s="4" t="s">
        <v>450</v>
      </c>
      <c r="D343" s="153" t="s">
        <v>789</v>
      </c>
      <c r="E343" s="154"/>
      <c r="F343" s="4" t="s">
        <v>993</v>
      </c>
      <c r="G343" s="64">
        <v>472.899</v>
      </c>
      <c r="H343" s="14">
        <v>0</v>
      </c>
    </row>
    <row r="344" spans="4:7" ht="12.2" customHeight="1">
      <c r="D344" s="166" t="s">
        <v>1233</v>
      </c>
      <c r="E344" s="167"/>
      <c r="F344" s="167"/>
      <c r="G344" s="43">
        <v>472.899</v>
      </c>
    </row>
    <row r="345" spans="1:8" ht="12.75">
      <c r="A345" s="4" t="s">
        <v>149</v>
      </c>
      <c r="B345" s="4" t="s">
        <v>1024</v>
      </c>
      <c r="C345" s="4" t="s">
        <v>451</v>
      </c>
      <c r="D345" s="153" t="s">
        <v>790</v>
      </c>
      <c r="E345" s="154"/>
      <c r="F345" s="4" t="s">
        <v>993</v>
      </c>
      <c r="G345" s="64">
        <v>2.46</v>
      </c>
      <c r="H345" s="14">
        <v>0</v>
      </c>
    </row>
    <row r="346" spans="4:7" ht="12.2" customHeight="1">
      <c r="D346" s="166" t="s">
        <v>1234</v>
      </c>
      <c r="E346" s="167"/>
      <c r="F346" s="167"/>
      <c r="G346" s="43">
        <v>2.46</v>
      </c>
    </row>
    <row r="347" spans="1:8" ht="12.75">
      <c r="A347" s="4" t="s">
        <v>150</v>
      </c>
      <c r="B347" s="4" t="s">
        <v>1024</v>
      </c>
      <c r="C347" s="4" t="s">
        <v>452</v>
      </c>
      <c r="D347" s="153" t="s">
        <v>791</v>
      </c>
      <c r="E347" s="154"/>
      <c r="F347" s="4" t="s">
        <v>993</v>
      </c>
      <c r="G347" s="64">
        <v>472.899</v>
      </c>
      <c r="H347" s="14">
        <v>0</v>
      </c>
    </row>
    <row r="348" spans="4:7" ht="12.2" customHeight="1">
      <c r="D348" s="166" t="s">
        <v>1233</v>
      </c>
      <c r="E348" s="167"/>
      <c r="F348" s="167"/>
      <c r="G348" s="43">
        <v>472.899</v>
      </c>
    </row>
    <row r="349" spans="1:8" ht="12.75">
      <c r="A349" s="4" t="s">
        <v>151</v>
      </c>
      <c r="B349" s="4" t="s">
        <v>1024</v>
      </c>
      <c r="C349" s="4" t="s">
        <v>453</v>
      </c>
      <c r="D349" s="153" t="s">
        <v>793</v>
      </c>
      <c r="E349" s="154"/>
      <c r="F349" s="4" t="s">
        <v>993</v>
      </c>
      <c r="G349" s="64">
        <v>16.632</v>
      </c>
      <c r="H349" s="14">
        <v>0</v>
      </c>
    </row>
    <row r="350" spans="4:7" ht="12.2" customHeight="1">
      <c r="D350" s="166" t="s">
        <v>1235</v>
      </c>
      <c r="E350" s="167"/>
      <c r="F350" s="167"/>
      <c r="G350" s="43">
        <v>16.632</v>
      </c>
    </row>
    <row r="351" spans="1:8" ht="12.75">
      <c r="A351" s="4" t="s">
        <v>152</v>
      </c>
      <c r="B351" s="4" t="s">
        <v>1024</v>
      </c>
      <c r="C351" s="4" t="s">
        <v>454</v>
      </c>
      <c r="D351" s="153" t="s">
        <v>794</v>
      </c>
      <c r="E351" s="154"/>
      <c r="F351" s="4" t="s">
        <v>991</v>
      </c>
      <c r="G351" s="64">
        <v>4</v>
      </c>
      <c r="H351" s="14">
        <v>0</v>
      </c>
    </row>
    <row r="352" spans="4:7" ht="12.2" customHeight="1">
      <c r="D352" s="166" t="s">
        <v>1120</v>
      </c>
      <c r="E352" s="167"/>
      <c r="F352" s="167"/>
      <c r="G352" s="43">
        <v>4</v>
      </c>
    </row>
    <row r="353" spans="1:8" ht="12.75">
      <c r="A353" s="4" t="s">
        <v>153</v>
      </c>
      <c r="B353" s="4" t="s">
        <v>1024</v>
      </c>
      <c r="C353" s="4" t="s">
        <v>455</v>
      </c>
      <c r="D353" s="153" t="s">
        <v>795</v>
      </c>
      <c r="E353" s="154"/>
      <c r="F353" s="4" t="s">
        <v>993</v>
      </c>
      <c r="G353" s="64">
        <v>2.46</v>
      </c>
      <c r="H353" s="14">
        <v>0</v>
      </c>
    </row>
    <row r="354" spans="4:7" ht="12.2" customHeight="1">
      <c r="D354" s="166" t="s">
        <v>1234</v>
      </c>
      <c r="E354" s="167"/>
      <c r="F354" s="167"/>
      <c r="G354" s="43">
        <v>2.46</v>
      </c>
    </row>
    <row r="355" spans="1:8" ht="12.75">
      <c r="A355" s="4" t="s">
        <v>154</v>
      </c>
      <c r="B355" s="4" t="s">
        <v>1024</v>
      </c>
      <c r="C355" s="4" t="s">
        <v>455</v>
      </c>
      <c r="D355" s="153" t="s">
        <v>796</v>
      </c>
      <c r="E355" s="154"/>
      <c r="F355" s="4" t="s">
        <v>993</v>
      </c>
      <c r="G355" s="64">
        <v>472.899</v>
      </c>
      <c r="H355" s="14">
        <v>0</v>
      </c>
    </row>
    <row r="356" spans="4:7" ht="12.2" customHeight="1">
      <c r="D356" s="166" t="s">
        <v>1233</v>
      </c>
      <c r="E356" s="167"/>
      <c r="F356" s="167"/>
      <c r="G356" s="43">
        <v>472.899</v>
      </c>
    </row>
    <row r="357" spans="1:8" ht="12.75">
      <c r="A357" s="4" t="s">
        <v>155</v>
      </c>
      <c r="B357" s="4" t="s">
        <v>1024</v>
      </c>
      <c r="C357" s="4" t="s">
        <v>456</v>
      </c>
      <c r="D357" s="153" t="s">
        <v>797</v>
      </c>
      <c r="E357" s="154"/>
      <c r="F357" s="4" t="s">
        <v>994</v>
      </c>
      <c r="G357" s="64">
        <v>9.752</v>
      </c>
      <c r="H357" s="14">
        <v>0</v>
      </c>
    </row>
    <row r="358" spans="4:7" ht="12.2" customHeight="1">
      <c r="D358" s="166" t="s">
        <v>1236</v>
      </c>
      <c r="E358" s="167"/>
      <c r="F358" s="167"/>
      <c r="G358" s="43">
        <v>9.752</v>
      </c>
    </row>
    <row r="359" spans="1:8" ht="12.75">
      <c r="A359" s="11"/>
      <c r="B359" s="11"/>
      <c r="C359" s="11" t="s">
        <v>457</v>
      </c>
      <c r="D359" s="151" t="s">
        <v>798</v>
      </c>
      <c r="E359" s="152"/>
      <c r="F359" s="11"/>
      <c r="G359" s="66"/>
      <c r="H359" s="24"/>
    </row>
    <row r="360" spans="1:8" ht="12.75">
      <c r="A360" s="4" t="s">
        <v>156</v>
      </c>
      <c r="B360" s="4" t="s">
        <v>1024</v>
      </c>
      <c r="C360" s="4" t="s">
        <v>458</v>
      </c>
      <c r="D360" s="153" t="s">
        <v>799</v>
      </c>
      <c r="E360" s="154"/>
      <c r="F360" s="4" t="s">
        <v>993</v>
      </c>
      <c r="G360" s="64">
        <v>472.899</v>
      </c>
      <c r="H360" s="14">
        <v>0</v>
      </c>
    </row>
    <row r="361" spans="4:7" ht="12.2" customHeight="1">
      <c r="D361" s="166" t="s">
        <v>1233</v>
      </c>
      <c r="E361" s="167"/>
      <c r="F361" s="167"/>
      <c r="G361" s="43">
        <v>472.899</v>
      </c>
    </row>
    <row r="362" spans="1:8" ht="12.75">
      <c r="A362" s="4" t="s">
        <v>157</v>
      </c>
      <c r="B362" s="4" t="s">
        <v>1024</v>
      </c>
      <c r="C362" s="4" t="s">
        <v>459</v>
      </c>
      <c r="D362" s="153" t="s">
        <v>800</v>
      </c>
      <c r="E362" s="154"/>
      <c r="F362" s="4" t="s">
        <v>993</v>
      </c>
      <c r="G362" s="64">
        <v>46.035</v>
      </c>
      <c r="H362" s="14">
        <v>0</v>
      </c>
    </row>
    <row r="363" spans="4:7" ht="12.2" customHeight="1">
      <c r="D363" s="166" t="s">
        <v>1237</v>
      </c>
      <c r="E363" s="167"/>
      <c r="F363" s="167"/>
      <c r="G363" s="43">
        <v>46.035</v>
      </c>
    </row>
    <row r="364" spans="1:8" ht="12.75">
      <c r="A364" s="5" t="s">
        <v>158</v>
      </c>
      <c r="B364" s="5" t="s">
        <v>1024</v>
      </c>
      <c r="C364" s="5" t="s">
        <v>460</v>
      </c>
      <c r="D364" s="157" t="s">
        <v>801</v>
      </c>
      <c r="E364" s="158"/>
      <c r="F364" s="5" t="s">
        <v>993</v>
      </c>
      <c r="G364" s="67">
        <v>48.337</v>
      </c>
      <c r="H364" s="15">
        <v>0</v>
      </c>
    </row>
    <row r="365" spans="4:7" ht="12.2" customHeight="1">
      <c r="D365" s="168" t="s">
        <v>1238</v>
      </c>
      <c r="E365" s="169"/>
      <c r="F365" s="169"/>
      <c r="G365" s="44">
        <v>46.035</v>
      </c>
    </row>
    <row r="366" spans="1:8" ht="12.2" customHeight="1">
      <c r="A366" s="5"/>
      <c r="B366" s="5"/>
      <c r="C366" s="5"/>
      <c r="D366" s="168" t="s">
        <v>1239</v>
      </c>
      <c r="E366" s="169"/>
      <c r="F366" s="168"/>
      <c r="G366" s="68">
        <v>2.302</v>
      </c>
      <c r="H366" s="26"/>
    </row>
    <row r="367" spans="1:8" ht="12.75">
      <c r="A367" s="4" t="s">
        <v>159</v>
      </c>
      <c r="B367" s="4" t="s">
        <v>1024</v>
      </c>
      <c r="C367" s="4" t="s">
        <v>461</v>
      </c>
      <c r="D367" s="153" t="s">
        <v>802</v>
      </c>
      <c r="E367" s="154"/>
      <c r="F367" s="4" t="s">
        <v>993</v>
      </c>
      <c r="G367" s="64">
        <v>472.899</v>
      </c>
      <c r="H367" s="14">
        <v>0</v>
      </c>
    </row>
    <row r="368" spans="4:7" ht="12.2" customHeight="1">
      <c r="D368" s="166" t="s">
        <v>1233</v>
      </c>
      <c r="E368" s="167"/>
      <c r="F368" s="167"/>
      <c r="G368" s="43">
        <v>472.899</v>
      </c>
    </row>
    <row r="369" spans="1:8" ht="12.75">
      <c r="A369" s="4" t="s">
        <v>160</v>
      </c>
      <c r="B369" s="4" t="s">
        <v>1024</v>
      </c>
      <c r="C369" s="4" t="s">
        <v>462</v>
      </c>
      <c r="D369" s="153" t="s">
        <v>803</v>
      </c>
      <c r="E369" s="154"/>
      <c r="F369" s="4" t="s">
        <v>993</v>
      </c>
      <c r="G369" s="64">
        <v>472.899</v>
      </c>
      <c r="H369" s="14">
        <v>0</v>
      </c>
    </row>
    <row r="370" spans="4:7" ht="12.2" customHeight="1">
      <c r="D370" s="166" t="s">
        <v>1233</v>
      </c>
      <c r="E370" s="167"/>
      <c r="F370" s="167"/>
      <c r="G370" s="43">
        <v>472.899</v>
      </c>
    </row>
    <row r="371" spans="1:8" ht="12.75">
      <c r="A371" s="5" t="s">
        <v>161</v>
      </c>
      <c r="B371" s="5" t="s">
        <v>1024</v>
      </c>
      <c r="C371" s="5" t="s">
        <v>460</v>
      </c>
      <c r="D371" s="157" t="s">
        <v>801</v>
      </c>
      <c r="E371" s="158"/>
      <c r="F371" s="5" t="s">
        <v>993</v>
      </c>
      <c r="G371" s="67">
        <v>496.544</v>
      </c>
      <c r="H371" s="15">
        <v>0</v>
      </c>
    </row>
    <row r="372" spans="4:7" ht="12.2" customHeight="1">
      <c r="D372" s="168" t="s">
        <v>1233</v>
      </c>
      <c r="E372" s="169"/>
      <c r="F372" s="169"/>
      <c r="G372" s="44">
        <v>472.899</v>
      </c>
    </row>
    <row r="373" spans="1:8" ht="12.2" customHeight="1">
      <c r="A373" s="5"/>
      <c r="B373" s="5"/>
      <c r="C373" s="5"/>
      <c r="D373" s="168" t="s">
        <v>1240</v>
      </c>
      <c r="E373" s="169"/>
      <c r="F373" s="168"/>
      <c r="G373" s="68">
        <v>23.645</v>
      </c>
      <c r="H373" s="26"/>
    </row>
    <row r="374" spans="1:8" ht="12.75">
      <c r="A374" s="4" t="s">
        <v>162</v>
      </c>
      <c r="B374" s="4" t="s">
        <v>1024</v>
      </c>
      <c r="C374" s="4" t="s">
        <v>463</v>
      </c>
      <c r="D374" s="153" t="s">
        <v>804</v>
      </c>
      <c r="E374" s="154"/>
      <c r="F374" s="4" t="s">
        <v>994</v>
      </c>
      <c r="G374" s="64">
        <v>14.05</v>
      </c>
      <c r="H374" s="14">
        <v>0</v>
      </c>
    </row>
    <row r="375" spans="4:7" ht="12.2" customHeight="1">
      <c r="D375" s="166" t="s">
        <v>1241</v>
      </c>
      <c r="E375" s="167"/>
      <c r="F375" s="167"/>
      <c r="G375" s="43">
        <v>14.05</v>
      </c>
    </row>
    <row r="376" spans="1:8" ht="12.75">
      <c r="A376" s="11"/>
      <c r="B376" s="11"/>
      <c r="C376" s="11" t="s">
        <v>599</v>
      </c>
      <c r="D376" s="151" t="s">
        <v>943</v>
      </c>
      <c r="E376" s="152"/>
      <c r="F376" s="11"/>
      <c r="G376" s="66"/>
      <c r="H376" s="24"/>
    </row>
    <row r="377" spans="1:8" ht="12.75">
      <c r="A377" s="4" t="s">
        <v>163</v>
      </c>
      <c r="B377" s="4" t="s">
        <v>1025</v>
      </c>
      <c r="C377" s="4" t="s">
        <v>600</v>
      </c>
      <c r="D377" s="153" t="s">
        <v>944</v>
      </c>
      <c r="E377" s="154"/>
      <c r="F377" s="4" t="s">
        <v>995</v>
      </c>
      <c r="G377" s="64">
        <v>207</v>
      </c>
      <c r="H377" s="14">
        <v>0</v>
      </c>
    </row>
    <row r="378" spans="1:8" ht="12.75">
      <c r="A378" s="4" t="s">
        <v>164</v>
      </c>
      <c r="B378" s="4" t="s">
        <v>1025</v>
      </c>
      <c r="C378" s="4" t="s">
        <v>601</v>
      </c>
      <c r="D378" s="153" t="s">
        <v>946</v>
      </c>
      <c r="E378" s="154"/>
      <c r="F378" s="4" t="s">
        <v>995</v>
      </c>
      <c r="G378" s="64">
        <v>207</v>
      </c>
      <c r="H378" s="14">
        <v>0</v>
      </c>
    </row>
    <row r="379" spans="1:8" ht="12.75">
      <c r="A379" s="4" t="s">
        <v>165</v>
      </c>
      <c r="B379" s="4" t="s">
        <v>1025</v>
      </c>
      <c r="C379" s="4" t="s">
        <v>602</v>
      </c>
      <c r="D379" s="153" t="s">
        <v>947</v>
      </c>
      <c r="E379" s="154"/>
      <c r="F379" s="4" t="s">
        <v>995</v>
      </c>
      <c r="G379" s="64">
        <v>207</v>
      </c>
      <c r="H379" s="14">
        <v>0</v>
      </c>
    </row>
    <row r="380" spans="1:8" ht="12.75">
      <c r="A380" s="4" t="s">
        <v>166</v>
      </c>
      <c r="B380" s="4" t="s">
        <v>1025</v>
      </c>
      <c r="C380" s="4" t="s">
        <v>603</v>
      </c>
      <c r="D380" s="153" t="s">
        <v>948</v>
      </c>
      <c r="E380" s="154"/>
      <c r="F380" s="4" t="s">
        <v>995</v>
      </c>
      <c r="G380" s="64">
        <v>207</v>
      </c>
      <c r="H380" s="14">
        <v>0</v>
      </c>
    </row>
    <row r="381" spans="1:8" ht="12.75">
      <c r="A381" s="4" t="s">
        <v>167</v>
      </c>
      <c r="B381" s="4" t="s">
        <v>1025</v>
      </c>
      <c r="C381" s="4" t="s">
        <v>604</v>
      </c>
      <c r="D381" s="153" t="s">
        <v>949</v>
      </c>
      <c r="E381" s="154"/>
      <c r="F381" s="4" t="s">
        <v>991</v>
      </c>
      <c r="G381" s="64">
        <v>4</v>
      </c>
      <c r="H381" s="14">
        <v>0</v>
      </c>
    </row>
    <row r="382" spans="1:8" ht="12.75">
      <c r="A382" s="4" t="s">
        <v>168</v>
      </c>
      <c r="B382" s="4" t="s">
        <v>1025</v>
      </c>
      <c r="C382" s="4" t="s">
        <v>605</v>
      </c>
      <c r="D382" s="153" t="s">
        <v>950</v>
      </c>
      <c r="E382" s="154"/>
      <c r="F382" s="4" t="s">
        <v>991</v>
      </c>
      <c r="G382" s="64">
        <v>1</v>
      </c>
      <c r="H382" s="14">
        <v>0</v>
      </c>
    </row>
    <row r="383" spans="1:8" ht="12.75">
      <c r="A383" s="4" t="s">
        <v>169</v>
      </c>
      <c r="B383" s="4" t="s">
        <v>1025</v>
      </c>
      <c r="C383" s="4" t="s">
        <v>606</v>
      </c>
      <c r="D383" s="153" t="s">
        <v>951</v>
      </c>
      <c r="E383" s="154"/>
      <c r="F383" s="4" t="s">
        <v>991</v>
      </c>
      <c r="G383" s="64">
        <v>1</v>
      </c>
      <c r="H383" s="14">
        <v>0</v>
      </c>
    </row>
    <row r="384" spans="1:8" ht="12.75">
      <c r="A384" s="4" t="s">
        <v>170</v>
      </c>
      <c r="B384" s="4" t="s">
        <v>1025</v>
      </c>
      <c r="C384" s="4" t="s">
        <v>607</v>
      </c>
      <c r="D384" s="153" t="s">
        <v>952</v>
      </c>
      <c r="E384" s="154"/>
      <c r="F384" s="4" t="s">
        <v>992</v>
      </c>
      <c r="G384" s="64">
        <v>83</v>
      </c>
      <c r="H384" s="14">
        <v>0</v>
      </c>
    </row>
    <row r="385" spans="1:8" ht="12.75">
      <c r="A385" s="4" t="s">
        <v>171</v>
      </c>
      <c r="B385" s="4" t="s">
        <v>1025</v>
      </c>
      <c r="C385" s="4" t="s">
        <v>608</v>
      </c>
      <c r="D385" s="153" t="s">
        <v>953</v>
      </c>
      <c r="E385" s="154"/>
      <c r="F385" s="4" t="s">
        <v>992</v>
      </c>
      <c r="G385" s="64">
        <v>34</v>
      </c>
      <c r="H385" s="14">
        <v>0</v>
      </c>
    </row>
    <row r="386" spans="1:8" ht="12.75">
      <c r="A386" s="4" t="s">
        <v>172</v>
      </c>
      <c r="B386" s="4" t="s">
        <v>1025</v>
      </c>
      <c r="C386" s="4" t="s">
        <v>609</v>
      </c>
      <c r="D386" s="153" t="s">
        <v>954</v>
      </c>
      <c r="E386" s="154"/>
      <c r="F386" s="4" t="s">
        <v>992</v>
      </c>
      <c r="G386" s="64">
        <v>133</v>
      </c>
      <c r="H386" s="14">
        <v>0</v>
      </c>
    </row>
    <row r="387" spans="1:8" ht="12.75">
      <c r="A387" s="4" t="s">
        <v>173</v>
      </c>
      <c r="B387" s="4" t="s">
        <v>1025</v>
      </c>
      <c r="C387" s="4" t="s">
        <v>610</v>
      </c>
      <c r="D387" s="153" t="s">
        <v>955</v>
      </c>
      <c r="E387" s="154"/>
      <c r="F387" s="4" t="s">
        <v>995</v>
      </c>
      <c r="G387" s="64">
        <v>146</v>
      </c>
      <c r="H387" s="14">
        <v>0</v>
      </c>
    </row>
    <row r="388" spans="1:8" ht="12.75">
      <c r="A388" s="4" t="s">
        <v>174</v>
      </c>
      <c r="B388" s="4" t="s">
        <v>1025</v>
      </c>
      <c r="C388" s="4" t="s">
        <v>611</v>
      </c>
      <c r="D388" s="153" t="s">
        <v>957</v>
      </c>
      <c r="E388" s="154"/>
      <c r="F388" s="4" t="s">
        <v>995</v>
      </c>
      <c r="G388" s="64">
        <v>43</v>
      </c>
      <c r="H388" s="14">
        <v>0</v>
      </c>
    </row>
    <row r="389" spans="1:8" ht="12.75">
      <c r="A389" s="4" t="s">
        <v>175</v>
      </c>
      <c r="B389" s="4" t="s">
        <v>1025</v>
      </c>
      <c r="C389" s="4" t="s">
        <v>612</v>
      </c>
      <c r="D389" s="153" t="s">
        <v>958</v>
      </c>
      <c r="E389" s="154"/>
      <c r="F389" s="4" t="s">
        <v>995</v>
      </c>
      <c r="G389" s="64">
        <v>18</v>
      </c>
      <c r="H389" s="14">
        <v>0</v>
      </c>
    </row>
    <row r="390" spans="1:8" ht="12.75">
      <c r="A390" s="4" t="s">
        <v>176</v>
      </c>
      <c r="B390" s="4" t="s">
        <v>1025</v>
      </c>
      <c r="C390" s="4" t="s">
        <v>613</v>
      </c>
      <c r="D390" s="153" t="s">
        <v>959</v>
      </c>
      <c r="E390" s="154"/>
      <c r="F390" s="4" t="s">
        <v>991</v>
      </c>
      <c r="G390" s="64">
        <v>2</v>
      </c>
      <c r="H390" s="14">
        <v>0</v>
      </c>
    </row>
    <row r="391" spans="1:8" ht="12.75">
      <c r="A391" s="4" t="s">
        <v>177</v>
      </c>
      <c r="B391" s="4" t="s">
        <v>1025</v>
      </c>
      <c r="C391" s="4" t="s">
        <v>614</v>
      </c>
      <c r="D391" s="153" t="s">
        <v>961</v>
      </c>
      <c r="E391" s="154"/>
      <c r="F391" s="4" t="s">
        <v>991</v>
      </c>
      <c r="G391" s="64">
        <v>1</v>
      </c>
      <c r="H391" s="14">
        <v>0</v>
      </c>
    </row>
    <row r="392" spans="1:8" ht="12.75">
      <c r="A392" s="4" t="s">
        <v>178</v>
      </c>
      <c r="B392" s="4" t="s">
        <v>1025</v>
      </c>
      <c r="C392" s="4" t="s">
        <v>615</v>
      </c>
      <c r="D392" s="153" t="s">
        <v>962</v>
      </c>
      <c r="E392" s="154"/>
      <c r="F392" s="4" t="s">
        <v>991</v>
      </c>
      <c r="G392" s="64">
        <v>1</v>
      </c>
      <c r="H392" s="14">
        <v>0</v>
      </c>
    </row>
    <row r="393" spans="1:8" ht="12.75">
      <c r="A393" s="4" t="s">
        <v>179</v>
      </c>
      <c r="B393" s="4" t="s">
        <v>1025</v>
      </c>
      <c r="C393" s="4" t="s">
        <v>616</v>
      </c>
      <c r="D393" s="153" t="s">
        <v>963</v>
      </c>
      <c r="E393" s="154"/>
      <c r="F393" s="4" t="s">
        <v>991</v>
      </c>
      <c r="G393" s="64">
        <v>5</v>
      </c>
      <c r="H393" s="14">
        <v>0</v>
      </c>
    </row>
    <row r="394" spans="1:8" ht="12.75">
      <c r="A394" s="4" t="s">
        <v>180</v>
      </c>
      <c r="B394" s="4" t="s">
        <v>1025</v>
      </c>
      <c r="C394" s="4" t="s">
        <v>617</v>
      </c>
      <c r="D394" s="153" t="s">
        <v>965</v>
      </c>
      <c r="E394" s="154"/>
      <c r="F394" s="4" t="s">
        <v>991</v>
      </c>
      <c r="G394" s="64">
        <v>1</v>
      </c>
      <c r="H394" s="14">
        <v>0</v>
      </c>
    </row>
    <row r="395" spans="1:8" ht="12.75">
      <c r="A395" s="4" t="s">
        <v>181</v>
      </c>
      <c r="B395" s="4" t="s">
        <v>1025</v>
      </c>
      <c r="C395" s="4" t="s">
        <v>618</v>
      </c>
      <c r="D395" s="153" t="s">
        <v>966</v>
      </c>
      <c r="E395" s="154"/>
      <c r="F395" s="4" t="s">
        <v>991</v>
      </c>
      <c r="G395" s="64">
        <v>1</v>
      </c>
      <c r="H395" s="14">
        <v>0</v>
      </c>
    </row>
    <row r="396" spans="1:8" ht="12.75">
      <c r="A396" s="4" t="s">
        <v>182</v>
      </c>
      <c r="B396" s="4" t="s">
        <v>1025</v>
      </c>
      <c r="C396" s="4" t="s">
        <v>619</v>
      </c>
      <c r="D396" s="153" t="s">
        <v>967</v>
      </c>
      <c r="E396" s="154"/>
      <c r="F396" s="4" t="s">
        <v>991</v>
      </c>
      <c r="G396" s="64">
        <v>1</v>
      </c>
      <c r="H396" s="14">
        <v>0</v>
      </c>
    </row>
    <row r="397" spans="1:8" ht="12.75">
      <c r="A397" s="4" t="s">
        <v>183</v>
      </c>
      <c r="B397" s="4" t="s">
        <v>1025</v>
      </c>
      <c r="C397" s="4" t="s">
        <v>620</v>
      </c>
      <c r="D397" s="153" t="s">
        <v>968</v>
      </c>
      <c r="E397" s="154"/>
      <c r="F397" s="4" t="s">
        <v>991</v>
      </c>
      <c r="G397" s="64">
        <v>5</v>
      </c>
      <c r="H397" s="14">
        <v>0</v>
      </c>
    </row>
    <row r="398" spans="1:8" ht="12.75">
      <c r="A398" s="4" t="s">
        <v>184</v>
      </c>
      <c r="B398" s="4" t="s">
        <v>1025</v>
      </c>
      <c r="C398" s="4" t="s">
        <v>621</v>
      </c>
      <c r="D398" s="153" t="s">
        <v>970</v>
      </c>
      <c r="E398" s="154"/>
      <c r="F398" s="4" t="s">
        <v>991</v>
      </c>
      <c r="G398" s="64">
        <v>445</v>
      </c>
      <c r="H398" s="14">
        <v>0</v>
      </c>
    </row>
    <row r="399" spans="1:8" ht="12.75">
      <c r="A399" s="4" t="s">
        <v>185</v>
      </c>
      <c r="B399" s="4" t="s">
        <v>1025</v>
      </c>
      <c r="C399" s="4" t="s">
        <v>622</v>
      </c>
      <c r="D399" s="153" t="s">
        <v>971</v>
      </c>
      <c r="E399" s="154"/>
      <c r="F399" s="4" t="s">
        <v>991</v>
      </c>
      <c r="G399" s="64">
        <v>1710</v>
      </c>
      <c r="H399" s="14">
        <v>0</v>
      </c>
    </row>
    <row r="400" spans="1:8" ht="12.75">
      <c r="A400" s="4" t="s">
        <v>186</v>
      </c>
      <c r="B400" s="4" t="s">
        <v>1025</v>
      </c>
      <c r="C400" s="4" t="s">
        <v>623</v>
      </c>
      <c r="D400" s="153" t="s">
        <v>972</v>
      </c>
      <c r="E400" s="154"/>
      <c r="F400" s="4" t="s">
        <v>991</v>
      </c>
      <c r="G400" s="64">
        <v>445</v>
      </c>
      <c r="H400" s="14">
        <v>0</v>
      </c>
    </row>
    <row r="401" spans="1:8" ht="12.75">
      <c r="A401" s="4" t="s">
        <v>187</v>
      </c>
      <c r="B401" s="4" t="s">
        <v>1025</v>
      </c>
      <c r="C401" s="4" t="s">
        <v>624</v>
      </c>
      <c r="D401" s="153" t="s">
        <v>973</v>
      </c>
      <c r="E401" s="154"/>
      <c r="F401" s="4" t="s">
        <v>992</v>
      </c>
      <c r="G401" s="64">
        <v>110</v>
      </c>
      <c r="H401" s="14">
        <v>0</v>
      </c>
    </row>
    <row r="402" spans="1:8" ht="12.75">
      <c r="A402" s="4" t="s">
        <v>188</v>
      </c>
      <c r="B402" s="4" t="s">
        <v>1025</v>
      </c>
      <c r="C402" s="4" t="s">
        <v>625</v>
      </c>
      <c r="D402" s="153" t="s">
        <v>974</v>
      </c>
      <c r="E402" s="154"/>
      <c r="F402" s="4" t="s">
        <v>992</v>
      </c>
      <c r="G402" s="64">
        <v>110</v>
      </c>
      <c r="H402" s="14">
        <v>0</v>
      </c>
    </row>
    <row r="403" spans="1:8" ht="12.75">
      <c r="A403" s="4" t="s">
        <v>189</v>
      </c>
      <c r="B403" s="4" t="s">
        <v>1025</v>
      </c>
      <c r="C403" s="4" t="s">
        <v>626</v>
      </c>
      <c r="D403" s="153" t="s">
        <v>975</v>
      </c>
      <c r="E403" s="154"/>
      <c r="F403" s="4" t="s">
        <v>992</v>
      </c>
      <c r="G403" s="64">
        <v>220</v>
      </c>
      <c r="H403" s="14">
        <v>0</v>
      </c>
    </row>
    <row r="404" spans="1:8" ht="12.75">
      <c r="A404" s="4" t="s">
        <v>190</v>
      </c>
      <c r="B404" s="4" t="s">
        <v>1025</v>
      </c>
      <c r="C404" s="4" t="s">
        <v>627</v>
      </c>
      <c r="D404" s="153" t="s">
        <v>976</v>
      </c>
      <c r="E404" s="154"/>
      <c r="F404" s="4" t="s">
        <v>996</v>
      </c>
      <c r="G404" s="64">
        <v>10</v>
      </c>
      <c r="H404" s="14">
        <v>0</v>
      </c>
    </row>
    <row r="405" spans="1:8" ht="12.75">
      <c r="A405" s="4" t="s">
        <v>191</v>
      </c>
      <c r="B405" s="4" t="s">
        <v>1025</v>
      </c>
      <c r="C405" s="4" t="s">
        <v>628</v>
      </c>
      <c r="D405" s="153" t="s">
        <v>977</v>
      </c>
      <c r="E405" s="154"/>
      <c r="F405" s="4" t="s">
        <v>995</v>
      </c>
      <c r="G405" s="64">
        <v>207</v>
      </c>
      <c r="H405" s="14">
        <v>0</v>
      </c>
    </row>
    <row r="406" spans="1:8" ht="12.75">
      <c r="A406" s="4" t="s">
        <v>192</v>
      </c>
      <c r="B406" s="4" t="s">
        <v>1025</v>
      </c>
      <c r="C406" s="4" t="s">
        <v>629</v>
      </c>
      <c r="D406" s="153" t="s">
        <v>978</v>
      </c>
      <c r="E406" s="154"/>
      <c r="F406" s="4" t="s">
        <v>995</v>
      </c>
      <c r="G406" s="64">
        <v>207</v>
      </c>
      <c r="H406" s="14">
        <v>0</v>
      </c>
    </row>
    <row r="407" spans="1:8" ht="12.75">
      <c r="A407" s="4" t="s">
        <v>193</v>
      </c>
      <c r="B407" s="4" t="s">
        <v>1025</v>
      </c>
      <c r="C407" s="4" t="s">
        <v>630</v>
      </c>
      <c r="D407" s="153" t="s">
        <v>979</v>
      </c>
      <c r="E407" s="154"/>
      <c r="F407" s="4" t="s">
        <v>995</v>
      </c>
      <c r="G407" s="64">
        <v>207</v>
      </c>
      <c r="H407" s="14">
        <v>0</v>
      </c>
    </row>
    <row r="408" spans="1:8" ht="12.75">
      <c r="A408" s="4" t="s">
        <v>194</v>
      </c>
      <c r="B408" s="4" t="s">
        <v>1025</v>
      </c>
      <c r="C408" s="4" t="s">
        <v>631</v>
      </c>
      <c r="D408" s="153" t="s">
        <v>980</v>
      </c>
      <c r="E408" s="154"/>
      <c r="F408" s="4" t="s">
        <v>991</v>
      </c>
      <c r="G408" s="64">
        <v>1</v>
      </c>
      <c r="H408" s="14">
        <v>0</v>
      </c>
    </row>
    <row r="409" spans="1:8" ht="12.75">
      <c r="A409" s="4" t="s">
        <v>195</v>
      </c>
      <c r="B409" s="4" t="s">
        <v>1025</v>
      </c>
      <c r="C409" s="4" t="s">
        <v>632</v>
      </c>
      <c r="D409" s="153" t="s">
        <v>981</v>
      </c>
      <c r="E409" s="154"/>
      <c r="F409" s="4" t="s">
        <v>991</v>
      </c>
      <c r="G409" s="64">
        <v>1</v>
      </c>
      <c r="H409" s="14">
        <v>0</v>
      </c>
    </row>
    <row r="410" spans="1:8" ht="12.75">
      <c r="A410" s="4" t="s">
        <v>196</v>
      </c>
      <c r="B410" s="4" t="s">
        <v>1025</v>
      </c>
      <c r="C410" s="4" t="s">
        <v>633</v>
      </c>
      <c r="D410" s="153" t="s">
        <v>982</v>
      </c>
      <c r="E410" s="154"/>
      <c r="F410" s="4" t="s">
        <v>991</v>
      </c>
      <c r="G410" s="64">
        <v>1</v>
      </c>
      <c r="H410" s="14">
        <v>0</v>
      </c>
    </row>
    <row r="411" spans="1:8" ht="12.75">
      <c r="A411" s="4" t="s">
        <v>197</v>
      </c>
      <c r="B411" s="4" t="s">
        <v>1025</v>
      </c>
      <c r="C411" s="4" t="s">
        <v>634</v>
      </c>
      <c r="D411" s="153" t="s">
        <v>983</v>
      </c>
      <c r="E411" s="154"/>
      <c r="F411" s="4" t="s">
        <v>991</v>
      </c>
      <c r="G411" s="64">
        <v>1</v>
      </c>
      <c r="H411" s="14">
        <v>0</v>
      </c>
    </row>
    <row r="412" spans="1:8" ht="12.75">
      <c r="A412" s="4" t="s">
        <v>198</v>
      </c>
      <c r="B412" s="4" t="s">
        <v>1025</v>
      </c>
      <c r="C412" s="4" t="s">
        <v>635</v>
      </c>
      <c r="D412" s="153" t="s">
        <v>984</v>
      </c>
      <c r="E412" s="154"/>
      <c r="F412" s="4" t="s">
        <v>991</v>
      </c>
      <c r="G412" s="64">
        <v>1</v>
      </c>
      <c r="H412" s="14">
        <v>0</v>
      </c>
    </row>
    <row r="413" spans="1:8" ht="12.75">
      <c r="A413" s="11"/>
      <c r="B413" s="11"/>
      <c r="C413" s="11" t="s">
        <v>464</v>
      </c>
      <c r="D413" s="151" t="s">
        <v>805</v>
      </c>
      <c r="E413" s="152"/>
      <c r="F413" s="11"/>
      <c r="G413" s="66"/>
      <c r="H413" s="24"/>
    </row>
    <row r="414" spans="1:8" ht="12.75">
      <c r="A414" s="4" t="s">
        <v>199</v>
      </c>
      <c r="B414" s="4" t="s">
        <v>1024</v>
      </c>
      <c r="C414" s="4" t="s">
        <v>465</v>
      </c>
      <c r="D414" s="153" t="s">
        <v>806</v>
      </c>
      <c r="E414" s="154"/>
      <c r="F414" s="4" t="s">
        <v>996</v>
      </c>
      <c r="G414" s="64">
        <v>30</v>
      </c>
      <c r="H414" s="14">
        <v>0</v>
      </c>
    </row>
    <row r="415" spans="1:8" ht="12.75">
      <c r="A415" s="4" t="s">
        <v>200</v>
      </c>
      <c r="B415" s="4" t="s">
        <v>1024</v>
      </c>
      <c r="C415" s="4" t="s">
        <v>466</v>
      </c>
      <c r="D415" s="153" t="s">
        <v>807</v>
      </c>
      <c r="E415" s="154"/>
      <c r="F415" s="4" t="s">
        <v>996</v>
      </c>
      <c r="G415" s="64">
        <v>30</v>
      </c>
      <c r="H415" s="14">
        <v>0</v>
      </c>
    </row>
    <row r="416" spans="1:8" ht="12.75">
      <c r="A416" s="4" t="s">
        <v>201</v>
      </c>
      <c r="B416" s="4" t="s">
        <v>1024</v>
      </c>
      <c r="C416" s="4" t="s">
        <v>467</v>
      </c>
      <c r="D416" s="153" t="s">
        <v>808</v>
      </c>
      <c r="E416" s="154"/>
      <c r="F416" s="4" t="s">
        <v>991</v>
      </c>
      <c r="G416" s="64">
        <v>1</v>
      </c>
      <c r="H416" s="14">
        <v>0</v>
      </c>
    </row>
    <row r="417" spans="1:8" ht="12.75">
      <c r="A417" s="4" t="s">
        <v>202</v>
      </c>
      <c r="B417" s="4" t="s">
        <v>1024</v>
      </c>
      <c r="C417" s="4" t="s">
        <v>468</v>
      </c>
      <c r="D417" s="153" t="s">
        <v>809</v>
      </c>
      <c r="E417" s="154"/>
      <c r="F417" s="4" t="s">
        <v>991</v>
      </c>
      <c r="G417" s="64">
        <v>1</v>
      </c>
      <c r="H417" s="14">
        <v>0</v>
      </c>
    </row>
    <row r="418" spans="1:8" ht="12.75">
      <c r="A418" s="4" t="s">
        <v>203</v>
      </c>
      <c r="B418" s="4" t="s">
        <v>1024</v>
      </c>
      <c r="C418" s="4" t="s">
        <v>469</v>
      </c>
      <c r="D418" s="153" t="s">
        <v>810</v>
      </c>
      <c r="E418" s="154"/>
      <c r="F418" s="4" t="s">
        <v>991</v>
      </c>
      <c r="G418" s="64">
        <v>1</v>
      </c>
      <c r="H418" s="14">
        <v>0</v>
      </c>
    </row>
    <row r="419" spans="1:8" ht="12.75">
      <c r="A419" s="11"/>
      <c r="B419" s="11"/>
      <c r="C419" s="11" t="s">
        <v>470</v>
      </c>
      <c r="D419" s="151" t="s">
        <v>811</v>
      </c>
      <c r="E419" s="152"/>
      <c r="F419" s="11"/>
      <c r="G419" s="66"/>
      <c r="H419" s="24"/>
    </row>
    <row r="420" spans="1:8" ht="12.75">
      <c r="A420" s="4" t="s">
        <v>204</v>
      </c>
      <c r="B420" s="4" t="s">
        <v>1024</v>
      </c>
      <c r="C420" s="4" t="s">
        <v>471</v>
      </c>
      <c r="D420" s="153" t="s">
        <v>812</v>
      </c>
      <c r="E420" s="154"/>
      <c r="F420" s="4" t="s">
        <v>991</v>
      </c>
      <c r="G420" s="64">
        <v>1</v>
      </c>
      <c r="H420" s="14">
        <v>0</v>
      </c>
    </row>
    <row r="421" spans="4:7" ht="12.2" customHeight="1">
      <c r="D421" s="166" t="s">
        <v>1094</v>
      </c>
      <c r="E421" s="167"/>
      <c r="F421" s="167"/>
      <c r="G421" s="43">
        <v>1</v>
      </c>
    </row>
    <row r="422" spans="1:8" ht="12.75">
      <c r="A422" s="4" t="s">
        <v>205</v>
      </c>
      <c r="B422" s="4" t="s">
        <v>1024</v>
      </c>
      <c r="C422" s="4" t="s">
        <v>472</v>
      </c>
      <c r="D422" s="153" t="s">
        <v>813</v>
      </c>
      <c r="E422" s="154"/>
      <c r="F422" s="4" t="s">
        <v>991</v>
      </c>
      <c r="G422" s="64">
        <v>2</v>
      </c>
      <c r="H422" s="14">
        <v>0</v>
      </c>
    </row>
    <row r="423" spans="4:7" ht="12.2" customHeight="1">
      <c r="D423" s="166" t="s">
        <v>1177</v>
      </c>
      <c r="E423" s="167"/>
      <c r="F423" s="167"/>
      <c r="G423" s="43">
        <v>2</v>
      </c>
    </row>
    <row r="424" spans="1:8" ht="12.75">
      <c r="A424" s="4" t="s">
        <v>206</v>
      </c>
      <c r="B424" s="4" t="s">
        <v>1024</v>
      </c>
      <c r="C424" s="4" t="s">
        <v>473</v>
      </c>
      <c r="D424" s="153" t="s">
        <v>814</v>
      </c>
      <c r="E424" s="154"/>
      <c r="F424" s="4" t="s">
        <v>993</v>
      </c>
      <c r="G424" s="64">
        <v>472.899</v>
      </c>
      <c r="H424" s="14">
        <v>0</v>
      </c>
    </row>
    <row r="425" spans="4:7" ht="12.2" customHeight="1">
      <c r="D425" s="166" t="s">
        <v>1233</v>
      </c>
      <c r="E425" s="167"/>
      <c r="F425" s="167"/>
      <c r="G425" s="43">
        <v>472.899</v>
      </c>
    </row>
    <row r="426" spans="1:8" ht="12.75">
      <c r="A426" s="4" t="s">
        <v>207</v>
      </c>
      <c r="B426" s="4" t="s">
        <v>1024</v>
      </c>
      <c r="C426" s="4" t="s">
        <v>474</v>
      </c>
      <c r="D426" s="153" t="s">
        <v>816</v>
      </c>
      <c r="E426" s="154"/>
      <c r="F426" s="4" t="s">
        <v>995</v>
      </c>
      <c r="G426" s="64">
        <v>16.29</v>
      </c>
      <c r="H426" s="14">
        <v>0</v>
      </c>
    </row>
    <row r="427" spans="4:7" ht="12.2" customHeight="1">
      <c r="D427" s="166" t="s">
        <v>1242</v>
      </c>
      <c r="E427" s="167"/>
      <c r="F427" s="167"/>
      <c r="G427" s="43">
        <v>16.29</v>
      </c>
    </row>
    <row r="428" spans="1:8" ht="12.75">
      <c r="A428" s="4" t="s">
        <v>208</v>
      </c>
      <c r="B428" s="4" t="s">
        <v>1024</v>
      </c>
      <c r="C428" s="4" t="s">
        <v>475</v>
      </c>
      <c r="D428" s="153" t="s">
        <v>817</v>
      </c>
      <c r="E428" s="154"/>
      <c r="F428" s="4" t="s">
        <v>993</v>
      </c>
      <c r="G428" s="64">
        <v>472.899</v>
      </c>
      <c r="H428" s="14">
        <v>0</v>
      </c>
    </row>
    <row r="429" spans="4:7" ht="12.2" customHeight="1">
      <c r="D429" s="166" t="s">
        <v>1233</v>
      </c>
      <c r="E429" s="167"/>
      <c r="F429" s="167"/>
      <c r="G429" s="43">
        <v>472.899</v>
      </c>
    </row>
    <row r="430" spans="1:8" ht="12.75">
      <c r="A430" s="5" t="s">
        <v>209</v>
      </c>
      <c r="B430" s="5" t="s">
        <v>1024</v>
      </c>
      <c r="C430" s="5" t="s">
        <v>476</v>
      </c>
      <c r="D430" s="157" t="s">
        <v>818</v>
      </c>
      <c r="E430" s="158"/>
      <c r="F430" s="5" t="s">
        <v>993</v>
      </c>
      <c r="G430" s="67">
        <v>496.544</v>
      </c>
      <c r="H430" s="15">
        <v>0</v>
      </c>
    </row>
    <row r="431" spans="4:7" ht="12.2" customHeight="1">
      <c r="D431" s="168" t="s">
        <v>1233</v>
      </c>
      <c r="E431" s="169"/>
      <c r="F431" s="169"/>
      <c r="G431" s="44">
        <v>472.899</v>
      </c>
    </row>
    <row r="432" spans="1:8" ht="12.2" customHeight="1">
      <c r="A432" s="5"/>
      <c r="B432" s="5"/>
      <c r="C432" s="5"/>
      <c r="D432" s="168" t="s">
        <v>1240</v>
      </c>
      <c r="E432" s="169"/>
      <c r="F432" s="168"/>
      <c r="G432" s="68">
        <v>23.645</v>
      </c>
      <c r="H432" s="26"/>
    </row>
    <row r="433" spans="1:8" ht="12.75">
      <c r="A433" s="4" t="s">
        <v>210</v>
      </c>
      <c r="B433" s="4" t="s">
        <v>1024</v>
      </c>
      <c r="C433" s="4" t="s">
        <v>477</v>
      </c>
      <c r="D433" s="153" t="s">
        <v>819</v>
      </c>
      <c r="E433" s="154"/>
      <c r="F433" s="4" t="s">
        <v>993</v>
      </c>
      <c r="G433" s="64">
        <v>472.899</v>
      </c>
      <c r="H433" s="14">
        <v>0</v>
      </c>
    </row>
    <row r="434" spans="4:7" ht="12.2" customHeight="1">
      <c r="D434" s="166" t="s">
        <v>1243</v>
      </c>
      <c r="E434" s="167"/>
      <c r="F434" s="167"/>
      <c r="G434" s="43">
        <v>300.889</v>
      </c>
    </row>
    <row r="435" spans="1:8" ht="12.2" customHeight="1">
      <c r="A435" s="4"/>
      <c r="B435" s="4"/>
      <c r="C435" s="4"/>
      <c r="D435" s="166" t="s">
        <v>1244</v>
      </c>
      <c r="E435" s="167"/>
      <c r="F435" s="166"/>
      <c r="G435" s="65">
        <v>172.01</v>
      </c>
      <c r="H435" s="25"/>
    </row>
    <row r="436" spans="1:8" ht="12.75">
      <c r="A436" s="4" t="s">
        <v>211</v>
      </c>
      <c r="B436" s="4" t="s">
        <v>1024</v>
      </c>
      <c r="C436" s="4" t="s">
        <v>478</v>
      </c>
      <c r="D436" s="153" t="s">
        <v>820</v>
      </c>
      <c r="E436" s="154"/>
      <c r="F436" s="4" t="s">
        <v>994</v>
      </c>
      <c r="G436" s="64">
        <v>19.685</v>
      </c>
      <c r="H436" s="14">
        <v>0</v>
      </c>
    </row>
    <row r="437" spans="4:7" ht="12.2" customHeight="1">
      <c r="D437" s="166" t="s">
        <v>1245</v>
      </c>
      <c r="E437" s="167"/>
      <c r="F437" s="167"/>
      <c r="G437" s="43">
        <v>19.685</v>
      </c>
    </row>
    <row r="438" spans="1:8" ht="12.75">
      <c r="A438" s="11"/>
      <c r="B438" s="11"/>
      <c r="C438" s="11" t="s">
        <v>479</v>
      </c>
      <c r="D438" s="151" t="s">
        <v>821</v>
      </c>
      <c r="E438" s="152"/>
      <c r="F438" s="11"/>
      <c r="G438" s="66"/>
      <c r="H438" s="24"/>
    </row>
    <row r="439" spans="1:8" ht="12.75">
      <c r="A439" s="4" t="s">
        <v>212</v>
      </c>
      <c r="B439" s="4" t="s">
        <v>1024</v>
      </c>
      <c r="C439" s="4" t="s">
        <v>480</v>
      </c>
      <c r="D439" s="153" t="s">
        <v>822</v>
      </c>
      <c r="E439" s="154"/>
      <c r="F439" s="4" t="s">
        <v>993</v>
      </c>
      <c r="G439" s="64">
        <v>2.46</v>
      </c>
      <c r="H439" s="14">
        <v>0</v>
      </c>
    </row>
    <row r="440" spans="4:7" ht="12.2" customHeight="1">
      <c r="D440" s="166" t="s">
        <v>1234</v>
      </c>
      <c r="E440" s="167"/>
      <c r="F440" s="167"/>
      <c r="G440" s="43">
        <v>2.46</v>
      </c>
    </row>
    <row r="441" spans="1:8" ht="12.75">
      <c r="A441" s="4" t="s">
        <v>213</v>
      </c>
      <c r="B441" s="4" t="s">
        <v>1024</v>
      </c>
      <c r="C441" s="4" t="s">
        <v>481</v>
      </c>
      <c r="D441" s="153" t="s">
        <v>823</v>
      </c>
      <c r="E441" s="154"/>
      <c r="F441" s="4" t="s">
        <v>993</v>
      </c>
      <c r="G441" s="64">
        <v>472.899</v>
      </c>
      <c r="H441" s="14">
        <v>0</v>
      </c>
    </row>
    <row r="442" spans="4:7" ht="12.2" customHeight="1">
      <c r="D442" s="166" t="s">
        <v>1243</v>
      </c>
      <c r="E442" s="167"/>
      <c r="F442" s="167"/>
      <c r="G442" s="43">
        <v>300.889</v>
      </c>
    </row>
    <row r="443" spans="1:8" ht="12.2" customHeight="1">
      <c r="A443" s="4"/>
      <c r="B443" s="4"/>
      <c r="C443" s="4"/>
      <c r="D443" s="166" t="s">
        <v>1244</v>
      </c>
      <c r="E443" s="167"/>
      <c r="F443" s="166"/>
      <c r="G443" s="65">
        <v>172.01</v>
      </c>
      <c r="H443" s="25"/>
    </row>
    <row r="444" spans="1:8" ht="12.75">
      <c r="A444" s="4" t="s">
        <v>214</v>
      </c>
      <c r="B444" s="4" t="s">
        <v>1024</v>
      </c>
      <c r="C444" s="4" t="s">
        <v>482</v>
      </c>
      <c r="D444" s="153" t="s">
        <v>824</v>
      </c>
      <c r="E444" s="154"/>
      <c r="F444" s="4" t="s">
        <v>995</v>
      </c>
      <c r="G444" s="64">
        <v>95.58</v>
      </c>
      <c r="H444" s="14">
        <v>0</v>
      </c>
    </row>
    <row r="445" spans="4:7" ht="12.2" customHeight="1">
      <c r="D445" s="166" t="s">
        <v>1246</v>
      </c>
      <c r="E445" s="167"/>
      <c r="F445" s="167"/>
      <c r="G445" s="43">
        <v>95.58</v>
      </c>
    </row>
    <row r="446" spans="1:8" ht="12.75">
      <c r="A446" s="4" t="s">
        <v>215</v>
      </c>
      <c r="B446" s="4" t="s">
        <v>1024</v>
      </c>
      <c r="C446" s="4" t="s">
        <v>483</v>
      </c>
      <c r="D446" s="153" t="s">
        <v>825</v>
      </c>
      <c r="E446" s="154"/>
      <c r="F446" s="4" t="s">
        <v>995</v>
      </c>
      <c r="G446" s="64">
        <v>96</v>
      </c>
      <c r="H446" s="14">
        <v>0</v>
      </c>
    </row>
    <row r="447" spans="4:7" ht="12.2" customHeight="1">
      <c r="D447" s="166" t="s">
        <v>1247</v>
      </c>
      <c r="E447" s="167"/>
      <c r="F447" s="167"/>
      <c r="G447" s="43">
        <v>96</v>
      </c>
    </row>
    <row r="448" spans="1:8" ht="12.75">
      <c r="A448" s="4" t="s">
        <v>216</v>
      </c>
      <c r="B448" s="4" t="s">
        <v>1024</v>
      </c>
      <c r="C448" s="4" t="s">
        <v>484</v>
      </c>
      <c r="D448" s="153" t="s">
        <v>826</v>
      </c>
      <c r="E448" s="154"/>
      <c r="F448" s="4" t="s">
        <v>995</v>
      </c>
      <c r="G448" s="64">
        <v>3.95</v>
      </c>
      <c r="H448" s="14">
        <v>0</v>
      </c>
    </row>
    <row r="449" spans="4:7" ht="12.2" customHeight="1">
      <c r="D449" s="166" t="s">
        <v>1248</v>
      </c>
      <c r="E449" s="167"/>
      <c r="F449" s="167"/>
      <c r="G449" s="43">
        <v>3.95</v>
      </c>
    </row>
    <row r="450" spans="1:8" ht="12.75">
      <c r="A450" s="4" t="s">
        <v>217</v>
      </c>
      <c r="B450" s="4" t="s">
        <v>1024</v>
      </c>
      <c r="C450" s="4" t="s">
        <v>485</v>
      </c>
      <c r="D450" s="153" t="s">
        <v>826</v>
      </c>
      <c r="E450" s="154"/>
      <c r="F450" s="4" t="s">
        <v>995</v>
      </c>
      <c r="G450" s="64">
        <v>48.95</v>
      </c>
      <c r="H450" s="14">
        <v>0</v>
      </c>
    </row>
    <row r="451" spans="4:7" ht="12.2" customHeight="1">
      <c r="D451" s="166" t="s">
        <v>1249</v>
      </c>
      <c r="E451" s="167"/>
      <c r="F451" s="167"/>
      <c r="G451" s="43">
        <v>48.95</v>
      </c>
    </row>
    <row r="452" spans="1:8" ht="12.75">
      <c r="A452" s="4" t="s">
        <v>218</v>
      </c>
      <c r="B452" s="4" t="s">
        <v>1024</v>
      </c>
      <c r="C452" s="4" t="s">
        <v>486</v>
      </c>
      <c r="D452" s="153" t="s">
        <v>827</v>
      </c>
      <c r="E452" s="154"/>
      <c r="F452" s="4" t="s">
        <v>995</v>
      </c>
      <c r="G452" s="64">
        <v>27.6</v>
      </c>
      <c r="H452" s="14">
        <v>0</v>
      </c>
    </row>
    <row r="453" spans="4:7" ht="12.2" customHeight="1">
      <c r="D453" s="166" t="s">
        <v>1250</v>
      </c>
      <c r="E453" s="167"/>
      <c r="F453" s="167"/>
      <c r="G453" s="43">
        <v>27.6</v>
      </c>
    </row>
    <row r="454" spans="1:8" ht="12.75">
      <c r="A454" s="4" t="s">
        <v>219</v>
      </c>
      <c r="B454" s="4" t="s">
        <v>1024</v>
      </c>
      <c r="C454" s="4" t="s">
        <v>487</v>
      </c>
      <c r="D454" s="153" t="s">
        <v>828</v>
      </c>
      <c r="E454" s="154"/>
      <c r="F454" s="4" t="s">
        <v>995</v>
      </c>
      <c r="G454" s="64">
        <v>5</v>
      </c>
      <c r="H454" s="14">
        <v>0</v>
      </c>
    </row>
    <row r="455" spans="4:7" ht="12.2" customHeight="1">
      <c r="D455" s="166" t="s">
        <v>1251</v>
      </c>
      <c r="E455" s="167"/>
      <c r="F455" s="167"/>
      <c r="G455" s="43">
        <v>5</v>
      </c>
    </row>
    <row r="456" spans="1:8" ht="12.75">
      <c r="A456" s="4" t="s">
        <v>220</v>
      </c>
      <c r="B456" s="4" t="s">
        <v>1024</v>
      </c>
      <c r="C456" s="4" t="s">
        <v>488</v>
      </c>
      <c r="D456" s="153" t="s">
        <v>829</v>
      </c>
      <c r="E456" s="154"/>
      <c r="F456" s="4" t="s">
        <v>995</v>
      </c>
      <c r="G456" s="64">
        <v>4.05</v>
      </c>
      <c r="H456" s="14">
        <v>0</v>
      </c>
    </row>
    <row r="457" spans="4:7" ht="12.2" customHeight="1">
      <c r="D457" s="166" t="s">
        <v>1252</v>
      </c>
      <c r="E457" s="167"/>
      <c r="F457" s="167"/>
      <c r="G457" s="43">
        <v>4.05</v>
      </c>
    </row>
    <row r="458" spans="1:8" ht="12.75">
      <c r="A458" s="4" t="s">
        <v>221</v>
      </c>
      <c r="B458" s="4" t="s">
        <v>1024</v>
      </c>
      <c r="C458" s="4" t="s">
        <v>489</v>
      </c>
      <c r="D458" s="153" t="s">
        <v>830</v>
      </c>
      <c r="E458" s="154"/>
      <c r="F458" s="4" t="s">
        <v>995</v>
      </c>
      <c r="G458" s="64">
        <v>1.38</v>
      </c>
      <c r="H458" s="14">
        <v>0</v>
      </c>
    </row>
    <row r="459" spans="4:7" ht="12.2" customHeight="1">
      <c r="D459" s="166" t="s">
        <v>1253</v>
      </c>
      <c r="E459" s="167"/>
      <c r="F459" s="167"/>
      <c r="G459" s="43">
        <v>1.38</v>
      </c>
    </row>
    <row r="460" spans="1:8" ht="12.75">
      <c r="A460" s="4" t="s">
        <v>222</v>
      </c>
      <c r="B460" s="4" t="s">
        <v>1024</v>
      </c>
      <c r="C460" s="4" t="s">
        <v>490</v>
      </c>
      <c r="D460" s="153" t="s">
        <v>831</v>
      </c>
      <c r="E460" s="154"/>
      <c r="F460" s="4" t="s">
        <v>995</v>
      </c>
      <c r="G460" s="64">
        <v>7.32</v>
      </c>
      <c r="H460" s="14">
        <v>0</v>
      </c>
    </row>
    <row r="461" spans="4:7" ht="12.2" customHeight="1">
      <c r="D461" s="166" t="s">
        <v>1254</v>
      </c>
      <c r="E461" s="167"/>
      <c r="F461" s="167"/>
      <c r="G461" s="43">
        <v>7.32</v>
      </c>
    </row>
    <row r="462" spans="1:8" ht="12.75">
      <c r="A462" s="4" t="s">
        <v>223</v>
      </c>
      <c r="B462" s="4" t="s">
        <v>1024</v>
      </c>
      <c r="C462" s="4" t="s">
        <v>491</v>
      </c>
      <c r="D462" s="153" t="s">
        <v>832</v>
      </c>
      <c r="E462" s="154"/>
      <c r="F462" s="4" t="s">
        <v>995</v>
      </c>
      <c r="G462" s="64">
        <v>2.58</v>
      </c>
      <c r="H462" s="14">
        <v>0</v>
      </c>
    </row>
    <row r="463" spans="4:7" ht="12.2" customHeight="1">
      <c r="D463" s="166" t="s">
        <v>1255</v>
      </c>
      <c r="E463" s="167"/>
      <c r="F463" s="167"/>
      <c r="G463" s="43">
        <v>2.58</v>
      </c>
    </row>
    <row r="464" spans="1:8" ht="12.75">
      <c r="A464" s="4" t="s">
        <v>224</v>
      </c>
      <c r="B464" s="4" t="s">
        <v>1024</v>
      </c>
      <c r="C464" s="4" t="s">
        <v>491</v>
      </c>
      <c r="D464" s="153" t="s">
        <v>833</v>
      </c>
      <c r="E464" s="154"/>
      <c r="F464" s="4" t="s">
        <v>995</v>
      </c>
      <c r="G464" s="64">
        <v>4.3</v>
      </c>
      <c r="H464" s="14">
        <v>0</v>
      </c>
    </row>
    <row r="465" spans="4:7" ht="12.2" customHeight="1">
      <c r="D465" s="166" t="s">
        <v>1256</v>
      </c>
      <c r="E465" s="167"/>
      <c r="F465" s="167"/>
      <c r="G465" s="43">
        <v>4.3</v>
      </c>
    </row>
    <row r="466" spans="1:8" ht="12.75">
      <c r="A466" s="4" t="s">
        <v>225</v>
      </c>
      <c r="B466" s="4" t="s">
        <v>1024</v>
      </c>
      <c r="C466" s="4" t="s">
        <v>492</v>
      </c>
      <c r="D466" s="153" t="s">
        <v>834</v>
      </c>
      <c r="E466" s="154"/>
      <c r="F466" s="4" t="s">
        <v>995</v>
      </c>
      <c r="G466" s="64">
        <v>99.91</v>
      </c>
      <c r="H466" s="14">
        <v>0</v>
      </c>
    </row>
    <row r="467" spans="4:7" ht="12.2" customHeight="1">
      <c r="D467" s="166" t="s">
        <v>1257</v>
      </c>
      <c r="E467" s="167"/>
      <c r="F467" s="167"/>
      <c r="G467" s="43">
        <v>69.2</v>
      </c>
    </row>
    <row r="468" spans="1:8" ht="12.2" customHeight="1">
      <c r="A468" s="4"/>
      <c r="B468" s="4"/>
      <c r="C468" s="4"/>
      <c r="D468" s="166" t="s">
        <v>1258</v>
      </c>
      <c r="E468" s="167"/>
      <c r="F468" s="166"/>
      <c r="G468" s="65">
        <v>30.71</v>
      </c>
      <c r="H468" s="25"/>
    </row>
    <row r="469" spans="1:8" ht="12.75">
      <c r="A469" s="4" t="s">
        <v>226</v>
      </c>
      <c r="B469" s="4" t="s">
        <v>1024</v>
      </c>
      <c r="C469" s="4" t="s">
        <v>493</v>
      </c>
      <c r="D469" s="153" t="s">
        <v>835</v>
      </c>
      <c r="E469" s="154"/>
      <c r="F469" s="4" t="s">
        <v>991</v>
      </c>
      <c r="G469" s="64">
        <v>5</v>
      </c>
      <c r="H469" s="14">
        <v>0</v>
      </c>
    </row>
    <row r="470" spans="4:7" ht="12.2" customHeight="1">
      <c r="D470" s="166" t="s">
        <v>1176</v>
      </c>
      <c r="E470" s="167"/>
      <c r="F470" s="167"/>
      <c r="G470" s="43">
        <v>5</v>
      </c>
    </row>
    <row r="471" spans="1:8" ht="12.75">
      <c r="A471" s="4" t="s">
        <v>227</v>
      </c>
      <c r="B471" s="4" t="s">
        <v>1024</v>
      </c>
      <c r="C471" s="4" t="s">
        <v>494</v>
      </c>
      <c r="D471" s="153" t="s">
        <v>836</v>
      </c>
      <c r="E471" s="154"/>
      <c r="F471" s="4" t="s">
        <v>995</v>
      </c>
      <c r="G471" s="64">
        <v>41.655</v>
      </c>
      <c r="H471" s="14">
        <v>0</v>
      </c>
    </row>
    <row r="472" spans="4:7" ht="12.2" customHeight="1">
      <c r="D472" s="166" t="s">
        <v>1259</v>
      </c>
      <c r="E472" s="167"/>
      <c r="F472" s="167"/>
      <c r="G472" s="43">
        <v>41.655</v>
      </c>
    </row>
    <row r="473" spans="1:8" ht="12.75">
      <c r="A473" s="4" t="s">
        <v>228</v>
      </c>
      <c r="B473" s="4" t="s">
        <v>1024</v>
      </c>
      <c r="C473" s="4" t="s">
        <v>495</v>
      </c>
      <c r="D473" s="153" t="s">
        <v>837</v>
      </c>
      <c r="E473" s="154"/>
      <c r="F473" s="4" t="s">
        <v>993</v>
      </c>
      <c r="G473" s="64">
        <v>0.83</v>
      </c>
      <c r="H473" s="14">
        <v>0</v>
      </c>
    </row>
    <row r="474" spans="4:7" ht="12.2" customHeight="1">
      <c r="D474" s="166" t="s">
        <v>1260</v>
      </c>
      <c r="E474" s="167"/>
      <c r="F474" s="167"/>
      <c r="G474" s="43">
        <v>0.83</v>
      </c>
    </row>
    <row r="475" spans="1:8" ht="12.75">
      <c r="A475" s="4" t="s">
        <v>229</v>
      </c>
      <c r="B475" s="4" t="s">
        <v>1024</v>
      </c>
      <c r="C475" s="4" t="s">
        <v>496</v>
      </c>
      <c r="D475" s="153" t="s">
        <v>838</v>
      </c>
      <c r="E475" s="154"/>
      <c r="F475" s="4" t="s">
        <v>995</v>
      </c>
      <c r="G475" s="64">
        <v>42</v>
      </c>
      <c r="H475" s="14">
        <v>0</v>
      </c>
    </row>
    <row r="476" spans="4:7" ht="12.2" customHeight="1">
      <c r="D476" s="166" t="s">
        <v>1261</v>
      </c>
      <c r="E476" s="167"/>
      <c r="F476" s="167"/>
      <c r="G476" s="43">
        <v>42</v>
      </c>
    </row>
    <row r="477" spans="1:8" ht="12.75">
      <c r="A477" s="4" t="s">
        <v>230</v>
      </c>
      <c r="B477" s="4" t="s">
        <v>1024</v>
      </c>
      <c r="C477" s="4" t="s">
        <v>497</v>
      </c>
      <c r="D477" s="153" t="s">
        <v>839</v>
      </c>
      <c r="E477" s="154"/>
      <c r="F477" s="4" t="s">
        <v>995</v>
      </c>
      <c r="G477" s="64">
        <v>106</v>
      </c>
      <c r="H477" s="14">
        <v>0</v>
      </c>
    </row>
    <row r="478" spans="4:7" ht="12.2" customHeight="1">
      <c r="D478" s="166" t="s">
        <v>1262</v>
      </c>
      <c r="E478" s="167"/>
      <c r="F478" s="167"/>
      <c r="G478" s="43">
        <v>106</v>
      </c>
    </row>
    <row r="479" spans="1:8" ht="12.75">
      <c r="A479" s="4" t="s">
        <v>231</v>
      </c>
      <c r="B479" s="4" t="s">
        <v>1024</v>
      </c>
      <c r="C479" s="4" t="s">
        <v>498</v>
      </c>
      <c r="D479" s="153" t="s">
        <v>840</v>
      </c>
      <c r="E479" s="154"/>
      <c r="F479" s="4" t="s">
        <v>991</v>
      </c>
      <c r="G479" s="64">
        <v>24</v>
      </c>
      <c r="H479" s="14">
        <v>0</v>
      </c>
    </row>
    <row r="480" spans="4:7" ht="12.2" customHeight="1">
      <c r="D480" s="166" t="s">
        <v>1263</v>
      </c>
      <c r="E480" s="167"/>
      <c r="F480" s="167"/>
      <c r="G480" s="43">
        <v>24</v>
      </c>
    </row>
    <row r="481" spans="1:8" ht="12.75">
      <c r="A481" s="4" t="s">
        <v>232</v>
      </c>
      <c r="B481" s="4" t="s">
        <v>1024</v>
      </c>
      <c r="C481" s="4" t="s">
        <v>499</v>
      </c>
      <c r="D481" s="153" t="s">
        <v>841</v>
      </c>
      <c r="E481" s="154"/>
      <c r="F481" s="4" t="s">
        <v>995</v>
      </c>
      <c r="G481" s="64">
        <v>96</v>
      </c>
      <c r="H481" s="14">
        <v>0</v>
      </c>
    </row>
    <row r="482" spans="4:7" ht="12.2" customHeight="1">
      <c r="D482" s="166" t="s">
        <v>1247</v>
      </c>
      <c r="E482" s="167"/>
      <c r="F482" s="167"/>
      <c r="G482" s="43">
        <v>96</v>
      </c>
    </row>
    <row r="483" spans="1:8" ht="12.75">
      <c r="A483" s="4" t="s">
        <v>233</v>
      </c>
      <c r="B483" s="4" t="s">
        <v>1024</v>
      </c>
      <c r="C483" s="4" t="s">
        <v>500</v>
      </c>
      <c r="D483" s="153" t="s">
        <v>842</v>
      </c>
      <c r="E483" s="154"/>
      <c r="F483" s="4" t="s">
        <v>995</v>
      </c>
      <c r="G483" s="64">
        <v>50</v>
      </c>
      <c r="H483" s="14">
        <v>0</v>
      </c>
    </row>
    <row r="484" spans="4:7" ht="12.2" customHeight="1">
      <c r="D484" s="166" t="s">
        <v>1264</v>
      </c>
      <c r="E484" s="167"/>
      <c r="F484" s="167"/>
      <c r="G484" s="43">
        <v>50</v>
      </c>
    </row>
    <row r="485" spans="1:8" ht="12.75">
      <c r="A485" s="4" t="s">
        <v>234</v>
      </c>
      <c r="B485" s="4" t="s">
        <v>1024</v>
      </c>
      <c r="C485" s="4" t="s">
        <v>501</v>
      </c>
      <c r="D485" s="153" t="s">
        <v>843</v>
      </c>
      <c r="E485" s="154"/>
      <c r="F485" s="4" t="s">
        <v>994</v>
      </c>
      <c r="G485" s="64">
        <v>5.917</v>
      </c>
      <c r="H485" s="14">
        <v>0</v>
      </c>
    </row>
    <row r="486" spans="4:7" ht="12.2" customHeight="1">
      <c r="D486" s="166" t="s">
        <v>1265</v>
      </c>
      <c r="E486" s="167"/>
      <c r="F486" s="167"/>
      <c r="G486" s="43">
        <v>5.917</v>
      </c>
    </row>
    <row r="487" spans="1:8" ht="12.75">
      <c r="A487" s="11"/>
      <c r="B487" s="11"/>
      <c r="C487" s="11" t="s">
        <v>502</v>
      </c>
      <c r="D487" s="151" t="s">
        <v>844</v>
      </c>
      <c r="E487" s="152"/>
      <c r="F487" s="11"/>
      <c r="G487" s="66"/>
      <c r="H487" s="24"/>
    </row>
    <row r="488" spans="1:8" ht="12.75">
      <c r="A488" s="4" t="s">
        <v>235</v>
      </c>
      <c r="B488" s="4" t="s">
        <v>1024</v>
      </c>
      <c r="C488" s="4" t="s">
        <v>503</v>
      </c>
      <c r="D488" s="153" t="s">
        <v>845</v>
      </c>
      <c r="E488" s="154"/>
      <c r="F488" s="4" t="s">
        <v>995</v>
      </c>
      <c r="G488" s="64">
        <v>17.5</v>
      </c>
      <c r="H488" s="14">
        <v>0</v>
      </c>
    </row>
    <row r="489" spans="4:7" ht="12.2" customHeight="1">
      <c r="D489" s="166" t="s">
        <v>1266</v>
      </c>
      <c r="E489" s="167"/>
      <c r="F489" s="167"/>
      <c r="G489" s="43">
        <v>17.5</v>
      </c>
    </row>
    <row r="490" spans="1:8" ht="12.75">
      <c r="A490" s="4" t="s">
        <v>236</v>
      </c>
      <c r="B490" s="4" t="s">
        <v>1024</v>
      </c>
      <c r="C490" s="4" t="s">
        <v>504</v>
      </c>
      <c r="D490" s="153" t="s">
        <v>846</v>
      </c>
      <c r="E490" s="154"/>
      <c r="F490" s="4" t="s">
        <v>993</v>
      </c>
      <c r="G490" s="64">
        <v>52.5</v>
      </c>
      <c r="H490" s="14">
        <v>0</v>
      </c>
    </row>
    <row r="491" spans="4:7" ht="12.2" customHeight="1">
      <c r="D491" s="166" t="s">
        <v>1267</v>
      </c>
      <c r="E491" s="167"/>
      <c r="F491" s="167"/>
      <c r="G491" s="43">
        <v>52.5</v>
      </c>
    </row>
    <row r="492" spans="1:8" ht="12.75">
      <c r="A492" s="4" t="s">
        <v>237</v>
      </c>
      <c r="B492" s="4" t="s">
        <v>1024</v>
      </c>
      <c r="C492" s="4" t="s">
        <v>505</v>
      </c>
      <c r="D492" s="153" t="s">
        <v>847</v>
      </c>
      <c r="E492" s="154"/>
      <c r="F492" s="4" t="s">
        <v>993</v>
      </c>
      <c r="G492" s="64">
        <v>52.569</v>
      </c>
      <c r="H492" s="14">
        <v>0</v>
      </c>
    </row>
    <row r="493" spans="4:7" ht="12.2" customHeight="1">
      <c r="D493" s="166" t="s">
        <v>1268</v>
      </c>
      <c r="E493" s="167"/>
      <c r="F493" s="167"/>
      <c r="G493" s="43">
        <v>52.569</v>
      </c>
    </row>
    <row r="494" spans="1:8" ht="12.75">
      <c r="A494" s="4" t="s">
        <v>238</v>
      </c>
      <c r="B494" s="4" t="s">
        <v>1024</v>
      </c>
      <c r="C494" s="4" t="s">
        <v>506</v>
      </c>
      <c r="D494" s="153" t="s">
        <v>848</v>
      </c>
      <c r="E494" s="154"/>
      <c r="F494" s="4" t="s">
        <v>993</v>
      </c>
      <c r="G494" s="64">
        <v>9.5</v>
      </c>
      <c r="H494" s="14">
        <v>0</v>
      </c>
    </row>
    <row r="495" spans="4:7" ht="12.2" customHeight="1">
      <c r="D495" s="166" t="s">
        <v>1137</v>
      </c>
      <c r="E495" s="167"/>
      <c r="F495" s="167"/>
      <c r="G495" s="43">
        <v>9.5</v>
      </c>
    </row>
    <row r="496" spans="1:8" ht="12.75">
      <c r="A496" s="4" t="s">
        <v>239</v>
      </c>
      <c r="B496" s="4" t="s">
        <v>1024</v>
      </c>
      <c r="C496" s="4" t="s">
        <v>507</v>
      </c>
      <c r="D496" s="153" t="s">
        <v>849</v>
      </c>
      <c r="E496" s="154"/>
      <c r="F496" s="4" t="s">
        <v>995</v>
      </c>
      <c r="G496" s="64">
        <v>247.5</v>
      </c>
      <c r="H496" s="14">
        <v>0</v>
      </c>
    </row>
    <row r="497" spans="4:7" ht="12.2" customHeight="1">
      <c r="D497" s="166" t="s">
        <v>1157</v>
      </c>
      <c r="E497" s="167"/>
      <c r="F497" s="167"/>
      <c r="G497" s="43">
        <v>247.5</v>
      </c>
    </row>
    <row r="498" spans="1:8" ht="12.75">
      <c r="A498" s="4" t="s">
        <v>240</v>
      </c>
      <c r="B498" s="4" t="s">
        <v>1024</v>
      </c>
      <c r="C498" s="4" t="s">
        <v>508</v>
      </c>
      <c r="D498" s="153" t="s">
        <v>850</v>
      </c>
      <c r="E498" s="154"/>
      <c r="F498" s="4" t="s">
        <v>995</v>
      </c>
      <c r="G498" s="64">
        <v>59.5</v>
      </c>
      <c r="H498" s="14">
        <v>0</v>
      </c>
    </row>
    <row r="499" spans="4:7" ht="12.2" customHeight="1">
      <c r="D499" s="166" t="s">
        <v>1159</v>
      </c>
      <c r="E499" s="167"/>
      <c r="F499" s="167"/>
      <c r="G499" s="43">
        <v>59.5</v>
      </c>
    </row>
    <row r="500" spans="1:8" ht="12.75">
      <c r="A500" s="4" t="s">
        <v>241</v>
      </c>
      <c r="B500" s="4" t="s">
        <v>1024</v>
      </c>
      <c r="C500" s="4" t="s">
        <v>509</v>
      </c>
      <c r="D500" s="153" t="s">
        <v>851</v>
      </c>
      <c r="E500" s="154"/>
      <c r="F500" s="4" t="s">
        <v>991</v>
      </c>
      <c r="G500" s="64">
        <v>13</v>
      </c>
      <c r="H500" s="14">
        <v>0</v>
      </c>
    </row>
    <row r="501" spans="4:7" ht="12.2" customHeight="1">
      <c r="D501" s="166" t="s">
        <v>1269</v>
      </c>
      <c r="E501" s="167"/>
      <c r="F501" s="167"/>
      <c r="G501" s="43">
        <v>13</v>
      </c>
    </row>
    <row r="502" spans="1:8" ht="12.75">
      <c r="A502" s="4" t="s">
        <v>242</v>
      </c>
      <c r="B502" s="4" t="s">
        <v>1024</v>
      </c>
      <c r="C502" s="4" t="s">
        <v>510</v>
      </c>
      <c r="D502" s="153" t="s">
        <v>852</v>
      </c>
      <c r="E502" s="154"/>
      <c r="F502" s="4" t="s">
        <v>991</v>
      </c>
      <c r="G502" s="64">
        <v>9</v>
      </c>
      <c r="H502" s="14">
        <v>0</v>
      </c>
    </row>
    <row r="503" spans="4:7" ht="12.2" customHeight="1">
      <c r="D503" s="166" t="s">
        <v>1270</v>
      </c>
      <c r="E503" s="167"/>
      <c r="F503" s="167"/>
      <c r="G503" s="43">
        <v>9</v>
      </c>
    </row>
    <row r="504" spans="1:8" ht="12.75">
      <c r="A504" s="4" t="s">
        <v>243</v>
      </c>
      <c r="B504" s="4" t="s">
        <v>1024</v>
      </c>
      <c r="C504" s="4" t="s">
        <v>511</v>
      </c>
      <c r="D504" s="153" t="s">
        <v>853</v>
      </c>
      <c r="E504" s="154"/>
      <c r="F504" s="4" t="s">
        <v>991</v>
      </c>
      <c r="G504" s="64">
        <v>1</v>
      </c>
      <c r="H504" s="14">
        <v>0</v>
      </c>
    </row>
    <row r="505" spans="4:7" ht="12.2" customHeight="1">
      <c r="D505" s="166" t="s">
        <v>1094</v>
      </c>
      <c r="E505" s="167"/>
      <c r="F505" s="167"/>
      <c r="G505" s="43">
        <v>1</v>
      </c>
    </row>
    <row r="506" spans="1:8" ht="12.75">
      <c r="A506" s="4" t="s">
        <v>244</v>
      </c>
      <c r="B506" s="4" t="s">
        <v>1024</v>
      </c>
      <c r="C506" s="4" t="s">
        <v>512</v>
      </c>
      <c r="D506" s="153" t="s">
        <v>854</v>
      </c>
      <c r="E506" s="154"/>
      <c r="F506" s="4" t="s">
        <v>991</v>
      </c>
      <c r="G506" s="64">
        <v>1</v>
      </c>
      <c r="H506" s="14">
        <v>0</v>
      </c>
    </row>
    <row r="507" spans="4:7" ht="12.2" customHeight="1">
      <c r="D507" s="166" t="s">
        <v>1094</v>
      </c>
      <c r="E507" s="167"/>
      <c r="F507" s="167"/>
      <c r="G507" s="43">
        <v>1</v>
      </c>
    </row>
    <row r="508" spans="1:8" ht="12.75">
      <c r="A508" s="4" t="s">
        <v>245</v>
      </c>
      <c r="B508" s="4" t="s">
        <v>1024</v>
      </c>
      <c r="C508" s="4" t="s">
        <v>513</v>
      </c>
      <c r="D508" s="153" t="s">
        <v>855</v>
      </c>
      <c r="E508" s="154"/>
      <c r="F508" s="4" t="s">
        <v>991</v>
      </c>
      <c r="G508" s="64">
        <v>1</v>
      </c>
      <c r="H508" s="14">
        <v>0</v>
      </c>
    </row>
    <row r="509" spans="4:7" ht="12.2" customHeight="1">
      <c r="D509" s="166" t="s">
        <v>1094</v>
      </c>
      <c r="E509" s="167"/>
      <c r="F509" s="167"/>
      <c r="G509" s="43">
        <v>1</v>
      </c>
    </row>
    <row r="510" spans="1:8" ht="12.75">
      <c r="A510" s="4" t="s">
        <v>246</v>
      </c>
      <c r="B510" s="4" t="s">
        <v>1024</v>
      </c>
      <c r="C510" s="4" t="s">
        <v>514</v>
      </c>
      <c r="D510" s="153" t="s">
        <v>856</v>
      </c>
      <c r="E510" s="154"/>
      <c r="F510" s="4" t="s">
        <v>991</v>
      </c>
      <c r="G510" s="64">
        <v>2</v>
      </c>
      <c r="H510" s="14">
        <v>0</v>
      </c>
    </row>
    <row r="511" spans="4:7" ht="12.2" customHeight="1">
      <c r="D511" s="166" t="s">
        <v>1177</v>
      </c>
      <c r="E511" s="167"/>
      <c r="F511" s="167"/>
      <c r="G511" s="43">
        <v>2</v>
      </c>
    </row>
    <row r="512" spans="1:8" ht="12.75">
      <c r="A512" s="4" t="s">
        <v>247</v>
      </c>
      <c r="B512" s="4" t="s">
        <v>1024</v>
      </c>
      <c r="C512" s="4" t="s">
        <v>515</v>
      </c>
      <c r="D512" s="153" t="s">
        <v>857</v>
      </c>
      <c r="E512" s="154"/>
      <c r="F512" s="4" t="s">
        <v>991</v>
      </c>
      <c r="G512" s="64">
        <v>18</v>
      </c>
      <c r="H512" s="14">
        <v>0</v>
      </c>
    </row>
    <row r="513" spans="4:7" ht="12.2" customHeight="1">
      <c r="D513" s="166" t="s">
        <v>1271</v>
      </c>
      <c r="E513" s="167"/>
      <c r="F513" s="167"/>
      <c r="G513" s="43">
        <v>18</v>
      </c>
    </row>
    <row r="514" spans="1:8" ht="12.75">
      <c r="A514" s="4" t="s">
        <v>248</v>
      </c>
      <c r="B514" s="4" t="s">
        <v>1024</v>
      </c>
      <c r="C514" s="4" t="s">
        <v>516</v>
      </c>
      <c r="D514" s="153" t="s">
        <v>858</v>
      </c>
      <c r="E514" s="154"/>
      <c r="F514" s="4" t="s">
        <v>991</v>
      </c>
      <c r="G514" s="64">
        <v>4</v>
      </c>
      <c r="H514" s="14">
        <v>0</v>
      </c>
    </row>
    <row r="515" spans="4:7" ht="12.2" customHeight="1">
      <c r="D515" s="166" t="s">
        <v>1120</v>
      </c>
      <c r="E515" s="167"/>
      <c r="F515" s="167"/>
      <c r="G515" s="43">
        <v>4</v>
      </c>
    </row>
    <row r="516" spans="1:8" ht="12.75">
      <c r="A516" s="4" t="s">
        <v>249</v>
      </c>
      <c r="B516" s="4" t="s">
        <v>1024</v>
      </c>
      <c r="C516" s="4" t="s">
        <v>517</v>
      </c>
      <c r="D516" s="153" t="s">
        <v>859</v>
      </c>
      <c r="E516" s="154"/>
      <c r="F516" s="4" t="s">
        <v>991</v>
      </c>
      <c r="G516" s="64">
        <v>1</v>
      </c>
      <c r="H516" s="14">
        <v>0</v>
      </c>
    </row>
    <row r="517" spans="4:7" ht="12.2" customHeight="1">
      <c r="D517" s="166" t="s">
        <v>1094</v>
      </c>
      <c r="E517" s="167"/>
      <c r="F517" s="167"/>
      <c r="G517" s="43">
        <v>1</v>
      </c>
    </row>
    <row r="518" spans="1:8" ht="12.75">
      <c r="A518" s="4" t="s">
        <v>250</v>
      </c>
      <c r="B518" s="4" t="s">
        <v>1024</v>
      </c>
      <c r="C518" s="4" t="s">
        <v>518</v>
      </c>
      <c r="D518" s="153" t="s">
        <v>860</v>
      </c>
      <c r="E518" s="154"/>
      <c r="F518" s="4" t="s">
        <v>991</v>
      </c>
      <c r="G518" s="64">
        <v>4</v>
      </c>
      <c r="H518" s="14">
        <v>0</v>
      </c>
    </row>
    <row r="519" spans="4:7" ht="12.2" customHeight="1">
      <c r="D519" s="166" t="s">
        <v>1120</v>
      </c>
      <c r="E519" s="167"/>
      <c r="F519" s="167"/>
      <c r="G519" s="43">
        <v>4</v>
      </c>
    </row>
    <row r="520" spans="1:8" ht="12.75">
      <c r="A520" s="4" t="s">
        <v>251</v>
      </c>
      <c r="B520" s="4" t="s">
        <v>1024</v>
      </c>
      <c r="C520" s="4" t="s">
        <v>519</v>
      </c>
      <c r="D520" s="153" t="s">
        <v>861</v>
      </c>
      <c r="E520" s="154"/>
      <c r="F520" s="4" t="s">
        <v>991</v>
      </c>
      <c r="G520" s="64">
        <v>1</v>
      </c>
      <c r="H520" s="14">
        <v>0</v>
      </c>
    </row>
    <row r="521" spans="4:7" ht="12.2" customHeight="1">
      <c r="D521" s="166" t="s">
        <v>1094</v>
      </c>
      <c r="E521" s="167"/>
      <c r="F521" s="167"/>
      <c r="G521" s="43">
        <v>1</v>
      </c>
    </row>
    <row r="522" spans="1:8" ht="12.75">
      <c r="A522" s="4" t="s">
        <v>252</v>
      </c>
      <c r="B522" s="4" t="s">
        <v>1024</v>
      </c>
      <c r="C522" s="4" t="s">
        <v>520</v>
      </c>
      <c r="D522" s="153" t="s">
        <v>1340</v>
      </c>
      <c r="E522" s="154"/>
      <c r="F522" s="4" t="s">
        <v>991</v>
      </c>
      <c r="G522" s="64">
        <v>1</v>
      </c>
      <c r="H522" s="14">
        <v>0</v>
      </c>
    </row>
    <row r="523" spans="4:7" ht="12.2" customHeight="1">
      <c r="D523" s="166" t="s">
        <v>1094</v>
      </c>
      <c r="E523" s="167"/>
      <c r="F523" s="167"/>
      <c r="G523" s="43">
        <v>1</v>
      </c>
    </row>
    <row r="524" spans="1:8" ht="12.75">
      <c r="A524" s="4" t="s">
        <v>253</v>
      </c>
      <c r="B524" s="4" t="s">
        <v>1024</v>
      </c>
      <c r="C524" s="4" t="s">
        <v>521</v>
      </c>
      <c r="D524" s="153" t="s">
        <v>862</v>
      </c>
      <c r="E524" s="154"/>
      <c r="F524" s="4" t="s">
        <v>991</v>
      </c>
      <c r="G524" s="64">
        <v>1</v>
      </c>
      <c r="H524" s="14">
        <v>0</v>
      </c>
    </row>
    <row r="525" spans="4:7" ht="12.2" customHeight="1">
      <c r="D525" s="166" t="s">
        <v>1094</v>
      </c>
      <c r="E525" s="167"/>
      <c r="F525" s="167"/>
      <c r="G525" s="43">
        <v>1</v>
      </c>
    </row>
    <row r="526" spans="1:8" ht="12.75">
      <c r="A526" s="4" t="s">
        <v>254</v>
      </c>
      <c r="B526" s="4" t="s">
        <v>1024</v>
      </c>
      <c r="C526" s="4" t="s">
        <v>522</v>
      </c>
      <c r="D526" s="153" t="s">
        <v>863</v>
      </c>
      <c r="E526" s="154"/>
      <c r="F526" s="4" t="s">
        <v>994</v>
      </c>
      <c r="G526" s="64">
        <v>7.123</v>
      </c>
      <c r="H526" s="14">
        <v>0</v>
      </c>
    </row>
    <row r="527" spans="4:7" ht="12.2" customHeight="1">
      <c r="D527" s="166" t="s">
        <v>1272</v>
      </c>
      <c r="E527" s="167"/>
      <c r="F527" s="167"/>
      <c r="G527" s="43">
        <v>7.123</v>
      </c>
    </row>
    <row r="528" spans="1:8" ht="12.75">
      <c r="A528" s="11"/>
      <c r="B528" s="11"/>
      <c r="C528" s="11" t="s">
        <v>523</v>
      </c>
      <c r="D528" s="151" t="s">
        <v>864</v>
      </c>
      <c r="E528" s="152"/>
      <c r="F528" s="11"/>
      <c r="G528" s="66"/>
      <c r="H528" s="24"/>
    </row>
    <row r="529" spans="1:8" ht="12.75">
      <c r="A529" s="4" t="s">
        <v>255</v>
      </c>
      <c r="B529" s="4" t="s">
        <v>1024</v>
      </c>
      <c r="C529" s="4" t="s">
        <v>524</v>
      </c>
      <c r="D529" s="153" t="s">
        <v>865</v>
      </c>
      <c r="E529" s="154"/>
      <c r="F529" s="4" t="s">
        <v>993</v>
      </c>
      <c r="G529" s="64">
        <v>37.991</v>
      </c>
      <c r="H529" s="14">
        <v>0</v>
      </c>
    </row>
    <row r="530" spans="4:7" ht="12.2" customHeight="1">
      <c r="D530" s="166" t="s">
        <v>1273</v>
      </c>
      <c r="E530" s="167"/>
      <c r="F530" s="167"/>
      <c r="G530" s="43">
        <v>37.991</v>
      </c>
    </row>
    <row r="531" spans="1:8" ht="12.75">
      <c r="A531" s="4" t="s">
        <v>256</v>
      </c>
      <c r="B531" s="4" t="s">
        <v>1024</v>
      </c>
      <c r="C531" s="4" t="s">
        <v>525</v>
      </c>
      <c r="D531" s="153" t="s">
        <v>866</v>
      </c>
      <c r="E531" s="154"/>
      <c r="F531" s="4" t="s">
        <v>993</v>
      </c>
      <c r="G531" s="64">
        <v>472.899</v>
      </c>
      <c r="H531" s="14">
        <v>0</v>
      </c>
    </row>
    <row r="532" spans="4:7" ht="12.2" customHeight="1">
      <c r="D532" s="166" t="s">
        <v>1233</v>
      </c>
      <c r="E532" s="167"/>
      <c r="F532" s="167"/>
      <c r="G532" s="43">
        <v>472.899</v>
      </c>
    </row>
    <row r="533" spans="1:8" ht="12.75">
      <c r="A533" s="4" t="s">
        <v>257</v>
      </c>
      <c r="B533" s="4" t="s">
        <v>1024</v>
      </c>
      <c r="C533" s="4" t="s">
        <v>526</v>
      </c>
      <c r="D533" s="153" t="s">
        <v>867</v>
      </c>
      <c r="E533" s="154"/>
      <c r="F533" s="4" t="s">
        <v>991</v>
      </c>
      <c r="G533" s="64">
        <v>1</v>
      </c>
      <c r="H533" s="14">
        <v>0</v>
      </c>
    </row>
    <row r="534" spans="4:7" ht="12.2" customHeight="1">
      <c r="D534" s="166" t="s">
        <v>1094</v>
      </c>
      <c r="E534" s="167"/>
      <c r="F534" s="167"/>
      <c r="G534" s="43">
        <v>1</v>
      </c>
    </row>
    <row r="535" spans="1:8" ht="12.75">
      <c r="A535" s="4" t="s">
        <v>258</v>
      </c>
      <c r="B535" s="4" t="s">
        <v>1024</v>
      </c>
      <c r="C535" s="4" t="s">
        <v>527</v>
      </c>
      <c r="D535" s="153" t="s">
        <v>868</v>
      </c>
      <c r="E535" s="154"/>
      <c r="F535" s="4" t="s">
        <v>991</v>
      </c>
      <c r="G535" s="64">
        <v>1</v>
      </c>
      <c r="H535" s="14">
        <v>0</v>
      </c>
    </row>
    <row r="536" spans="4:7" ht="12.2" customHeight="1">
      <c r="D536" s="166" t="s">
        <v>1094</v>
      </c>
      <c r="E536" s="167"/>
      <c r="F536" s="167"/>
      <c r="G536" s="43">
        <v>1</v>
      </c>
    </row>
    <row r="537" spans="1:8" ht="12.75">
      <c r="A537" s="4" t="s">
        <v>259</v>
      </c>
      <c r="B537" s="4" t="s">
        <v>1024</v>
      </c>
      <c r="C537" s="4" t="s">
        <v>528</v>
      </c>
      <c r="D537" s="153" t="s">
        <v>869</v>
      </c>
      <c r="E537" s="154"/>
      <c r="F537" s="4" t="s">
        <v>993</v>
      </c>
      <c r="G537" s="64">
        <v>9</v>
      </c>
      <c r="H537" s="14">
        <v>0</v>
      </c>
    </row>
    <row r="538" spans="4:7" ht="12.2" customHeight="1">
      <c r="D538" s="166" t="s">
        <v>1270</v>
      </c>
      <c r="E538" s="167"/>
      <c r="F538" s="167"/>
      <c r="G538" s="43">
        <v>9</v>
      </c>
    </row>
    <row r="539" spans="1:8" ht="12.75">
      <c r="A539" s="4" t="s">
        <v>260</v>
      </c>
      <c r="B539" s="4" t="s">
        <v>1024</v>
      </c>
      <c r="C539" s="4" t="s">
        <v>529</v>
      </c>
      <c r="D539" s="153" t="s">
        <v>870</v>
      </c>
      <c r="E539" s="154"/>
      <c r="F539" s="4" t="s">
        <v>993</v>
      </c>
      <c r="G539" s="64">
        <v>4</v>
      </c>
      <c r="H539" s="14">
        <v>0</v>
      </c>
    </row>
    <row r="540" spans="4:7" ht="12.2" customHeight="1">
      <c r="D540" s="166" t="s">
        <v>1120</v>
      </c>
      <c r="E540" s="167"/>
      <c r="F540" s="167"/>
      <c r="G540" s="43">
        <v>4</v>
      </c>
    </row>
    <row r="541" spans="1:8" ht="12.75">
      <c r="A541" s="4" t="s">
        <v>261</v>
      </c>
      <c r="B541" s="4" t="s">
        <v>1024</v>
      </c>
      <c r="C541" s="4" t="s">
        <v>530</v>
      </c>
      <c r="D541" s="153" t="s">
        <v>871</v>
      </c>
      <c r="E541" s="154"/>
      <c r="F541" s="4" t="s">
        <v>993</v>
      </c>
      <c r="G541" s="64">
        <v>1</v>
      </c>
      <c r="H541" s="14">
        <v>0</v>
      </c>
    </row>
    <row r="542" spans="4:7" ht="12.2" customHeight="1">
      <c r="D542" s="166" t="s">
        <v>1094</v>
      </c>
      <c r="E542" s="167"/>
      <c r="F542" s="167"/>
      <c r="G542" s="43">
        <v>1</v>
      </c>
    </row>
    <row r="543" spans="1:8" ht="12.75">
      <c r="A543" s="4" t="s">
        <v>262</v>
      </c>
      <c r="B543" s="4" t="s">
        <v>1024</v>
      </c>
      <c r="C543" s="4" t="s">
        <v>531</v>
      </c>
      <c r="D543" s="153" t="s">
        <v>872</v>
      </c>
      <c r="E543" s="154"/>
      <c r="F543" s="4" t="s">
        <v>993</v>
      </c>
      <c r="G543" s="64">
        <v>1</v>
      </c>
      <c r="H543" s="14">
        <v>0</v>
      </c>
    </row>
    <row r="544" spans="4:7" ht="12.2" customHeight="1">
      <c r="D544" s="166" t="s">
        <v>1094</v>
      </c>
      <c r="E544" s="167"/>
      <c r="F544" s="167"/>
      <c r="G544" s="43">
        <v>1</v>
      </c>
    </row>
    <row r="545" spans="1:8" ht="12.75">
      <c r="A545" s="4" t="s">
        <v>263</v>
      </c>
      <c r="B545" s="4" t="s">
        <v>1024</v>
      </c>
      <c r="C545" s="4" t="s">
        <v>532</v>
      </c>
      <c r="D545" s="153" t="s">
        <v>873</v>
      </c>
      <c r="E545" s="154"/>
      <c r="F545" s="4" t="s">
        <v>993</v>
      </c>
      <c r="G545" s="64">
        <v>1</v>
      </c>
      <c r="H545" s="14">
        <v>0</v>
      </c>
    </row>
    <row r="546" spans="4:7" ht="12.2" customHeight="1">
      <c r="D546" s="166" t="s">
        <v>1094</v>
      </c>
      <c r="E546" s="167"/>
      <c r="F546" s="167"/>
      <c r="G546" s="43">
        <v>1</v>
      </c>
    </row>
    <row r="547" spans="1:8" ht="12.75">
      <c r="A547" s="4" t="s">
        <v>264</v>
      </c>
      <c r="B547" s="4" t="s">
        <v>1024</v>
      </c>
      <c r="C547" s="4" t="s">
        <v>533</v>
      </c>
      <c r="D547" s="153" t="s">
        <v>874</v>
      </c>
      <c r="E547" s="154"/>
      <c r="F547" s="4" t="s">
        <v>993</v>
      </c>
      <c r="G547" s="64">
        <v>1</v>
      </c>
      <c r="H547" s="14">
        <v>0</v>
      </c>
    </row>
    <row r="548" spans="4:7" ht="12.2" customHeight="1">
      <c r="D548" s="166" t="s">
        <v>1094</v>
      </c>
      <c r="E548" s="167"/>
      <c r="F548" s="167"/>
      <c r="G548" s="43">
        <v>1</v>
      </c>
    </row>
    <row r="549" spans="1:8" ht="12.75">
      <c r="A549" s="4" t="s">
        <v>265</v>
      </c>
      <c r="B549" s="4" t="s">
        <v>1024</v>
      </c>
      <c r="C549" s="4" t="s">
        <v>534</v>
      </c>
      <c r="D549" s="153" t="s">
        <v>875</v>
      </c>
      <c r="E549" s="154"/>
      <c r="F549" s="4" t="s">
        <v>993</v>
      </c>
      <c r="G549" s="64">
        <v>2</v>
      </c>
      <c r="H549" s="14">
        <v>0</v>
      </c>
    </row>
    <row r="550" spans="4:7" ht="12.2" customHeight="1">
      <c r="D550" s="166" t="s">
        <v>1177</v>
      </c>
      <c r="E550" s="167"/>
      <c r="F550" s="167"/>
      <c r="G550" s="43">
        <v>2</v>
      </c>
    </row>
    <row r="551" spans="1:8" ht="12.75">
      <c r="A551" s="4" t="s">
        <v>266</v>
      </c>
      <c r="B551" s="4" t="s">
        <v>1024</v>
      </c>
      <c r="C551" s="4" t="s">
        <v>535</v>
      </c>
      <c r="D551" s="153" t="s">
        <v>876</v>
      </c>
      <c r="E551" s="154"/>
      <c r="F551" s="4" t="s">
        <v>993</v>
      </c>
      <c r="G551" s="64">
        <v>2</v>
      </c>
      <c r="H551" s="14">
        <v>0</v>
      </c>
    </row>
    <row r="552" spans="4:7" ht="12.2" customHeight="1">
      <c r="D552" s="166" t="s">
        <v>1177</v>
      </c>
      <c r="E552" s="167"/>
      <c r="F552" s="167"/>
      <c r="G552" s="43">
        <v>2</v>
      </c>
    </row>
    <row r="553" spans="1:8" ht="12.75">
      <c r="A553" s="4" t="s">
        <v>267</v>
      </c>
      <c r="B553" s="4" t="s">
        <v>1024</v>
      </c>
      <c r="C553" s="4" t="s">
        <v>536</v>
      </c>
      <c r="D553" s="153" t="s">
        <v>877</v>
      </c>
      <c r="E553" s="154"/>
      <c r="F553" s="4" t="s">
        <v>997</v>
      </c>
      <c r="G553" s="64">
        <v>1</v>
      </c>
      <c r="H553" s="14">
        <v>0</v>
      </c>
    </row>
    <row r="554" spans="4:7" ht="12.2" customHeight="1">
      <c r="D554" s="166" t="s">
        <v>1094</v>
      </c>
      <c r="E554" s="167"/>
      <c r="F554" s="167"/>
      <c r="G554" s="43">
        <v>1</v>
      </c>
    </row>
    <row r="555" spans="1:8" ht="12.75">
      <c r="A555" s="4" t="s">
        <v>268</v>
      </c>
      <c r="B555" s="4" t="s">
        <v>1024</v>
      </c>
      <c r="C555" s="4" t="s">
        <v>537</v>
      </c>
      <c r="D555" s="153" t="s">
        <v>878</v>
      </c>
      <c r="E555" s="154"/>
      <c r="F555" s="4" t="s">
        <v>991</v>
      </c>
      <c r="G555" s="64">
        <v>21</v>
      </c>
      <c r="H555" s="14">
        <v>0</v>
      </c>
    </row>
    <row r="556" spans="4:7" ht="12.2" customHeight="1">
      <c r="D556" s="166" t="s">
        <v>1274</v>
      </c>
      <c r="E556" s="167"/>
      <c r="F556" s="167"/>
      <c r="G556" s="43">
        <v>21</v>
      </c>
    </row>
    <row r="557" spans="1:8" ht="12.75">
      <c r="A557" s="4" t="s">
        <v>269</v>
      </c>
      <c r="B557" s="4" t="s">
        <v>1024</v>
      </c>
      <c r="C557" s="4" t="s">
        <v>538</v>
      </c>
      <c r="D557" s="153" t="s">
        <v>879</v>
      </c>
      <c r="E557" s="154"/>
      <c r="F557" s="4" t="s">
        <v>991</v>
      </c>
      <c r="G557" s="64">
        <v>2</v>
      </c>
      <c r="H557" s="14">
        <v>0</v>
      </c>
    </row>
    <row r="558" spans="4:7" ht="12.2" customHeight="1">
      <c r="D558" s="166" t="s">
        <v>1177</v>
      </c>
      <c r="E558" s="167"/>
      <c r="F558" s="167"/>
      <c r="G558" s="43">
        <v>2</v>
      </c>
    </row>
    <row r="559" spans="1:8" ht="12.75">
      <c r="A559" s="4" t="s">
        <v>270</v>
      </c>
      <c r="B559" s="4" t="s">
        <v>1024</v>
      </c>
      <c r="C559" s="4" t="s">
        <v>539</v>
      </c>
      <c r="D559" s="153" t="s">
        <v>880</v>
      </c>
      <c r="E559" s="154"/>
      <c r="F559" s="4" t="s">
        <v>991</v>
      </c>
      <c r="G559" s="64">
        <v>4</v>
      </c>
      <c r="H559" s="14">
        <v>0</v>
      </c>
    </row>
    <row r="560" spans="4:7" ht="12.2" customHeight="1">
      <c r="D560" s="166" t="s">
        <v>1120</v>
      </c>
      <c r="E560" s="167"/>
      <c r="F560" s="167"/>
      <c r="G560" s="43">
        <v>4</v>
      </c>
    </row>
    <row r="561" spans="1:8" ht="12.75">
      <c r="A561" s="4" t="s">
        <v>271</v>
      </c>
      <c r="B561" s="4" t="s">
        <v>1024</v>
      </c>
      <c r="C561" s="4" t="s">
        <v>540</v>
      </c>
      <c r="D561" s="153" t="s">
        <v>881</v>
      </c>
      <c r="E561" s="154"/>
      <c r="F561" s="4" t="s">
        <v>995</v>
      </c>
      <c r="G561" s="64">
        <v>86</v>
      </c>
      <c r="H561" s="14">
        <v>0</v>
      </c>
    </row>
    <row r="562" spans="4:7" ht="12.2" customHeight="1">
      <c r="D562" s="166" t="s">
        <v>1275</v>
      </c>
      <c r="E562" s="167"/>
      <c r="F562" s="167"/>
      <c r="G562" s="43">
        <v>86</v>
      </c>
    </row>
    <row r="563" spans="1:8" ht="12.75">
      <c r="A563" s="4" t="s">
        <v>272</v>
      </c>
      <c r="B563" s="4" t="s">
        <v>1024</v>
      </c>
      <c r="C563" s="4" t="s">
        <v>541</v>
      </c>
      <c r="D563" s="153" t="s">
        <v>882</v>
      </c>
      <c r="E563" s="154"/>
      <c r="F563" s="4" t="s">
        <v>991</v>
      </c>
      <c r="G563" s="64">
        <v>1</v>
      </c>
      <c r="H563" s="14">
        <v>0</v>
      </c>
    </row>
    <row r="564" spans="4:7" ht="12.2" customHeight="1">
      <c r="D564" s="166" t="s">
        <v>1094</v>
      </c>
      <c r="E564" s="167"/>
      <c r="F564" s="167"/>
      <c r="G564" s="43">
        <v>1</v>
      </c>
    </row>
    <row r="565" spans="1:8" ht="12.75">
      <c r="A565" s="4" t="s">
        <v>273</v>
      </c>
      <c r="B565" s="4" t="s">
        <v>1025</v>
      </c>
      <c r="C565" s="4" t="s">
        <v>636</v>
      </c>
      <c r="D565" s="153" t="s">
        <v>985</v>
      </c>
      <c r="E565" s="154"/>
      <c r="F565" s="4" t="s">
        <v>998</v>
      </c>
      <c r="G565" s="64">
        <v>4800</v>
      </c>
      <c r="H565" s="14">
        <v>0</v>
      </c>
    </row>
    <row r="566" spans="4:7" ht="12.2" customHeight="1">
      <c r="D566" s="166" t="s">
        <v>1276</v>
      </c>
      <c r="E566" s="167"/>
      <c r="F566" s="167"/>
      <c r="G566" s="43">
        <v>4800</v>
      </c>
    </row>
    <row r="567" spans="1:8" ht="12.75">
      <c r="A567" s="4" t="s">
        <v>274</v>
      </c>
      <c r="B567" s="4" t="s">
        <v>1024</v>
      </c>
      <c r="C567" s="4" t="s">
        <v>542</v>
      </c>
      <c r="D567" s="153" t="s">
        <v>883</v>
      </c>
      <c r="E567" s="154"/>
      <c r="F567" s="4" t="s">
        <v>994</v>
      </c>
      <c r="G567" s="64">
        <v>4.589</v>
      </c>
      <c r="H567" s="14">
        <v>0</v>
      </c>
    </row>
    <row r="568" spans="4:7" ht="12.2" customHeight="1">
      <c r="D568" s="166" t="s">
        <v>1277</v>
      </c>
      <c r="E568" s="167"/>
      <c r="F568" s="167"/>
      <c r="G568" s="43">
        <v>4.589</v>
      </c>
    </row>
    <row r="569" spans="1:8" ht="12.75">
      <c r="A569" s="11"/>
      <c r="B569" s="11"/>
      <c r="C569" s="11" t="s">
        <v>543</v>
      </c>
      <c r="D569" s="151" t="s">
        <v>884</v>
      </c>
      <c r="E569" s="152"/>
      <c r="F569" s="11"/>
      <c r="G569" s="66"/>
      <c r="H569" s="24"/>
    </row>
    <row r="570" spans="1:8" ht="12.75">
      <c r="A570" s="4" t="s">
        <v>275</v>
      </c>
      <c r="B570" s="4" t="s">
        <v>1024</v>
      </c>
      <c r="C570" s="4" t="s">
        <v>544</v>
      </c>
      <c r="D570" s="153" t="s">
        <v>885</v>
      </c>
      <c r="E570" s="154"/>
      <c r="F570" s="4" t="s">
        <v>993</v>
      </c>
      <c r="G570" s="64">
        <v>3.585</v>
      </c>
      <c r="H570" s="14">
        <v>0</v>
      </c>
    </row>
    <row r="571" spans="4:7" ht="12.2" customHeight="1">
      <c r="D571" s="166" t="s">
        <v>1278</v>
      </c>
      <c r="E571" s="167"/>
      <c r="F571" s="167"/>
      <c r="G571" s="43">
        <v>2.925</v>
      </c>
    </row>
    <row r="572" spans="1:8" ht="12.2" customHeight="1">
      <c r="A572" s="4"/>
      <c r="B572" s="4"/>
      <c r="C572" s="4"/>
      <c r="D572" s="166" t="s">
        <v>1279</v>
      </c>
      <c r="E572" s="167"/>
      <c r="F572" s="166"/>
      <c r="G572" s="65">
        <v>0.66</v>
      </c>
      <c r="H572" s="25"/>
    </row>
    <row r="573" spans="1:8" ht="12.75">
      <c r="A573" s="4" t="s">
        <v>276</v>
      </c>
      <c r="B573" s="4" t="s">
        <v>1024</v>
      </c>
      <c r="C573" s="4" t="s">
        <v>545</v>
      </c>
      <c r="D573" s="153" t="s">
        <v>886</v>
      </c>
      <c r="E573" s="154"/>
      <c r="F573" s="4" t="s">
        <v>995</v>
      </c>
      <c r="G573" s="64">
        <v>17.62</v>
      </c>
      <c r="H573" s="14">
        <v>0</v>
      </c>
    </row>
    <row r="574" spans="4:7" ht="12.2" customHeight="1">
      <c r="D574" s="166" t="s">
        <v>1280</v>
      </c>
      <c r="E574" s="167"/>
      <c r="F574" s="167"/>
      <c r="G574" s="43">
        <v>14.82</v>
      </c>
    </row>
    <row r="575" spans="1:8" ht="12.2" customHeight="1">
      <c r="A575" s="4"/>
      <c r="B575" s="4"/>
      <c r="C575" s="4"/>
      <c r="D575" s="166" t="s">
        <v>1281</v>
      </c>
      <c r="E575" s="167"/>
      <c r="F575" s="166"/>
      <c r="G575" s="65">
        <v>2.8</v>
      </c>
      <c r="H575" s="25"/>
    </row>
    <row r="576" spans="1:8" ht="12.75">
      <c r="A576" s="5" t="s">
        <v>277</v>
      </c>
      <c r="B576" s="5" t="s">
        <v>1024</v>
      </c>
      <c r="C576" s="5" t="s">
        <v>546</v>
      </c>
      <c r="D576" s="157" t="s">
        <v>887</v>
      </c>
      <c r="E576" s="158"/>
      <c r="F576" s="5" t="s">
        <v>993</v>
      </c>
      <c r="G576" s="67">
        <v>4.84</v>
      </c>
      <c r="H576" s="15">
        <v>0</v>
      </c>
    </row>
    <row r="577" spans="4:7" ht="12.2" customHeight="1">
      <c r="D577" s="168" t="s">
        <v>1282</v>
      </c>
      <c r="E577" s="169"/>
      <c r="F577" s="169"/>
      <c r="G577" s="44">
        <v>3.585</v>
      </c>
    </row>
    <row r="578" spans="1:8" ht="12.2" customHeight="1">
      <c r="A578" s="5"/>
      <c r="B578" s="5"/>
      <c r="C578" s="5"/>
      <c r="D578" s="168" t="s">
        <v>1283</v>
      </c>
      <c r="E578" s="169"/>
      <c r="F578" s="168"/>
      <c r="G578" s="68">
        <v>1.255</v>
      </c>
      <c r="H578" s="26"/>
    </row>
    <row r="579" spans="1:8" ht="12.75">
      <c r="A579" s="4" t="s">
        <v>278</v>
      </c>
      <c r="B579" s="4" t="s">
        <v>1024</v>
      </c>
      <c r="C579" s="4" t="s">
        <v>547</v>
      </c>
      <c r="D579" s="153" t="s">
        <v>888</v>
      </c>
      <c r="E579" s="154"/>
      <c r="F579" s="4" t="s">
        <v>995</v>
      </c>
      <c r="G579" s="64">
        <v>17.62</v>
      </c>
      <c r="H579" s="14">
        <v>0</v>
      </c>
    </row>
    <row r="580" spans="4:7" ht="12.2" customHeight="1">
      <c r="D580" s="166" t="s">
        <v>1284</v>
      </c>
      <c r="E580" s="167"/>
      <c r="F580" s="167"/>
      <c r="G580" s="43">
        <v>14.82</v>
      </c>
    </row>
    <row r="581" spans="1:8" ht="12.2" customHeight="1">
      <c r="A581" s="4"/>
      <c r="B581" s="4"/>
      <c r="C581" s="4"/>
      <c r="D581" s="166" t="s">
        <v>1285</v>
      </c>
      <c r="E581" s="167"/>
      <c r="F581" s="166"/>
      <c r="G581" s="65">
        <v>2.8</v>
      </c>
      <c r="H581" s="25"/>
    </row>
    <row r="582" spans="1:8" ht="12.75">
      <c r="A582" s="5" t="s">
        <v>279</v>
      </c>
      <c r="B582" s="5" t="s">
        <v>1024</v>
      </c>
      <c r="C582" s="5" t="s">
        <v>548</v>
      </c>
      <c r="D582" s="157" t="s">
        <v>889</v>
      </c>
      <c r="E582" s="158"/>
      <c r="F582" s="5" t="s">
        <v>995</v>
      </c>
      <c r="G582" s="67">
        <v>19.382</v>
      </c>
      <c r="H582" s="15">
        <v>0</v>
      </c>
    </row>
    <row r="583" spans="4:7" ht="12.2" customHeight="1">
      <c r="D583" s="168" t="s">
        <v>1286</v>
      </c>
      <c r="E583" s="169"/>
      <c r="F583" s="169"/>
      <c r="G583" s="44">
        <v>17.62</v>
      </c>
    </row>
    <row r="584" spans="1:8" ht="12.2" customHeight="1">
      <c r="A584" s="5"/>
      <c r="B584" s="5"/>
      <c r="C584" s="5"/>
      <c r="D584" s="168" t="s">
        <v>1287</v>
      </c>
      <c r="E584" s="169"/>
      <c r="F584" s="168"/>
      <c r="G584" s="68">
        <v>1.762</v>
      </c>
      <c r="H584" s="26"/>
    </row>
    <row r="585" spans="1:8" ht="12.75">
      <c r="A585" s="4" t="s">
        <v>280</v>
      </c>
      <c r="B585" s="4" t="s">
        <v>1024</v>
      </c>
      <c r="C585" s="4" t="s">
        <v>549</v>
      </c>
      <c r="D585" s="153" t="s">
        <v>890</v>
      </c>
      <c r="E585" s="154"/>
      <c r="F585" s="4" t="s">
        <v>993</v>
      </c>
      <c r="G585" s="64">
        <v>3.585</v>
      </c>
      <c r="H585" s="14">
        <v>0</v>
      </c>
    </row>
    <row r="586" spans="4:7" ht="12.2" customHeight="1">
      <c r="D586" s="166" t="s">
        <v>1282</v>
      </c>
      <c r="E586" s="167"/>
      <c r="F586" s="167"/>
      <c r="G586" s="43">
        <v>3.585</v>
      </c>
    </row>
    <row r="587" spans="1:8" ht="12.75">
      <c r="A587" s="4" t="s">
        <v>281</v>
      </c>
      <c r="B587" s="4" t="s">
        <v>1024</v>
      </c>
      <c r="C587" s="4" t="s">
        <v>550</v>
      </c>
      <c r="D587" s="153" t="s">
        <v>891</v>
      </c>
      <c r="E587" s="154"/>
      <c r="F587" s="4" t="s">
        <v>994</v>
      </c>
      <c r="G587" s="64">
        <v>0.074</v>
      </c>
      <c r="H587" s="14">
        <v>0</v>
      </c>
    </row>
    <row r="588" spans="4:7" ht="12.2" customHeight="1">
      <c r="D588" s="166" t="s">
        <v>1288</v>
      </c>
      <c r="E588" s="167"/>
      <c r="F588" s="167"/>
      <c r="G588" s="43">
        <v>0.074</v>
      </c>
    </row>
    <row r="589" spans="1:8" ht="12.75">
      <c r="A589" s="11"/>
      <c r="B589" s="11"/>
      <c r="C589" s="11" t="s">
        <v>551</v>
      </c>
      <c r="D589" s="151" t="s">
        <v>892</v>
      </c>
      <c r="E589" s="152"/>
      <c r="F589" s="11"/>
      <c r="G589" s="66"/>
      <c r="H589" s="24"/>
    </row>
    <row r="590" spans="1:8" ht="12.75">
      <c r="A590" s="4" t="s">
        <v>282</v>
      </c>
      <c r="B590" s="4" t="s">
        <v>1024</v>
      </c>
      <c r="C590" s="4" t="s">
        <v>552</v>
      </c>
      <c r="D590" s="153" t="s">
        <v>893</v>
      </c>
      <c r="E590" s="154"/>
      <c r="F590" s="4" t="s">
        <v>993</v>
      </c>
      <c r="G590" s="64">
        <v>81.01</v>
      </c>
      <c r="H590" s="14">
        <v>0</v>
      </c>
    </row>
    <row r="591" spans="4:7" ht="12.2" customHeight="1">
      <c r="D591" s="166" t="s">
        <v>1289</v>
      </c>
      <c r="E591" s="167"/>
      <c r="F591" s="167"/>
      <c r="G591" s="43">
        <v>81.01</v>
      </c>
    </row>
    <row r="592" spans="1:8" ht="12.75">
      <c r="A592" s="4" t="s">
        <v>283</v>
      </c>
      <c r="B592" s="4" t="s">
        <v>1024</v>
      </c>
      <c r="C592" s="4" t="s">
        <v>553</v>
      </c>
      <c r="D592" s="153" t="s">
        <v>894</v>
      </c>
      <c r="E592" s="154"/>
      <c r="F592" s="4" t="s">
        <v>994</v>
      </c>
      <c r="G592" s="64">
        <v>0.085</v>
      </c>
      <c r="H592" s="14">
        <v>0</v>
      </c>
    </row>
    <row r="593" spans="4:7" ht="12.2" customHeight="1">
      <c r="D593" s="166" t="s">
        <v>1290</v>
      </c>
      <c r="E593" s="167"/>
      <c r="F593" s="167"/>
      <c r="G593" s="43">
        <v>0.085</v>
      </c>
    </row>
    <row r="594" spans="1:8" ht="12.75">
      <c r="A594" s="11"/>
      <c r="B594" s="11"/>
      <c r="C594" s="11" t="s">
        <v>554</v>
      </c>
      <c r="D594" s="151" t="s">
        <v>895</v>
      </c>
      <c r="E594" s="152"/>
      <c r="F594" s="11"/>
      <c r="G594" s="66"/>
      <c r="H594" s="24"/>
    </row>
    <row r="595" spans="1:8" ht="12.75">
      <c r="A595" s="4" t="s">
        <v>284</v>
      </c>
      <c r="B595" s="4" t="s">
        <v>1024</v>
      </c>
      <c r="C595" s="4" t="s">
        <v>555</v>
      </c>
      <c r="D595" s="153" t="s">
        <v>896</v>
      </c>
      <c r="E595" s="154"/>
      <c r="F595" s="4" t="s">
        <v>991</v>
      </c>
      <c r="G595" s="64">
        <v>1</v>
      </c>
      <c r="H595" s="14">
        <v>0</v>
      </c>
    </row>
    <row r="596" spans="4:7" ht="12.2" customHeight="1">
      <c r="D596" s="166" t="s">
        <v>1094</v>
      </c>
      <c r="E596" s="167"/>
      <c r="F596" s="167"/>
      <c r="G596" s="43">
        <v>1</v>
      </c>
    </row>
    <row r="597" spans="1:8" ht="12.75">
      <c r="A597" s="4" t="s">
        <v>285</v>
      </c>
      <c r="B597" s="4" t="s">
        <v>1024</v>
      </c>
      <c r="C597" s="4" t="s">
        <v>556</v>
      </c>
      <c r="D597" s="153" t="s">
        <v>897</v>
      </c>
      <c r="E597" s="154"/>
      <c r="F597" s="4" t="s">
        <v>991</v>
      </c>
      <c r="G597" s="64">
        <v>1</v>
      </c>
      <c r="H597" s="14">
        <v>0</v>
      </c>
    </row>
    <row r="598" spans="4:7" ht="12.2" customHeight="1">
      <c r="D598" s="166" t="s">
        <v>1094</v>
      </c>
      <c r="E598" s="167"/>
      <c r="F598" s="167"/>
      <c r="G598" s="43">
        <v>1</v>
      </c>
    </row>
    <row r="599" spans="1:8" ht="12.75">
      <c r="A599" s="4" t="s">
        <v>286</v>
      </c>
      <c r="B599" s="4" t="s">
        <v>1024</v>
      </c>
      <c r="C599" s="4" t="s">
        <v>557</v>
      </c>
      <c r="D599" s="153" t="s">
        <v>898</v>
      </c>
      <c r="E599" s="154"/>
      <c r="F599" s="4" t="s">
        <v>991</v>
      </c>
      <c r="G599" s="64">
        <v>1</v>
      </c>
      <c r="H599" s="14">
        <v>0</v>
      </c>
    </row>
    <row r="600" spans="4:7" ht="12.2" customHeight="1">
      <c r="D600" s="166" t="s">
        <v>1094</v>
      </c>
      <c r="E600" s="167"/>
      <c r="F600" s="167"/>
      <c r="G600" s="43">
        <v>1</v>
      </c>
    </row>
    <row r="601" spans="1:8" ht="12.75">
      <c r="A601" s="4" t="s">
        <v>287</v>
      </c>
      <c r="B601" s="4" t="s">
        <v>1024</v>
      </c>
      <c r="C601" s="4" t="s">
        <v>558</v>
      </c>
      <c r="D601" s="153" t="s">
        <v>899</v>
      </c>
      <c r="E601" s="154"/>
      <c r="F601" s="4" t="s">
        <v>991</v>
      </c>
      <c r="G601" s="64">
        <v>60</v>
      </c>
      <c r="H601" s="14">
        <v>0</v>
      </c>
    </row>
    <row r="602" spans="1:8" ht="12.75">
      <c r="A602" s="4" t="s">
        <v>288</v>
      </c>
      <c r="B602" s="4" t="s">
        <v>1024</v>
      </c>
      <c r="C602" s="4" t="s">
        <v>559</v>
      </c>
      <c r="D602" s="153" t="s">
        <v>900</v>
      </c>
      <c r="E602" s="154"/>
      <c r="F602" s="4" t="s">
        <v>991</v>
      </c>
      <c r="G602" s="64">
        <v>6</v>
      </c>
      <c r="H602" s="14">
        <v>0</v>
      </c>
    </row>
    <row r="603" spans="1:8" ht="12.75">
      <c r="A603" s="4" t="s">
        <v>289</v>
      </c>
      <c r="B603" s="4" t="s">
        <v>1024</v>
      </c>
      <c r="C603" s="4" t="s">
        <v>560</v>
      </c>
      <c r="D603" s="153" t="s">
        <v>901</v>
      </c>
      <c r="E603" s="154"/>
      <c r="F603" s="4" t="s">
        <v>991</v>
      </c>
      <c r="G603" s="64">
        <v>6</v>
      </c>
      <c r="H603" s="14">
        <v>0</v>
      </c>
    </row>
    <row r="604" spans="1:8" ht="12.75">
      <c r="A604" s="4" t="s">
        <v>290</v>
      </c>
      <c r="B604" s="4" t="s">
        <v>1024</v>
      </c>
      <c r="C604" s="4" t="s">
        <v>561</v>
      </c>
      <c r="D604" s="153" t="s">
        <v>902</v>
      </c>
      <c r="E604" s="154"/>
      <c r="F604" s="4" t="s">
        <v>991</v>
      </c>
      <c r="G604" s="64">
        <v>3</v>
      </c>
      <c r="H604" s="14">
        <v>0</v>
      </c>
    </row>
    <row r="605" spans="1:8" ht="12.75">
      <c r="A605" s="4" t="s">
        <v>291</v>
      </c>
      <c r="B605" s="4" t="s">
        <v>1024</v>
      </c>
      <c r="C605" s="4" t="s">
        <v>562</v>
      </c>
      <c r="D605" s="153" t="s">
        <v>903</v>
      </c>
      <c r="E605" s="154"/>
      <c r="F605" s="4" t="s">
        <v>991</v>
      </c>
      <c r="G605" s="64">
        <v>6</v>
      </c>
      <c r="H605" s="14">
        <v>0</v>
      </c>
    </row>
    <row r="606" spans="1:8" ht="12.75">
      <c r="A606" s="4" t="s">
        <v>292</v>
      </c>
      <c r="B606" s="4" t="s">
        <v>1024</v>
      </c>
      <c r="C606" s="4" t="s">
        <v>563</v>
      </c>
      <c r="D606" s="153" t="s">
        <v>904</v>
      </c>
      <c r="E606" s="154"/>
      <c r="F606" s="4" t="s">
        <v>991</v>
      </c>
      <c r="G606" s="64">
        <v>12</v>
      </c>
      <c r="H606" s="14">
        <v>0</v>
      </c>
    </row>
    <row r="607" spans="1:8" ht="12.75">
      <c r="A607" s="4" t="s">
        <v>293</v>
      </c>
      <c r="B607" s="4" t="s">
        <v>1024</v>
      </c>
      <c r="C607" s="4" t="s">
        <v>564</v>
      </c>
      <c r="D607" s="153" t="s">
        <v>905</v>
      </c>
      <c r="E607" s="154"/>
      <c r="F607" s="4" t="s">
        <v>991</v>
      </c>
      <c r="G607" s="64">
        <v>3</v>
      </c>
      <c r="H607" s="14">
        <v>0</v>
      </c>
    </row>
    <row r="608" spans="1:8" ht="12.75">
      <c r="A608" s="4" t="s">
        <v>294</v>
      </c>
      <c r="B608" s="4" t="s">
        <v>1024</v>
      </c>
      <c r="C608" s="4" t="s">
        <v>565</v>
      </c>
      <c r="D608" s="153" t="s">
        <v>906</v>
      </c>
      <c r="E608" s="154"/>
      <c r="F608" s="4" t="s">
        <v>991</v>
      </c>
      <c r="G608" s="64">
        <v>3</v>
      </c>
      <c r="H608" s="14">
        <v>0</v>
      </c>
    </row>
    <row r="609" spans="1:8" ht="12.75">
      <c r="A609" s="4" t="s">
        <v>295</v>
      </c>
      <c r="B609" s="4" t="s">
        <v>1024</v>
      </c>
      <c r="C609" s="4" t="s">
        <v>566</v>
      </c>
      <c r="D609" s="153" t="s">
        <v>907</v>
      </c>
      <c r="E609" s="154"/>
      <c r="F609" s="4" t="s">
        <v>991</v>
      </c>
      <c r="G609" s="64">
        <v>7</v>
      </c>
      <c r="H609" s="14">
        <v>0</v>
      </c>
    </row>
    <row r="610" spans="1:8" ht="12.75">
      <c r="A610" s="4" t="s">
        <v>296</v>
      </c>
      <c r="B610" s="4" t="s">
        <v>1024</v>
      </c>
      <c r="C610" s="4" t="s">
        <v>567</v>
      </c>
      <c r="D610" s="153" t="s">
        <v>908</v>
      </c>
      <c r="E610" s="154"/>
      <c r="F610" s="4" t="s">
        <v>991</v>
      </c>
      <c r="G610" s="64">
        <v>30</v>
      </c>
      <c r="H610" s="14">
        <v>0</v>
      </c>
    </row>
    <row r="611" spans="1:8" ht="12.75">
      <c r="A611" s="4" t="s">
        <v>297</v>
      </c>
      <c r="B611" s="4" t="s">
        <v>1024</v>
      </c>
      <c r="C611" s="4" t="s">
        <v>568</v>
      </c>
      <c r="D611" s="153" t="s">
        <v>909</v>
      </c>
      <c r="E611" s="154"/>
      <c r="F611" s="4" t="s">
        <v>991</v>
      </c>
      <c r="G611" s="64">
        <v>85</v>
      </c>
      <c r="H611" s="14">
        <v>0</v>
      </c>
    </row>
    <row r="612" spans="1:8" ht="12.75">
      <c r="A612" s="4" t="s">
        <v>298</v>
      </c>
      <c r="B612" s="4" t="s">
        <v>1024</v>
      </c>
      <c r="C612" s="4" t="s">
        <v>569</v>
      </c>
      <c r="D612" s="153" t="s">
        <v>910</v>
      </c>
      <c r="E612" s="154"/>
      <c r="F612" s="4" t="s">
        <v>995</v>
      </c>
      <c r="G612" s="64">
        <v>135</v>
      </c>
      <c r="H612" s="14">
        <v>0</v>
      </c>
    </row>
    <row r="613" spans="1:8" ht="12.75">
      <c r="A613" s="4" t="s">
        <v>299</v>
      </c>
      <c r="B613" s="4" t="s">
        <v>1024</v>
      </c>
      <c r="C613" s="4" t="s">
        <v>570</v>
      </c>
      <c r="D613" s="153" t="s">
        <v>911</v>
      </c>
      <c r="E613" s="154"/>
      <c r="F613" s="4" t="s">
        <v>991</v>
      </c>
      <c r="G613" s="64">
        <v>6</v>
      </c>
      <c r="H613" s="14">
        <v>0</v>
      </c>
    </row>
    <row r="614" spans="1:8" ht="12.75">
      <c r="A614" s="4" t="s">
        <v>300</v>
      </c>
      <c r="B614" s="4" t="s">
        <v>1024</v>
      </c>
      <c r="C614" s="4" t="s">
        <v>571</v>
      </c>
      <c r="D614" s="153" t="s">
        <v>912</v>
      </c>
      <c r="E614" s="154"/>
      <c r="F614" s="4" t="s">
        <v>995</v>
      </c>
      <c r="G614" s="64">
        <v>155</v>
      </c>
      <c r="H614" s="14">
        <v>0</v>
      </c>
    </row>
    <row r="615" spans="1:8" ht="12.75">
      <c r="A615" s="4" t="s">
        <v>301</v>
      </c>
      <c r="B615" s="4" t="s">
        <v>1024</v>
      </c>
      <c r="C615" s="4" t="s">
        <v>572</v>
      </c>
      <c r="D615" s="153" t="s">
        <v>913</v>
      </c>
      <c r="E615" s="154"/>
      <c r="F615" s="4" t="s">
        <v>995</v>
      </c>
      <c r="G615" s="64">
        <v>9</v>
      </c>
      <c r="H615" s="14">
        <v>0</v>
      </c>
    </row>
    <row r="616" spans="1:8" ht="12.75">
      <c r="A616" s="4" t="s">
        <v>302</v>
      </c>
      <c r="B616" s="4" t="s">
        <v>1024</v>
      </c>
      <c r="C616" s="4" t="s">
        <v>573</v>
      </c>
      <c r="D616" s="153" t="s">
        <v>914</v>
      </c>
      <c r="E616" s="154"/>
      <c r="F616" s="4" t="s">
        <v>995</v>
      </c>
      <c r="G616" s="64">
        <v>21</v>
      </c>
      <c r="H616" s="14">
        <v>0</v>
      </c>
    </row>
    <row r="617" spans="1:8" ht="12.75">
      <c r="A617" s="4" t="s">
        <v>303</v>
      </c>
      <c r="B617" s="4" t="s">
        <v>1024</v>
      </c>
      <c r="C617" s="4" t="s">
        <v>574</v>
      </c>
      <c r="D617" s="153" t="s">
        <v>915</v>
      </c>
      <c r="E617" s="154"/>
      <c r="F617" s="4" t="s">
        <v>995</v>
      </c>
      <c r="G617" s="64">
        <v>130</v>
      </c>
      <c r="H617" s="14">
        <v>0</v>
      </c>
    </row>
    <row r="618" spans="1:8" ht="12.75">
      <c r="A618" s="4" t="s">
        <v>304</v>
      </c>
      <c r="B618" s="4" t="s">
        <v>1024</v>
      </c>
      <c r="C618" s="4" t="s">
        <v>575</v>
      </c>
      <c r="D618" s="153" t="s">
        <v>916</v>
      </c>
      <c r="E618" s="154"/>
      <c r="F618" s="4" t="s">
        <v>991</v>
      </c>
      <c r="G618" s="64">
        <v>1</v>
      </c>
      <c r="H618" s="14">
        <v>0</v>
      </c>
    </row>
    <row r="619" spans="1:8" ht="12.75">
      <c r="A619" s="4" t="s">
        <v>305</v>
      </c>
      <c r="B619" s="4" t="s">
        <v>1024</v>
      </c>
      <c r="C619" s="4" t="s">
        <v>576</v>
      </c>
      <c r="D619" s="153" t="s">
        <v>917</v>
      </c>
      <c r="E619" s="154"/>
      <c r="F619" s="4" t="s">
        <v>991</v>
      </c>
      <c r="G619" s="64">
        <v>1</v>
      </c>
      <c r="H619" s="14">
        <v>0</v>
      </c>
    </row>
    <row r="620" spans="1:8" ht="12.75">
      <c r="A620" s="4" t="s">
        <v>306</v>
      </c>
      <c r="B620" s="4" t="s">
        <v>1024</v>
      </c>
      <c r="C620" s="4" t="s">
        <v>577</v>
      </c>
      <c r="D620" s="153" t="s">
        <v>918</v>
      </c>
      <c r="E620" s="154"/>
      <c r="F620" s="4" t="s">
        <v>991</v>
      </c>
      <c r="G620" s="64">
        <v>1</v>
      </c>
      <c r="H620" s="14">
        <v>0</v>
      </c>
    </row>
    <row r="621" spans="1:8" ht="12.75">
      <c r="A621" s="4" t="s">
        <v>307</v>
      </c>
      <c r="B621" s="4" t="s">
        <v>1024</v>
      </c>
      <c r="C621" s="4" t="s">
        <v>578</v>
      </c>
      <c r="D621" s="153" t="s">
        <v>919</v>
      </c>
      <c r="E621" s="154"/>
      <c r="F621" s="4" t="s">
        <v>991</v>
      </c>
      <c r="G621" s="64">
        <v>1</v>
      </c>
      <c r="H621" s="14">
        <v>0</v>
      </c>
    </row>
    <row r="622" spans="1:8" ht="12.75">
      <c r="A622" s="4" t="s">
        <v>308</v>
      </c>
      <c r="B622" s="4" t="s">
        <v>1024</v>
      </c>
      <c r="C622" s="4" t="s">
        <v>579</v>
      </c>
      <c r="D622" s="153" t="s">
        <v>920</v>
      </c>
      <c r="E622" s="154"/>
      <c r="F622" s="4" t="s">
        <v>991</v>
      </c>
      <c r="G622" s="64">
        <v>1</v>
      </c>
      <c r="H622" s="14">
        <v>0</v>
      </c>
    </row>
    <row r="623" spans="1:8" ht="12.75">
      <c r="A623" s="4" t="s">
        <v>309</v>
      </c>
      <c r="B623" s="4" t="s">
        <v>1024</v>
      </c>
      <c r="C623" s="4" t="s">
        <v>580</v>
      </c>
      <c r="D623" s="153" t="s">
        <v>921</v>
      </c>
      <c r="E623" s="154"/>
      <c r="F623" s="4" t="s">
        <v>991</v>
      </c>
      <c r="G623" s="64">
        <v>1</v>
      </c>
      <c r="H623" s="14">
        <v>0</v>
      </c>
    </row>
    <row r="624" spans="1:8" ht="12.75">
      <c r="A624" s="11"/>
      <c r="B624" s="11"/>
      <c r="C624" s="11" t="s">
        <v>581</v>
      </c>
      <c r="D624" s="151" t="s">
        <v>922</v>
      </c>
      <c r="E624" s="152"/>
      <c r="F624" s="11"/>
      <c r="G624" s="66"/>
      <c r="H624" s="24"/>
    </row>
    <row r="625" spans="1:8" ht="12.75">
      <c r="A625" s="4" t="s">
        <v>310</v>
      </c>
      <c r="B625" s="4" t="s">
        <v>1024</v>
      </c>
      <c r="C625" s="4" t="s">
        <v>582</v>
      </c>
      <c r="D625" s="153" t="s">
        <v>923</v>
      </c>
      <c r="E625" s="154"/>
      <c r="F625" s="4" t="s">
        <v>991</v>
      </c>
      <c r="G625" s="64">
        <v>1</v>
      </c>
      <c r="H625" s="14">
        <v>0</v>
      </c>
    </row>
    <row r="626" spans="4:7" ht="12.2" customHeight="1">
      <c r="D626" s="166" t="s">
        <v>1094</v>
      </c>
      <c r="E626" s="167"/>
      <c r="F626" s="167"/>
      <c r="G626" s="43">
        <v>1</v>
      </c>
    </row>
    <row r="627" spans="1:8" ht="12.75">
      <c r="A627" s="4" t="s">
        <v>311</v>
      </c>
      <c r="B627" s="4" t="s">
        <v>1024</v>
      </c>
      <c r="C627" s="4" t="s">
        <v>583</v>
      </c>
      <c r="D627" s="153" t="s">
        <v>924</v>
      </c>
      <c r="E627" s="154"/>
      <c r="F627" s="4" t="s">
        <v>991</v>
      </c>
      <c r="G627" s="64">
        <v>1</v>
      </c>
      <c r="H627" s="14">
        <v>0</v>
      </c>
    </row>
    <row r="628" spans="4:7" ht="12.2" customHeight="1">
      <c r="D628" s="166" t="s">
        <v>1094</v>
      </c>
      <c r="E628" s="167"/>
      <c r="F628" s="167"/>
      <c r="G628" s="43">
        <v>1</v>
      </c>
    </row>
    <row r="629" spans="1:8" ht="12.75">
      <c r="A629" s="4" t="s">
        <v>312</v>
      </c>
      <c r="B629" s="4" t="s">
        <v>1024</v>
      </c>
      <c r="C629" s="4" t="s">
        <v>584</v>
      </c>
      <c r="D629" s="153" t="s">
        <v>925</v>
      </c>
      <c r="E629" s="154"/>
      <c r="F629" s="4" t="s">
        <v>991</v>
      </c>
      <c r="G629" s="64">
        <v>1</v>
      </c>
      <c r="H629" s="14">
        <v>0</v>
      </c>
    </row>
    <row r="630" spans="4:7" ht="12.2" customHeight="1">
      <c r="D630" s="166" t="s">
        <v>1094</v>
      </c>
      <c r="E630" s="167"/>
      <c r="F630" s="167"/>
      <c r="G630" s="43">
        <v>1</v>
      </c>
    </row>
    <row r="631" spans="1:8" ht="12.75">
      <c r="A631" s="4" t="s">
        <v>313</v>
      </c>
      <c r="B631" s="4" t="s">
        <v>1024</v>
      </c>
      <c r="C631" s="4" t="s">
        <v>585</v>
      </c>
      <c r="D631" s="153" t="s">
        <v>926</v>
      </c>
      <c r="E631" s="154"/>
      <c r="F631" s="4" t="s">
        <v>991</v>
      </c>
      <c r="G631" s="64">
        <v>1</v>
      </c>
      <c r="H631" s="14">
        <v>0</v>
      </c>
    </row>
    <row r="632" spans="4:7" ht="12.2" customHeight="1">
      <c r="D632" s="166" t="s">
        <v>1094</v>
      </c>
      <c r="E632" s="167"/>
      <c r="F632" s="167"/>
      <c r="G632" s="43">
        <v>1</v>
      </c>
    </row>
    <row r="633" spans="1:8" ht="12.75">
      <c r="A633" s="4" t="s">
        <v>314</v>
      </c>
      <c r="B633" s="4" t="s">
        <v>1024</v>
      </c>
      <c r="C633" s="4" t="s">
        <v>586</v>
      </c>
      <c r="D633" s="153" t="s">
        <v>927</v>
      </c>
      <c r="E633" s="154"/>
      <c r="F633" s="4" t="s">
        <v>991</v>
      </c>
      <c r="G633" s="64">
        <v>1</v>
      </c>
      <c r="H633" s="14">
        <v>0</v>
      </c>
    </row>
    <row r="634" spans="4:7" ht="12.2" customHeight="1">
      <c r="D634" s="166" t="s">
        <v>1094</v>
      </c>
      <c r="E634" s="167"/>
      <c r="F634" s="167"/>
      <c r="G634" s="43">
        <v>1</v>
      </c>
    </row>
    <row r="635" spans="1:8" ht="12.75">
      <c r="A635" s="4" t="s">
        <v>315</v>
      </c>
      <c r="B635" s="4" t="s">
        <v>1024</v>
      </c>
      <c r="C635" s="4" t="s">
        <v>587</v>
      </c>
      <c r="D635" s="153" t="s">
        <v>928</v>
      </c>
      <c r="E635" s="154"/>
      <c r="F635" s="4" t="s">
        <v>991</v>
      </c>
      <c r="G635" s="64">
        <v>1</v>
      </c>
      <c r="H635" s="14">
        <v>0</v>
      </c>
    </row>
    <row r="636" spans="4:7" ht="12.2" customHeight="1">
      <c r="D636" s="166" t="s">
        <v>1094</v>
      </c>
      <c r="E636" s="167"/>
      <c r="F636" s="167"/>
      <c r="G636" s="43">
        <v>1</v>
      </c>
    </row>
    <row r="637" spans="1:8" ht="12.75">
      <c r="A637" s="4" t="s">
        <v>316</v>
      </c>
      <c r="B637" s="4" t="s">
        <v>1025</v>
      </c>
      <c r="C637" s="4" t="s">
        <v>582</v>
      </c>
      <c r="D637" s="153" t="s">
        <v>923</v>
      </c>
      <c r="E637" s="154"/>
      <c r="F637" s="4" t="s">
        <v>991</v>
      </c>
      <c r="G637" s="64">
        <v>1</v>
      </c>
      <c r="H637" s="14">
        <v>0</v>
      </c>
    </row>
    <row r="638" spans="4:7" ht="12.2" customHeight="1">
      <c r="D638" s="166" t="s">
        <v>1094</v>
      </c>
      <c r="E638" s="167"/>
      <c r="F638" s="167"/>
      <c r="G638" s="43">
        <v>1</v>
      </c>
    </row>
    <row r="639" spans="1:8" ht="12.75">
      <c r="A639" s="4" t="s">
        <v>317</v>
      </c>
      <c r="B639" s="4" t="s">
        <v>1025</v>
      </c>
      <c r="C639" s="4" t="s">
        <v>583</v>
      </c>
      <c r="D639" s="153" t="s">
        <v>924</v>
      </c>
      <c r="E639" s="154"/>
      <c r="F639" s="4" t="s">
        <v>991</v>
      </c>
      <c r="G639" s="64">
        <v>1</v>
      </c>
      <c r="H639" s="14">
        <v>0</v>
      </c>
    </row>
    <row r="640" spans="4:7" ht="12.2" customHeight="1">
      <c r="D640" s="166" t="s">
        <v>1094</v>
      </c>
      <c r="E640" s="167"/>
      <c r="F640" s="167"/>
      <c r="G640" s="43">
        <v>1</v>
      </c>
    </row>
    <row r="641" spans="1:8" ht="12.75">
      <c r="A641" s="4" t="s">
        <v>318</v>
      </c>
      <c r="B641" s="4" t="s">
        <v>1025</v>
      </c>
      <c r="C641" s="4" t="s">
        <v>584</v>
      </c>
      <c r="D641" s="153" t="s">
        <v>925</v>
      </c>
      <c r="E641" s="154"/>
      <c r="F641" s="4" t="s">
        <v>991</v>
      </c>
      <c r="G641" s="64">
        <v>1</v>
      </c>
      <c r="H641" s="14">
        <v>0</v>
      </c>
    </row>
    <row r="642" spans="4:7" ht="12.2" customHeight="1">
      <c r="D642" s="166" t="s">
        <v>1094</v>
      </c>
      <c r="E642" s="167"/>
      <c r="F642" s="167"/>
      <c r="G642" s="43">
        <v>1</v>
      </c>
    </row>
    <row r="643" spans="1:8" ht="12.75">
      <c r="A643" s="4" t="s">
        <v>319</v>
      </c>
      <c r="B643" s="4" t="s">
        <v>1025</v>
      </c>
      <c r="C643" s="4" t="s">
        <v>585</v>
      </c>
      <c r="D643" s="153" t="s">
        <v>926</v>
      </c>
      <c r="E643" s="154"/>
      <c r="F643" s="4" t="s">
        <v>991</v>
      </c>
      <c r="G643" s="64">
        <v>1</v>
      </c>
      <c r="H643" s="14">
        <v>0</v>
      </c>
    </row>
    <row r="644" spans="4:7" ht="12.2" customHeight="1">
      <c r="D644" s="166" t="s">
        <v>1094</v>
      </c>
      <c r="E644" s="167"/>
      <c r="F644" s="167"/>
      <c r="G644" s="43">
        <v>1</v>
      </c>
    </row>
    <row r="645" spans="1:8" ht="12.75">
      <c r="A645" s="4" t="s">
        <v>320</v>
      </c>
      <c r="B645" s="4" t="s">
        <v>1025</v>
      </c>
      <c r="C645" s="4" t="s">
        <v>586</v>
      </c>
      <c r="D645" s="153" t="s">
        <v>927</v>
      </c>
      <c r="E645" s="154"/>
      <c r="F645" s="4" t="s">
        <v>991</v>
      </c>
      <c r="G645" s="64">
        <v>1</v>
      </c>
      <c r="H645" s="14">
        <v>0</v>
      </c>
    </row>
    <row r="646" spans="4:7" ht="12.2" customHeight="1">
      <c r="D646" s="166" t="s">
        <v>1094</v>
      </c>
      <c r="E646" s="167"/>
      <c r="F646" s="167"/>
      <c r="G646" s="43">
        <v>1</v>
      </c>
    </row>
    <row r="647" spans="1:8" ht="12.75">
      <c r="A647" s="4" t="s">
        <v>321</v>
      </c>
      <c r="B647" s="4" t="s">
        <v>1025</v>
      </c>
      <c r="C647" s="4" t="s">
        <v>587</v>
      </c>
      <c r="D647" s="153" t="s">
        <v>928</v>
      </c>
      <c r="E647" s="154"/>
      <c r="F647" s="4" t="s">
        <v>991</v>
      </c>
      <c r="G647" s="64">
        <v>1</v>
      </c>
      <c r="H647" s="14">
        <v>0</v>
      </c>
    </row>
    <row r="648" spans="4:7" ht="12.2" customHeight="1">
      <c r="D648" s="166" t="s">
        <v>1094</v>
      </c>
      <c r="E648" s="167"/>
      <c r="F648" s="167"/>
      <c r="G648" s="43">
        <v>1</v>
      </c>
    </row>
    <row r="650" ht="11.25" customHeight="1">
      <c r="A650" s="8" t="s">
        <v>322</v>
      </c>
    </row>
    <row r="651" spans="1:7" ht="12.75">
      <c r="A651" s="101"/>
      <c r="B651" s="92"/>
      <c r="C651" s="92"/>
      <c r="D651" s="92"/>
      <c r="E651" s="92"/>
      <c r="F651" s="92"/>
      <c r="G651" s="92"/>
    </row>
  </sheetData>
  <sheetProtection password="DBEE" sheet="1" objects="1" scenarios="1"/>
  <mergeCells count="657">
    <mergeCell ref="D646:F646"/>
    <mergeCell ref="D647:E647"/>
    <mergeCell ref="D648:F648"/>
    <mergeCell ref="A651:G651"/>
    <mergeCell ref="D640:F640"/>
    <mergeCell ref="D641:E641"/>
    <mergeCell ref="D642:F642"/>
    <mergeCell ref="D643:E643"/>
    <mergeCell ref="D644:F644"/>
    <mergeCell ref="D645:E645"/>
    <mergeCell ref="D634:F634"/>
    <mergeCell ref="D635:E635"/>
    <mergeCell ref="D636:F636"/>
    <mergeCell ref="D637:E637"/>
    <mergeCell ref="D638:F638"/>
    <mergeCell ref="D639:E639"/>
    <mergeCell ref="D628:F628"/>
    <mergeCell ref="D629:E629"/>
    <mergeCell ref="D630:F630"/>
    <mergeCell ref="D631:E631"/>
    <mergeCell ref="D632:F632"/>
    <mergeCell ref="D633:E633"/>
    <mergeCell ref="D622:E622"/>
    <mergeCell ref="D623:E623"/>
    <mergeCell ref="D624:E624"/>
    <mergeCell ref="D625:E625"/>
    <mergeCell ref="D626:F626"/>
    <mergeCell ref="D627:E627"/>
    <mergeCell ref="D616:E616"/>
    <mergeCell ref="D617:E617"/>
    <mergeCell ref="D618:E618"/>
    <mergeCell ref="D619:E619"/>
    <mergeCell ref="D620:E620"/>
    <mergeCell ref="D621:E621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F598"/>
    <mergeCell ref="D599:E599"/>
    <mergeCell ref="D600:F600"/>
    <mergeCell ref="D601:E601"/>
    <mergeCell ref="D602:E602"/>
    <mergeCell ref="D603:E603"/>
    <mergeCell ref="D592:E592"/>
    <mergeCell ref="D593:F593"/>
    <mergeCell ref="D594:E594"/>
    <mergeCell ref="D595:E595"/>
    <mergeCell ref="D596:F596"/>
    <mergeCell ref="D597:E597"/>
    <mergeCell ref="D586:F586"/>
    <mergeCell ref="D587:E587"/>
    <mergeCell ref="D588:F588"/>
    <mergeCell ref="D589:E589"/>
    <mergeCell ref="D590:E590"/>
    <mergeCell ref="D591:F591"/>
    <mergeCell ref="D580:F580"/>
    <mergeCell ref="D581:F581"/>
    <mergeCell ref="D582:E582"/>
    <mergeCell ref="D583:F583"/>
    <mergeCell ref="D584:F584"/>
    <mergeCell ref="D585:E585"/>
    <mergeCell ref="D574:F574"/>
    <mergeCell ref="D575:F575"/>
    <mergeCell ref="D576:E576"/>
    <mergeCell ref="D577:F577"/>
    <mergeCell ref="D578:F578"/>
    <mergeCell ref="D579:E579"/>
    <mergeCell ref="D568:F568"/>
    <mergeCell ref="D569:E569"/>
    <mergeCell ref="D570:E570"/>
    <mergeCell ref="D571:F571"/>
    <mergeCell ref="D572:F572"/>
    <mergeCell ref="D573:E573"/>
    <mergeCell ref="D562:F562"/>
    <mergeCell ref="D563:E563"/>
    <mergeCell ref="D564:F564"/>
    <mergeCell ref="D565:E565"/>
    <mergeCell ref="D566:F566"/>
    <mergeCell ref="D567:E567"/>
    <mergeCell ref="D556:F556"/>
    <mergeCell ref="D557:E557"/>
    <mergeCell ref="D558:F558"/>
    <mergeCell ref="D559:E559"/>
    <mergeCell ref="D560:F560"/>
    <mergeCell ref="D561:E561"/>
    <mergeCell ref="D550:F550"/>
    <mergeCell ref="D551:E551"/>
    <mergeCell ref="D552:F552"/>
    <mergeCell ref="D553:E553"/>
    <mergeCell ref="D554:F554"/>
    <mergeCell ref="D555:E555"/>
    <mergeCell ref="D544:F544"/>
    <mergeCell ref="D545:E545"/>
    <mergeCell ref="D546:F546"/>
    <mergeCell ref="D547:E547"/>
    <mergeCell ref="D548:F548"/>
    <mergeCell ref="D549:E549"/>
    <mergeCell ref="D538:F538"/>
    <mergeCell ref="D539:E539"/>
    <mergeCell ref="D540:F540"/>
    <mergeCell ref="D541:E541"/>
    <mergeCell ref="D542:F542"/>
    <mergeCell ref="D543:E543"/>
    <mergeCell ref="D532:F532"/>
    <mergeCell ref="D533:E533"/>
    <mergeCell ref="D534:F534"/>
    <mergeCell ref="D535:E535"/>
    <mergeCell ref="D536:F536"/>
    <mergeCell ref="D537:E537"/>
    <mergeCell ref="D526:E526"/>
    <mergeCell ref="D527:F527"/>
    <mergeCell ref="D528:E528"/>
    <mergeCell ref="D529:E529"/>
    <mergeCell ref="D530:F530"/>
    <mergeCell ref="D531:E531"/>
    <mergeCell ref="D520:E520"/>
    <mergeCell ref="D521:F521"/>
    <mergeCell ref="D522:E522"/>
    <mergeCell ref="D523:F523"/>
    <mergeCell ref="D524:E524"/>
    <mergeCell ref="D525:F525"/>
    <mergeCell ref="D514:E514"/>
    <mergeCell ref="D515:F515"/>
    <mergeCell ref="D516:E516"/>
    <mergeCell ref="D517:F517"/>
    <mergeCell ref="D518:E518"/>
    <mergeCell ref="D519:F519"/>
    <mergeCell ref="D508:E508"/>
    <mergeCell ref="D509:F509"/>
    <mergeCell ref="D510:E510"/>
    <mergeCell ref="D511:F511"/>
    <mergeCell ref="D512:E512"/>
    <mergeCell ref="D513:F513"/>
    <mergeCell ref="D502:E502"/>
    <mergeCell ref="D503:F503"/>
    <mergeCell ref="D504:E504"/>
    <mergeCell ref="D505:F505"/>
    <mergeCell ref="D506:E506"/>
    <mergeCell ref="D507:F507"/>
    <mergeCell ref="D496:E496"/>
    <mergeCell ref="D497:F497"/>
    <mergeCell ref="D498:E498"/>
    <mergeCell ref="D499:F499"/>
    <mergeCell ref="D500:E500"/>
    <mergeCell ref="D501:F501"/>
    <mergeCell ref="D490:E490"/>
    <mergeCell ref="D491:F491"/>
    <mergeCell ref="D492:E492"/>
    <mergeCell ref="D493:F493"/>
    <mergeCell ref="D494:E494"/>
    <mergeCell ref="D495:F495"/>
    <mergeCell ref="D484:F484"/>
    <mergeCell ref="D485:E485"/>
    <mergeCell ref="D486:F486"/>
    <mergeCell ref="D487:E487"/>
    <mergeCell ref="D488:E488"/>
    <mergeCell ref="D489:F489"/>
    <mergeCell ref="D478:F478"/>
    <mergeCell ref="D479:E479"/>
    <mergeCell ref="D480:F480"/>
    <mergeCell ref="D481:E481"/>
    <mergeCell ref="D482:F482"/>
    <mergeCell ref="D483:E483"/>
    <mergeCell ref="D472:F472"/>
    <mergeCell ref="D473:E473"/>
    <mergeCell ref="D474:F474"/>
    <mergeCell ref="D475:E475"/>
    <mergeCell ref="D476:F476"/>
    <mergeCell ref="D477:E477"/>
    <mergeCell ref="D466:E466"/>
    <mergeCell ref="D467:F467"/>
    <mergeCell ref="D468:F468"/>
    <mergeCell ref="D469:E469"/>
    <mergeCell ref="D470:F470"/>
    <mergeCell ref="D471:E471"/>
    <mergeCell ref="D460:E460"/>
    <mergeCell ref="D461:F461"/>
    <mergeCell ref="D462:E462"/>
    <mergeCell ref="D463:F463"/>
    <mergeCell ref="D464:E464"/>
    <mergeCell ref="D465:F465"/>
    <mergeCell ref="D454:E454"/>
    <mergeCell ref="D455:F455"/>
    <mergeCell ref="D456:E456"/>
    <mergeCell ref="D457:F457"/>
    <mergeCell ref="D458:E458"/>
    <mergeCell ref="D459:F459"/>
    <mergeCell ref="D448:E448"/>
    <mergeCell ref="D449:F449"/>
    <mergeCell ref="D450:E450"/>
    <mergeCell ref="D451:F451"/>
    <mergeCell ref="D452:E452"/>
    <mergeCell ref="D453:F453"/>
    <mergeCell ref="D442:F442"/>
    <mergeCell ref="D443:F443"/>
    <mergeCell ref="D444:E444"/>
    <mergeCell ref="D445:F445"/>
    <mergeCell ref="D446:E446"/>
    <mergeCell ref="D447:F447"/>
    <mergeCell ref="D436:E436"/>
    <mergeCell ref="D437:F437"/>
    <mergeCell ref="D438:E438"/>
    <mergeCell ref="D439:E439"/>
    <mergeCell ref="D440:F440"/>
    <mergeCell ref="D441:E441"/>
    <mergeCell ref="D430:E430"/>
    <mergeCell ref="D431:F431"/>
    <mergeCell ref="D432:F432"/>
    <mergeCell ref="D433:E433"/>
    <mergeCell ref="D434:F434"/>
    <mergeCell ref="D435:F435"/>
    <mergeCell ref="D424:E424"/>
    <mergeCell ref="D425:F425"/>
    <mergeCell ref="D426:E426"/>
    <mergeCell ref="D427:F427"/>
    <mergeCell ref="D428:E428"/>
    <mergeCell ref="D429:F429"/>
    <mergeCell ref="D418:E418"/>
    <mergeCell ref="D419:E419"/>
    <mergeCell ref="D420:E420"/>
    <mergeCell ref="D421:F421"/>
    <mergeCell ref="D422:E422"/>
    <mergeCell ref="D423:F423"/>
    <mergeCell ref="D412:E412"/>
    <mergeCell ref="D413:E413"/>
    <mergeCell ref="D414:E414"/>
    <mergeCell ref="D415:E415"/>
    <mergeCell ref="D416:E416"/>
    <mergeCell ref="D417:E417"/>
    <mergeCell ref="D406:E406"/>
    <mergeCell ref="D407:E407"/>
    <mergeCell ref="D408:E408"/>
    <mergeCell ref="D409:E409"/>
    <mergeCell ref="D410:E410"/>
    <mergeCell ref="D411:E411"/>
    <mergeCell ref="D400:E400"/>
    <mergeCell ref="D401:E401"/>
    <mergeCell ref="D402:E402"/>
    <mergeCell ref="D403:E403"/>
    <mergeCell ref="D404:E404"/>
    <mergeCell ref="D405:E405"/>
    <mergeCell ref="D394:E394"/>
    <mergeCell ref="D395:E395"/>
    <mergeCell ref="D396:E396"/>
    <mergeCell ref="D397:E397"/>
    <mergeCell ref="D398:E398"/>
    <mergeCell ref="D399:E399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70:F370"/>
    <mergeCell ref="D371:E371"/>
    <mergeCell ref="D372:F372"/>
    <mergeCell ref="D373:F373"/>
    <mergeCell ref="D374:E374"/>
    <mergeCell ref="D375:F375"/>
    <mergeCell ref="D364:E364"/>
    <mergeCell ref="D365:F365"/>
    <mergeCell ref="D366:F366"/>
    <mergeCell ref="D367:E367"/>
    <mergeCell ref="D368:F368"/>
    <mergeCell ref="D369:E369"/>
    <mergeCell ref="D358:F358"/>
    <mergeCell ref="D359:E359"/>
    <mergeCell ref="D360:E360"/>
    <mergeCell ref="D361:F361"/>
    <mergeCell ref="D362:E362"/>
    <mergeCell ref="D363:F363"/>
    <mergeCell ref="D352:F352"/>
    <mergeCell ref="D353:E353"/>
    <mergeCell ref="D354:F354"/>
    <mergeCell ref="D355:E355"/>
    <mergeCell ref="D356:F356"/>
    <mergeCell ref="D357:E357"/>
    <mergeCell ref="D346:F346"/>
    <mergeCell ref="D347:E347"/>
    <mergeCell ref="D348:F348"/>
    <mergeCell ref="D349:E349"/>
    <mergeCell ref="D350:F350"/>
    <mergeCell ref="D351:E351"/>
    <mergeCell ref="D340:E340"/>
    <mergeCell ref="D341:E341"/>
    <mergeCell ref="D342:F342"/>
    <mergeCell ref="D343:E343"/>
    <mergeCell ref="D344:F344"/>
    <mergeCell ref="D345:E345"/>
    <mergeCell ref="D334:F334"/>
    <mergeCell ref="D335:E335"/>
    <mergeCell ref="D336:E336"/>
    <mergeCell ref="D337:F337"/>
    <mergeCell ref="D338:E338"/>
    <mergeCell ref="D339:F339"/>
    <mergeCell ref="D328:F328"/>
    <mergeCell ref="D329:E329"/>
    <mergeCell ref="D330:F330"/>
    <mergeCell ref="D331:E331"/>
    <mergeCell ref="D332:F332"/>
    <mergeCell ref="D333:E333"/>
    <mergeCell ref="D322:F322"/>
    <mergeCell ref="D323:E323"/>
    <mergeCell ref="D324:F324"/>
    <mergeCell ref="D325:E325"/>
    <mergeCell ref="D326:F326"/>
    <mergeCell ref="D327:E327"/>
    <mergeCell ref="D316:F316"/>
    <mergeCell ref="D317:E317"/>
    <mergeCell ref="D318:F318"/>
    <mergeCell ref="D319:E319"/>
    <mergeCell ref="D320:F320"/>
    <mergeCell ref="D321:E321"/>
    <mergeCell ref="D310:F310"/>
    <mergeCell ref="D311:E311"/>
    <mergeCell ref="D312:F312"/>
    <mergeCell ref="D313:E313"/>
    <mergeCell ref="D314:F314"/>
    <mergeCell ref="D315:E315"/>
    <mergeCell ref="D304:F304"/>
    <mergeCell ref="D305:E305"/>
    <mergeCell ref="D306:F306"/>
    <mergeCell ref="D307:E307"/>
    <mergeCell ref="D308:F308"/>
    <mergeCell ref="D309:E309"/>
    <mergeCell ref="D298:F298"/>
    <mergeCell ref="D299:F299"/>
    <mergeCell ref="D300:E300"/>
    <mergeCell ref="D301:E301"/>
    <mergeCell ref="D302:F302"/>
    <mergeCell ref="D303:E303"/>
    <mergeCell ref="D292:F292"/>
    <mergeCell ref="D293:E293"/>
    <mergeCell ref="D294:F294"/>
    <mergeCell ref="D295:E295"/>
    <mergeCell ref="D296:F296"/>
    <mergeCell ref="D297:F297"/>
    <mergeCell ref="D286:F286"/>
    <mergeCell ref="D287:E287"/>
    <mergeCell ref="D288:F288"/>
    <mergeCell ref="D289:F289"/>
    <mergeCell ref="D290:F290"/>
    <mergeCell ref="D291:E291"/>
    <mergeCell ref="D280:E280"/>
    <mergeCell ref="D281:F281"/>
    <mergeCell ref="D282:F282"/>
    <mergeCell ref="D283:F283"/>
    <mergeCell ref="D284:F284"/>
    <mergeCell ref="D285:F285"/>
    <mergeCell ref="D274:F274"/>
    <mergeCell ref="D275:E275"/>
    <mergeCell ref="D276:F276"/>
    <mergeCell ref="D277:E277"/>
    <mergeCell ref="D278:F278"/>
    <mergeCell ref="D279:E279"/>
    <mergeCell ref="D268:F268"/>
    <mergeCell ref="D269:E269"/>
    <mergeCell ref="D270:F270"/>
    <mergeCell ref="D271:E271"/>
    <mergeCell ref="D272:F272"/>
    <mergeCell ref="D273:E273"/>
    <mergeCell ref="D262:E262"/>
    <mergeCell ref="D263:F263"/>
    <mergeCell ref="D264:E264"/>
    <mergeCell ref="D265:F265"/>
    <mergeCell ref="D266:E266"/>
    <mergeCell ref="D267:F267"/>
    <mergeCell ref="D256:F256"/>
    <mergeCell ref="D257:F257"/>
    <mergeCell ref="D258:E258"/>
    <mergeCell ref="D259:F259"/>
    <mergeCell ref="D260:E260"/>
    <mergeCell ref="D261:F261"/>
    <mergeCell ref="D250:F250"/>
    <mergeCell ref="D251:E251"/>
    <mergeCell ref="D252:F252"/>
    <mergeCell ref="D253:E253"/>
    <mergeCell ref="D254:F254"/>
    <mergeCell ref="D255:E255"/>
    <mergeCell ref="D244:F244"/>
    <mergeCell ref="D245:E245"/>
    <mergeCell ref="D246:F246"/>
    <mergeCell ref="D247:E247"/>
    <mergeCell ref="D248:F248"/>
    <mergeCell ref="D249:E249"/>
    <mergeCell ref="D238:F238"/>
    <mergeCell ref="D239:E239"/>
    <mergeCell ref="D240:F240"/>
    <mergeCell ref="D241:E241"/>
    <mergeCell ref="D242:F242"/>
    <mergeCell ref="D243:E243"/>
    <mergeCell ref="D232:F232"/>
    <mergeCell ref="D233:E233"/>
    <mergeCell ref="D234:E234"/>
    <mergeCell ref="D235:E235"/>
    <mergeCell ref="D236:F236"/>
    <mergeCell ref="D237:E237"/>
    <mergeCell ref="D226:F226"/>
    <mergeCell ref="D227:E227"/>
    <mergeCell ref="D228:F228"/>
    <mergeCell ref="D229:E229"/>
    <mergeCell ref="D230:F230"/>
    <mergeCell ref="D231:E231"/>
    <mergeCell ref="D220:F220"/>
    <mergeCell ref="D221:E221"/>
    <mergeCell ref="D222:F222"/>
    <mergeCell ref="D223:E223"/>
    <mergeCell ref="D224:F224"/>
    <mergeCell ref="D225:E225"/>
    <mergeCell ref="D214:F214"/>
    <mergeCell ref="D215:E215"/>
    <mergeCell ref="D216:F216"/>
    <mergeCell ref="D217:E217"/>
    <mergeCell ref="D218:F218"/>
    <mergeCell ref="D219:E219"/>
    <mergeCell ref="D208:E208"/>
    <mergeCell ref="D209:E209"/>
    <mergeCell ref="D210:E210"/>
    <mergeCell ref="D211:F211"/>
    <mergeCell ref="D212:F212"/>
    <mergeCell ref="D213:E213"/>
    <mergeCell ref="D202:E202"/>
    <mergeCell ref="D203:F203"/>
    <mergeCell ref="D204:E204"/>
    <mergeCell ref="D205:F205"/>
    <mergeCell ref="D206:E206"/>
    <mergeCell ref="D207:F207"/>
    <mergeCell ref="D196:E196"/>
    <mergeCell ref="D197:F197"/>
    <mergeCell ref="D198:E198"/>
    <mergeCell ref="D199:F199"/>
    <mergeCell ref="D200:E200"/>
    <mergeCell ref="D201:F201"/>
    <mergeCell ref="D190:F190"/>
    <mergeCell ref="D191:E191"/>
    <mergeCell ref="D192:F192"/>
    <mergeCell ref="D193:E193"/>
    <mergeCell ref="D194:E194"/>
    <mergeCell ref="D195:F195"/>
    <mergeCell ref="D184:F184"/>
    <mergeCell ref="D185:E185"/>
    <mergeCell ref="D186:F186"/>
    <mergeCell ref="D187:E187"/>
    <mergeCell ref="D188:F188"/>
    <mergeCell ref="D189:E189"/>
    <mergeCell ref="D178:F178"/>
    <mergeCell ref="D179:E179"/>
    <mergeCell ref="D180:E180"/>
    <mergeCell ref="D181:F181"/>
    <mergeCell ref="D182:E182"/>
    <mergeCell ref="D183:E183"/>
    <mergeCell ref="D172:F172"/>
    <mergeCell ref="D173:E173"/>
    <mergeCell ref="D174:F174"/>
    <mergeCell ref="D175:E175"/>
    <mergeCell ref="D176:F176"/>
    <mergeCell ref="D177:E177"/>
    <mergeCell ref="D166:F166"/>
    <mergeCell ref="D167:E167"/>
    <mergeCell ref="D168:F168"/>
    <mergeCell ref="D169:E169"/>
    <mergeCell ref="D170:F170"/>
    <mergeCell ref="D171:E171"/>
    <mergeCell ref="D160:F160"/>
    <mergeCell ref="D161:E161"/>
    <mergeCell ref="D162:F162"/>
    <mergeCell ref="D163:F163"/>
    <mergeCell ref="D164:E164"/>
    <mergeCell ref="D165:F165"/>
    <mergeCell ref="D154:E154"/>
    <mergeCell ref="D155:F155"/>
    <mergeCell ref="D156:F156"/>
    <mergeCell ref="D157:E157"/>
    <mergeCell ref="D158:F158"/>
    <mergeCell ref="D159:E159"/>
    <mergeCell ref="D148:F148"/>
    <mergeCell ref="D149:F149"/>
    <mergeCell ref="D150:E150"/>
    <mergeCell ref="D151:F151"/>
    <mergeCell ref="D152:F152"/>
    <mergeCell ref="D153:F153"/>
    <mergeCell ref="D142:F142"/>
    <mergeCell ref="D143:F143"/>
    <mergeCell ref="D144:F144"/>
    <mergeCell ref="D145:F145"/>
    <mergeCell ref="D146:E146"/>
    <mergeCell ref="D147:F147"/>
    <mergeCell ref="D136:F136"/>
    <mergeCell ref="D137:E137"/>
    <mergeCell ref="D138:F138"/>
    <mergeCell ref="D139:E139"/>
    <mergeCell ref="D140:F140"/>
    <mergeCell ref="D141:F141"/>
    <mergeCell ref="D130:F130"/>
    <mergeCell ref="D131:E131"/>
    <mergeCell ref="D132:F132"/>
    <mergeCell ref="D133:E133"/>
    <mergeCell ref="D134:F134"/>
    <mergeCell ref="D135:E135"/>
    <mergeCell ref="D124:E124"/>
    <mergeCell ref="D125:E125"/>
    <mergeCell ref="D126:F126"/>
    <mergeCell ref="D127:F127"/>
    <mergeCell ref="D128:E128"/>
    <mergeCell ref="D129:E129"/>
    <mergeCell ref="D118:E118"/>
    <mergeCell ref="D119:F119"/>
    <mergeCell ref="D120:E120"/>
    <mergeCell ref="D121:F121"/>
    <mergeCell ref="D122:E122"/>
    <mergeCell ref="D123:F123"/>
    <mergeCell ref="D112:F112"/>
    <mergeCell ref="D113:E113"/>
    <mergeCell ref="D114:F114"/>
    <mergeCell ref="D115:E115"/>
    <mergeCell ref="D116:E116"/>
    <mergeCell ref="D117:F117"/>
    <mergeCell ref="D106:F106"/>
    <mergeCell ref="D107:E107"/>
    <mergeCell ref="D108:E108"/>
    <mergeCell ref="D109:F109"/>
    <mergeCell ref="D110:E110"/>
    <mergeCell ref="D111:E111"/>
    <mergeCell ref="D100:E100"/>
    <mergeCell ref="D101:E101"/>
    <mergeCell ref="D102:F102"/>
    <mergeCell ref="D103:E103"/>
    <mergeCell ref="D104:F104"/>
    <mergeCell ref="D105:E105"/>
    <mergeCell ref="D94:E94"/>
    <mergeCell ref="D95:F95"/>
    <mergeCell ref="D96:E96"/>
    <mergeCell ref="D97:F97"/>
    <mergeCell ref="D98:E98"/>
    <mergeCell ref="D99:F99"/>
    <mergeCell ref="D88:E88"/>
    <mergeCell ref="D89:E89"/>
    <mergeCell ref="D90:F90"/>
    <mergeCell ref="D91:E91"/>
    <mergeCell ref="D92:E92"/>
    <mergeCell ref="D93:F93"/>
    <mergeCell ref="D82:E82"/>
    <mergeCell ref="D83:F83"/>
    <mergeCell ref="D84:E84"/>
    <mergeCell ref="D85:F85"/>
    <mergeCell ref="D86:E86"/>
    <mergeCell ref="D87:F87"/>
    <mergeCell ref="D76:F76"/>
    <mergeCell ref="D77:E77"/>
    <mergeCell ref="D78:F78"/>
    <mergeCell ref="D79:E79"/>
    <mergeCell ref="D80:F80"/>
    <mergeCell ref="D81:E81"/>
    <mergeCell ref="D70:E70"/>
    <mergeCell ref="D71:E71"/>
    <mergeCell ref="D72:F72"/>
    <mergeCell ref="D73:E73"/>
    <mergeCell ref="D74:F74"/>
    <mergeCell ref="D75:E75"/>
    <mergeCell ref="D64:E64"/>
    <mergeCell ref="D65:F65"/>
    <mergeCell ref="D66:E66"/>
    <mergeCell ref="D67:F67"/>
    <mergeCell ref="D68:E68"/>
    <mergeCell ref="D69:F69"/>
    <mergeCell ref="D58:F58"/>
    <mergeCell ref="D59:E59"/>
    <mergeCell ref="D60:F60"/>
    <mergeCell ref="D61:E61"/>
    <mergeCell ref="D62:F62"/>
    <mergeCell ref="D63:E63"/>
    <mergeCell ref="D52:E52"/>
    <mergeCell ref="D53:E53"/>
    <mergeCell ref="D54:F54"/>
    <mergeCell ref="D55:E55"/>
    <mergeCell ref="D56:F56"/>
    <mergeCell ref="D57:E57"/>
    <mergeCell ref="D46:E46"/>
    <mergeCell ref="D47:F47"/>
    <mergeCell ref="D48:E48"/>
    <mergeCell ref="D49:F49"/>
    <mergeCell ref="D50:E50"/>
    <mergeCell ref="D51:F51"/>
    <mergeCell ref="D40:E40"/>
    <mergeCell ref="D41:F41"/>
    <mergeCell ref="D42:E42"/>
    <mergeCell ref="D43:F43"/>
    <mergeCell ref="D44:E44"/>
    <mergeCell ref="D45:F45"/>
    <mergeCell ref="D34:E34"/>
    <mergeCell ref="D35:F35"/>
    <mergeCell ref="D36:E36"/>
    <mergeCell ref="D37:F37"/>
    <mergeCell ref="D38:E38"/>
    <mergeCell ref="D39:F39"/>
    <mergeCell ref="D28:E28"/>
    <mergeCell ref="D29:F29"/>
    <mergeCell ref="D30:F30"/>
    <mergeCell ref="D31:E31"/>
    <mergeCell ref="D32:F32"/>
    <mergeCell ref="D33:E33"/>
    <mergeCell ref="D22:F22"/>
    <mergeCell ref="D23:E23"/>
    <mergeCell ref="D24:F24"/>
    <mergeCell ref="D25:E25"/>
    <mergeCell ref="D26:F26"/>
    <mergeCell ref="D27:E27"/>
    <mergeCell ref="D16:F16"/>
    <mergeCell ref="D17:F17"/>
    <mergeCell ref="D18:E18"/>
    <mergeCell ref="D19:E19"/>
    <mergeCell ref="D20:F20"/>
    <mergeCell ref="D21:E21"/>
    <mergeCell ref="D10:E10"/>
    <mergeCell ref="D11:E11"/>
    <mergeCell ref="D12:E12"/>
    <mergeCell ref="D13:F13"/>
    <mergeCell ref="D14:E14"/>
    <mergeCell ref="D15:F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portrait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Ing. Miroslav Fejfar</cp:lastModifiedBy>
  <dcterms:created xsi:type="dcterms:W3CDTF">2019-11-05T18:02:55Z</dcterms:created>
  <dcterms:modified xsi:type="dcterms:W3CDTF">2021-05-11T06:07:34Z</dcterms:modified>
  <cp:category/>
  <cp:version/>
  <cp:contentType/>
  <cp:contentStatus/>
</cp:coreProperties>
</file>