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Všeobecné podmínky" sheetId="1" r:id="rId1"/>
    <sheet name="Rekapitulace stavby" sheetId="2" r:id="rId2"/>
    <sheet name="SO 100.01 - Zpevněné ploc..." sheetId="3" r:id="rId3"/>
  </sheets>
  <definedNames>
    <definedName name="_xlnm.Print_Titles" localSheetId="1">'Rekapitulace stavby'!$85:$85</definedName>
    <definedName name="_xlnm.Print_Titles" localSheetId="2">'SO 100.01 - Zpevněné ploc...'!$127:$127</definedName>
    <definedName name="_xlnm.Print_Area" localSheetId="1">'Rekapitulace stavby'!$C$4:$AP$70,'Rekapitulace stavby'!$C$76:$AP$99</definedName>
    <definedName name="_xlnm.Print_Area" localSheetId="2">'SO 100.01 - Zpevněné ploc...'!$C$4:$Q$70,'SO 100.01 - Zpevněné ploc...'!$C$76:$Q$111,'SO 100.01 - Zpevněné ploc...'!$C$117:$Q$344</definedName>
    <definedName name="_xlnm.Print_Area" localSheetId="0">'Všeobecné podmínky'!$B$3:$E$34</definedName>
  </definedNames>
  <calcPr fullCalcOnLoad="1"/>
</workbook>
</file>

<file path=xl/sharedStrings.xml><?xml version="1.0" encoding="utf-8"?>
<sst xmlns="http://schemas.openxmlformats.org/spreadsheetml/2006/main" count="2222" uniqueCount="525">
  <si>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</si>
  <si>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</si>
  <si>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</si>
  <si>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</si>
  <si>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</si>
  <si>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</si>
  <si>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</si>
  <si>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</si>
  <si>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</si>
  <si>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</si>
  <si>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</si>
  <si>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</si>
  <si>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</si>
  <si>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</si>
  <si>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2016-01aa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</si>
  <si>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</si>
  <si>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</si>
  <si>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>Město Votice - Realizace ul. Táborská</t>
  </si>
  <si>
    <t>0,1</t>
  </si>
  <si>
    <t>JKSO:</t>
  </si>
  <si>
    <t>CC-CZ:</t>
  </si>
  <si>
    <t>1</t>
  </si>
  <si>
    <t>Místo:</t>
  </si>
  <si>
    <t>úsek mezi kruhovým objezdem a ul. Javorskou</t>
  </si>
  <si>
    <t>Datum:</t>
  </si>
  <si>
    <t>19.04.2016</t>
  </si>
  <si>
    <t>10</t>
  </si>
  <si>
    <t>100</t>
  </si>
  <si>
    <t>Objednavatel:</t>
  </si>
  <si>
    <t>IČ:</t>
  </si>
  <si>
    <t>00232963</t>
  </si>
  <si>
    <t>Město Votice, Komenského nám. 700, 259 17 Votice</t>
  </si>
  <si>
    <t>DIČ:</t>
  </si>
  <si>
    <t>Zhotovitel:</t>
  </si>
  <si>
    <t>Vyplň údaj</t>
  </si>
  <si>
    <t>Projektant:</t>
  </si>
  <si>
    <t>01443780</t>
  </si>
  <si>
    <t>DOPAS s.r.o., Kubelíkova 1224/42, 130 00 Praha 3</t>
  </si>
  <si>
    <t>CZ 01443780</t>
  </si>
  <si>
    <t>True</t>
  </si>
  <si>
    <t>Zpracovatel:</t>
  </si>
  <si>
    <t>69655260</t>
  </si>
  <si>
    <t>Jiří Večerník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</si>
  <si>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</si>
  <si>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</si>
  <si>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</si>
  <si>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</si>
  <si>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</si>
  <si>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</si>
  <si>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</si>
  <si>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</si>
  <si>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</si>
  <si>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</si>
  <si>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</si>
  <si>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</si>
  <si>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</si>
  <si>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</si>
  <si>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</si>
  <si>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</si>
  <si>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</si>
  <si>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</si>
  <si>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</si>
  <si>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</si>
  <si>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</si>
  <si>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</si>
  <si>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</si>
  <si>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</si>
  <si>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</si>
  <si>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</si>
  <si>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</si>
  <si>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</si>
  <si>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</si>
  <si>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</si>
  <si>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</si>
  <si>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</si>
  <si>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</si>
  <si>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</si>
  <si>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</si>
  <si>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</si>
  <si>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</si>
  <si>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</si>
  <si>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</si>
  <si>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</si>
  <si>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</si>
  <si>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</si>
  <si>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{6BFA1BDE-7830-49D3-A2E1-BAB0DC09753C}</t>
  </si>
  <si>
    <t>{00000000-0000-0000-0000-000000000000}</t>
  </si>
  <si>
    <t>SO 100.01</t>
  </si>
  <si>
    <t>Zpevněné plochy a komunikace</t>
  </si>
  <si>
    <t>{F99249F2-A068-4607-B711-774D0B85126E}</t>
  </si>
  <si>
    <t>2) Ostatní náklady ze souhrnného listu</t>
  </si>
  <si>
    <t>Procent. zadání
[% nákladů rozpočtu]</t>
  </si>
  <si>
    <t>Zařazení nákladů</t>
  </si>
  <si>
    <t>Realizační dokumentace stavby</t>
  </si>
  <si>
    <t>stavební čast</t>
  </si>
  <si>
    <t>OSTATNENAKLADY</t>
  </si>
  <si>
    <t>Dokumentace skutečného provedení stavby</t>
  </si>
  <si>
    <t>Geodetické práce</t>
  </si>
  <si>
    <t>Ostatní náklady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</si>
  <si>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</si>
  <si>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</si>
  <si>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</si>
  <si>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</si>
  <si>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</si>
  <si>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</si>
  <si>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</si>
  <si>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SO 100.01 - Zpevněné plochy a komunikace</t>
  </si>
  <si>
    <t>DOPAS s.r.o., kubelíkova 1224/42, 130 00 Praha 3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</si>
  <si>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</si>
  <si>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</si>
  <si>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</si>
  <si>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</si>
  <si>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</si>
  <si>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</si>
  <si>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</si>
  <si>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18 - Zemní práce - povrchové úpravy terénu</t>
  </si>
  <si>
    <t xml:space="preserve">    5713 - Skladba 2 - konstrukce vjezdů do objektů a přilehlých nemovitostí</t>
  </si>
  <si>
    <t xml:space="preserve">    5714 - Skladba 3 - konstrukce chodníků a zpevněných ploch</t>
  </si>
  <si>
    <t xml:space="preserve">    5722 - Skladba - hmatná dlažba, vjezdy a chodníky - umělý kámen</t>
  </si>
  <si>
    <t xml:space="preserve">    5723 - Skladba - hmatná dlažba, vjezdy a chodníky - hladký kámen</t>
  </si>
  <si>
    <t xml:space="preserve">    5724 - Skladba - kačírek</t>
  </si>
  <si>
    <t xml:space="preserve">    5725 - Skladba - napojení na stávající stav. asfalt</t>
  </si>
  <si>
    <t xml:space="preserve">    591 - Obrubníky, krajníky</t>
  </si>
  <si>
    <t xml:space="preserve">    8 - Trubní vedení</t>
  </si>
  <si>
    <t xml:space="preserve">    91 - Doplňující konstrukce a práce pozemních komunikací, letišť a ploch</t>
  </si>
  <si>
    <t xml:space="preserve">    96 - Bourání konstrukcí</t>
  </si>
  <si>
    <t xml:space="preserve">    99 - Přesuny hmot a sutí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</si>
  <si>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</si>
  <si>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</si>
  <si>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</si>
  <si>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</si>
  <si>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</si>
  <si>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</si>
  <si>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</si>
  <si>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</si>
  <si>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</si>
  <si>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</si>
  <si>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</si>
  <si>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</si>
  <si>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</si>
  <si>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</si>
  <si>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</si>
  <si>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</si>
  <si>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</si>
  <si>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</si>
  <si>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</si>
  <si>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</si>
  <si>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</si>
  <si>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</si>
  <si>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</si>
  <si>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</si>
  <si>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</si>
  <si>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</si>
  <si>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181951102</t>
  </si>
  <si>
    <t>Úprava pláně v hornině tř. 1 až 4 se zhutněním</t>
  </si>
  <si>
    <t>m2</t>
  </si>
  <si>
    <t>4</t>
  </si>
  <si>
    <t>"skladba 2" 150,92</t>
  </si>
  <si>
    <t>VV</t>
  </si>
  <si>
    <t>"skladba 3" 856,14</t>
  </si>
  <si>
    <t>"hmatná dlažba" 99,75+64,01</t>
  </si>
  <si>
    <t>121101102</t>
  </si>
  <si>
    <t>Sejmutí ornice s přemístěním na vzdálenost do 100 m</t>
  </si>
  <si>
    <t>m3</t>
  </si>
  <si>
    <t>bourání - zeleň</t>
  </si>
  <si>
    <t>(64,43-3,81)*0,2</t>
  </si>
  <si>
    <t>3</t>
  </si>
  <si>
    <t>182001111</t>
  </si>
  <si>
    <t>Plošná úprava terénu zemina tř 1 až 4 nerovnosti do +/- 100 mm v rovinně a svahu do 1:5</t>
  </si>
  <si>
    <t>nová zeleň</t>
  </si>
  <si>
    <t>165,63</t>
  </si>
  <si>
    <t>181951101</t>
  </si>
  <si>
    <t>Úprava pláně v hornině tř. 1 až 4 bez zhutnění</t>
  </si>
  <si>
    <t>5</t>
  </si>
  <si>
    <t>181301103</t>
  </si>
  <si>
    <t>Rozprostření ornice tl vrstvy do 200 mm pl do 500 m2 v rovině nebo ve svahu do 1:5</t>
  </si>
  <si>
    <t>6</t>
  </si>
  <si>
    <t>183403153</t>
  </si>
  <si>
    <t>Obdělání půdy hrabáním v rovině a svahu do 1:5</t>
  </si>
  <si>
    <t>7</t>
  </si>
  <si>
    <t>180402111</t>
  </si>
  <si>
    <t>Založení parkového trávníku výsevem v rovině a ve svahu do 1:5</t>
  </si>
  <si>
    <t>8</t>
  </si>
  <si>
    <t>M</t>
  </si>
  <si>
    <t>005724100</t>
  </si>
  <si>
    <t>osivo směs travní parková rekreační</t>
  </si>
  <si>
    <t>kg</t>
  </si>
  <si>
    <t>9</t>
  </si>
  <si>
    <t>591211111</t>
  </si>
  <si>
    <t>Kladení dlažby z kostek drobných z kamene do lože z kameniva těženého tl 50 mm</t>
  </si>
  <si>
    <t>SKLADBA 2 dlážděné kam. vjezdy</t>
  </si>
  <si>
    <t>150,92</t>
  </si>
  <si>
    <t>SKLADBA 2 dlážděné kam. vjezdy předláždění</t>
  </si>
  <si>
    <t>19,79</t>
  </si>
  <si>
    <t>583801200</t>
  </si>
  <si>
    <t>kostka dlažební drobná, žula do velikosti 8/10 cm</t>
  </si>
  <si>
    <t>t</t>
  </si>
  <si>
    <t>Kostka 80/80 mm
1t = cca 5 m2</t>
  </si>
  <si>
    <t>P</t>
  </si>
  <si>
    <t>11</t>
  </si>
  <si>
    <t>564801112</t>
  </si>
  <si>
    <t>Podklad ze štěrkodrtě ŠD tl 40 mm</t>
  </si>
  <si>
    <t>12</t>
  </si>
  <si>
    <t>567122114</t>
  </si>
  <si>
    <t>Podklad z kameniva zpevněného cementem KSC I tl 150 mm</t>
  </si>
  <si>
    <t>13</t>
  </si>
  <si>
    <t>564861111</t>
  </si>
  <si>
    <t>Podklad ze štěrkodrtě ŠD 0-63 tl 200 mm</t>
  </si>
  <si>
    <t>14</t>
  </si>
  <si>
    <t>919726123</t>
  </si>
  <si>
    <t>Geotextilie pro ochranu, separaci a filtraci netkaná měrná hmotnost do 500 g/m2</t>
  </si>
  <si>
    <t>SKLADBA 3 - kam.dlažba - chodníky</t>
  </si>
  <si>
    <t>855,21+0,93</t>
  </si>
  <si>
    <t>SKLADBA 3 - bet.dlažba - chodníky (napojení na stáv. Stav)</t>
  </si>
  <si>
    <t>35,32</t>
  </si>
  <si>
    <t>16</t>
  </si>
  <si>
    <t>Kostka 60/60 mm
1t = cca 5 m2</t>
  </si>
  <si>
    <t>17</t>
  </si>
  <si>
    <t>564801111</t>
  </si>
  <si>
    <t>Podklad ze štěrkodrtě ŠD tl 30 mm</t>
  </si>
  <si>
    <t>18</t>
  </si>
  <si>
    <t>564851111</t>
  </si>
  <si>
    <t>Podklad ze štěrkodrtě ŠD tl 150 mm</t>
  </si>
  <si>
    <t>19</t>
  </si>
  <si>
    <t>20</t>
  </si>
  <si>
    <t>596841120</t>
  </si>
  <si>
    <t>Kladení betonové dlažby komunikací pro pěší do lože z cement malty vel do 0,09 m2 plochy do 50 m2</t>
  </si>
  <si>
    <t>Hmatná dlažba -umělý kámen (SKLADBA 2) vjezdy uložený do bet. lože</t>
  </si>
  <si>
    <t>33,68+1,62+2,26</t>
  </si>
  <si>
    <t>Hmatná dlažba- umělý kámen (SKLADBA 3) chodníky</t>
  </si>
  <si>
    <t>62,19</t>
  </si>
  <si>
    <t>592461-R01</t>
  </si>
  <si>
    <t>dlaždice CD 60 s hmatovou úpravou (reliéfní povrch), 200x200x60</t>
  </si>
  <si>
    <t>22</t>
  </si>
  <si>
    <t>451457777</t>
  </si>
  <si>
    <t>Podklad nebo lože pod dlažbu vodorovný nebo do sklonu 1:5 z MC tl do 50 mm</t>
  </si>
  <si>
    <t>23</t>
  </si>
  <si>
    <t>24</t>
  </si>
  <si>
    <t>25</t>
  </si>
  <si>
    <t>772522160</t>
  </si>
  <si>
    <t>Kladení dlažby z kamene pravoúhlých desek a dlaždic tl 60 a 70 mm v pásech</t>
  </si>
  <si>
    <t>Hmatná dlažba -hladký kámen (SKLADBA 2) vjezdy uložený do bet. lože</t>
  </si>
  <si>
    <t>28</t>
  </si>
  <si>
    <t>Hmatná dlažba- hladká dlažba (SKLADBA 3) chodníky</t>
  </si>
  <si>
    <t>36,01</t>
  </si>
  <si>
    <t>26</t>
  </si>
  <si>
    <t>583811741</t>
  </si>
  <si>
    <t>deska dlažební, žula tryskaná, tl 6 cm</t>
  </si>
  <si>
    <t>27</t>
  </si>
  <si>
    <t>29</t>
  </si>
  <si>
    <t>30</t>
  </si>
  <si>
    <t>571908111</t>
  </si>
  <si>
    <t>Kryt vymývaným dekoračním kamenivem (kačírkem) tl 200 mm</t>
  </si>
  <si>
    <t>31</t>
  </si>
  <si>
    <t>32</t>
  </si>
  <si>
    <t>33</t>
  </si>
  <si>
    <t>34</t>
  </si>
  <si>
    <t>632621134</t>
  </si>
  <si>
    <t>Litý asfalt o tl vrstvy 40 mm rozprostřený ručně</t>
  </si>
  <si>
    <t>Chodník napojení na stávající stav asfalt</t>
  </si>
  <si>
    <t>15,46</t>
  </si>
  <si>
    <t>35</t>
  </si>
  <si>
    <t>632621136</t>
  </si>
  <si>
    <t>Příplatek k litému asfaltu za zdrsňovací posyp v množství 4 kg/m2 a ruční zaválcování</t>
  </si>
  <si>
    <t>36</t>
  </si>
  <si>
    <t>37</t>
  </si>
  <si>
    <t>38</t>
  </si>
  <si>
    <t>916231213</t>
  </si>
  <si>
    <t>Osazení chodníkového obrubníku betonového stojatého s boční opěrou do lože z betonu prostého</t>
  </si>
  <si>
    <t>m</t>
  </si>
  <si>
    <t>39</t>
  </si>
  <si>
    <t>592174600</t>
  </si>
  <si>
    <t>obrubník betonový chodníkový ABO 2-15 100x15x25 cm</t>
  </si>
  <si>
    <t>kus</t>
  </si>
  <si>
    <t>Silniční bet. obrubník</t>
  </si>
  <si>
    <t>4,22+29,79+1,12+3,88+7,37+20,4+12,9+9,93+0,89+15,01+8,44+2,01+4,08+3,77+9,91</t>
  </si>
  <si>
    <t>40</t>
  </si>
  <si>
    <t>592174680</t>
  </si>
  <si>
    <t>obrubník betonový silniční nájezdový Standard 100x15x15 cm</t>
  </si>
  <si>
    <t>Silniční bet. obrubník  - PŘEJEZDOVÝ</t>
  </si>
  <si>
    <t>17,03+1,79+3+3+6,01</t>
  </si>
  <si>
    <t>41</t>
  </si>
  <si>
    <t>592175331</t>
  </si>
  <si>
    <t>obrubník náběhový pravý, levý, šedý</t>
  </si>
  <si>
    <t>Silniční bet. obrubník  - NÁBĚHOVÝ</t>
  </si>
  <si>
    <t>42</t>
  </si>
  <si>
    <t>916241213</t>
  </si>
  <si>
    <t>Osazení obrubníku kamenného stojatého s boční opěrou do lože z betonu prostého</t>
  </si>
  <si>
    <t>43</t>
  </si>
  <si>
    <t>58380303.1</t>
  </si>
  <si>
    <t>obrubník kamenný přímý, žula 30x25</t>
  </si>
  <si>
    <t>silniční kamenný obrubník OP1, předpoklad 90%</t>
  </si>
  <si>
    <t>(3,74+5,01+18,19+4,21+7,05+1,02+1+3,07+12,04+3+3,78+3+8,18+3+6,58+3+0,65+3,55+14,8+3,02+11,72+14,58+5,5)</t>
  </si>
  <si>
    <t>(10,24+3,01+6,98+3+11,21+3+4,33+3,42+5,46+3,4+3,23+6,32+10,01+2+6,67+3,85+1,02+0,79+0,89+1+4,07+1,74+4,31)*0,9</t>
  </si>
  <si>
    <t>(18,32+3,05+5,71+4,65+26,33+5,82+3,5+11,06+3,07+13,52+3+3+6,8+3+8,96+3,22+13,44+4,95+7,16+4,44+5,7+1,66+4,4)*0,9</t>
  </si>
  <si>
    <t>(16,19+3,42+5,07+3,07+6,17+3,36+26,94+3+7,66+2,88+7,76+16,99+28,25+5+2,08+3,11+3,24+2+10,44+3,69+21,02+4+1,4)*0,9</t>
  </si>
  <si>
    <t>(4,83+5,21+4+4+3,06+85+0,87+3)*0,9</t>
  </si>
  <si>
    <t>44</t>
  </si>
  <si>
    <t>583804100</t>
  </si>
  <si>
    <t>obrubník kamenný obloukový , žula, r=0,5÷1 m 30x25</t>
  </si>
  <si>
    <t>silniční kamenný obrubník OP1 obloukový, předpoklad 10%</t>
  </si>
  <si>
    <t>(3,74+5,01+18,19+4,21+7,05+1,02+1+3,07+12,04+3+3,78+3+8,18+3+6,58+3+0,65+3,55+14,8+3,02+11,72+14,58+5,5)*0,1</t>
  </si>
  <si>
    <t>(10,24+3,01+6,98+3+11,21+3+4,33+3,42+5,46+3,4+3,23+6,32+10,01+2+6,67+3,85+1,02+0,79+0,89+1+4,07+1,74+4,31)*0,1</t>
  </si>
  <si>
    <t>(18,32+3,05+5,71+4,65+26,33+5,82+3,5+11,06+3,07+13,52+3+3+6,8+3+8,96+3,22+13,44+4,95+7,16+4,44+5,7+1,66+4,4)*0,1</t>
  </si>
  <si>
    <t>(16,19+3,42+5,07+3,07+6,17+3,36+26,94+3+7,66+2,88+7,76+16,99+28,25+5+2,08+3,11+3,24+2+10,44+3,69+21,02+4+1,4)*0,1</t>
  </si>
  <si>
    <t>(4,83+5,21+4+4+3,06+85+0,87+3)*0,1</t>
  </si>
  <si>
    <t>45</t>
  </si>
  <si>
    <t>583802070</t>
  </si>
  <si>
    <t>krajník silniční kamenný, žula, KS2 16x20 x 30-80</t>
  </si>
  <si>
    <t>parkový kamenný obrubník - krajník</t>
  </si>
  <si>
    <t>4,3+1,81+3,05+4,65+2,1+2,75+5,84+3,79+10,16+0,95+5</t>
  </si>
  <si>
    <t>+3,74+2,3+5,71+2,33+2,84+3+5,44+3,29+2,56+4,42+4,4+10,69+3,25+5,5+3,2+2,53+2+3,42+3,07+3,36+2,49+3,1+3,49</t>
  </si>
  <si>
    <t>46</t>
  </si>
  <si>
    <t>916331112</t>
  </si>
  <si>
    <t>Osazení zahradního obrubníku betonového do lože z betonu s boční opěrou</t>
  </si>
  <si>
    <t>Parkový bet. obrubník 50x200 mm</t>
  </si>
  <si>
    <t>2,84+5,46+22,61+1,19+10,98+1,86+2,62+5</t>
  </si>
  <si>
    <t>47</t>
  </si>
  <si>
    <t>592173030</t>
  </si>
  <si>
    <t>obrubník betonový zahradní přírodní šedá ABO 6/20 50x5x20 cm</t>
  </si>
  <si>
    <t>spotřeba: 2 kus/m</t>
  </si>
  <si>
    <t>48</t>
  </si>
  <si>
    <t>916991121</t>
  </si>
  <si>
    <t>Lože pod obrubníky, krajníky nebo obruby z dlažebních kostek z betonu prostého</t>
  </si>
  <si>
    <t>betonový obrubník, plocha řezu 0,04 m2</t>
  </si>
  <si>
    <t>175,91*0,04</t>
  </si>
  <si>
    <t>kamenný obrubník, plocha řezu 0,06 m2</t>
  </si>
  <si>
    <t>704,78*0,06</t>
  </si>
  <si>
    <t>kamenný krajník, plocha řezu 0,025 m2</t>
  </si>
  <si>
    <t>175,91*0,025</t>
  </si>
  <si>
    <t>zahradní obrubník, plocha řezu 0,025 m2</t>
  </si>
  <si>
    <t>52,56*0,025</t>
  </si>
  <si>
    <t>49</t>
  </si>
  <si>
    <t>721242116</t>
  </si>
  <si>
    <t>Lapač střešních splavenin z PP se zápachovou klapkou a lapacím košem DN 125</t>
  </si>
  <si>
    <t>50</t>
  </si>
  <si>
    <t>871315221</t>
  </si>
  <si>
    <t>Kanalizační potrubí z tvrdého PVC-systém KG tuhost třídy SN8 DN150</t>
  </si>
  <si>
    <t>19*8</t>
  </si>
  <si>
    <t>51</t>
  </si>
  <si>
    <t>899-R01</t>
  </si>
  <si>
    <t>Oprava betonového potrubí bezvýkopovou metodou (sanační rukáv)</t>
  </si>
  <si>
    <t>52</t>
  </si>
  <si>
    <t>622325203</t>
  </si>
  <si>
    <t>Oprava vápenocementové štukové omítky vnějších stěn v rozsahu do 50%</t>
  </si>
  <si>
    <t>úprava fasády do výšky 1 m</t>
  </si>
  <si>
    <t>(18+15+12+12+6)*1</t>
  </si>
  <si>
    <t>53</t>
  </si>
  <si>
    <t>622335203</t>
  </si>
  <si>
    <t>Oprava cementové škrábané omítky vnějších stěn v rozsahu do 50%</t>
  </si>
  <si>
    <t>úprava podezdívy oplocení</t>
  </si>
  <si>
    <t>14*0,6</t>
  </si>
  <si>
    <t>54</t>
  </si>
  <si>
    <t>761661100</t>
  </si>
  <si>
    <t>Výšková úprava světlíku (angl. dvorku)</t>
  </si>
  <si>
    <t>55</t>
  </si>
  <si>
    <t>761661905</t>
  </si>
  <si>
    <t>Vyčištění sklepních světlíků (anglických dvorků ) hloubky přes 1,00 m</t>
  </si>
  <si>
    <t>56</t>
  </si>
  <si>
    <t>91-R01</t>
  </si>
  <si>
    <t xml:space="preserve">Výšková a směrová úprava vjezdů - nájezdových klínů </t>
  </si>
  <si>
    <t>soubor</t>
  </si>
  <si>
    <t>Předpokládaná upravovaná plocha  1 vjezdu 10 m2</t>
  </si>
  <si>
    <t>57</t>
  </si>
  <si>
    <t>91-R02</t>
  </si>
  <si>
    <t>Úprava u sklepního okna</t>
  </si>
  <si>
    <t>58</t>
  </si>
  <si>
    <t>113106121</t>
  </si>
  <si>
    <t>Rozebrání dlažeb komunikací pro pěší z betonových nebo kamenných dlaždic</t>
  </si>
  <si>
    <t>bourání - betonová dlažba (chodníky, vjezdy)</t>
  </si>
  <si>
    <t>397,04-35,009</t>
  </si>
  <si>
    <t>59</t>
  </si>
  <si>
    <t>113106161</t>
  </si>
  <si>
    <t>Rozebrání dlažeb vozovek pl do 50 m2 z drobných kostek do lože z kameniva</t>
  </si>
  <si>
    <t>bourání - KAMENNÉ VJEZDY A PŘÍDLAŽBA</t>
  </si>
  <si>
    <t>28,29</t>
  </si>
  <si>
    <t>60</t>
  </si>
  <si>
    <t>113107121</t>
  </si>
  <si>
    <t>Odstranění podkladu pl do 50 m2 z kameniva drceného tl 100 mm</t>
  </si>
  <si>
    <t>61</t>
  </si>
  <si>
    <t>113107241</t>
  </si>
  <si>
    <t>Odstranění podkladu pl přes 200 m2 živičných tl 50 mm</t>
  </si>
  <si>
    <t>bourání - asfaltové plochy (chodníky, vjezdy)</t>
  </si>
  <si>
    <t>929,13-55,3</t>
  </si>
  <si>
    <t>62</t>
  </si>
  <si>
    <t>113202111</t>
  </si>
  <si>
    <t>Vytrhání obrub krajníků obrubníků stojatých</t>
  </si>
  <si>
    <t>bourání krajník</t>
  </si>
  <si>
    <t>22,08+215,16+12+186,58+3,02+75,84+55,34+16,77+38,4+7,13+6,32-4,63</t>
  </si>
  <si>
    <t>bourání silniční bet. obruba šířka 150 mm</t>
  </si>
  <si>
    <t>0,97+145,74+8,2+23+13,63+5,11+4,63</t>
  </si>
  <si>
    <t>63</t>
  </si>
  <si>
    <t>113204111</t>
  </si>
  <si>
    <t>Vytrhání obrub záhonových</t>
  </si>
  <si>
    <t>bourání parkové bet.obruby tl. 50mm</t>
  </si>
  <si>
    <t>12,31+13,08</t>
  </si>
  <si>
    <t>64</t>
  </si>
  <si>
    <t>966001311</t>
  </si>
  <si>
    <t>Odstranění odpadkového koše s betonovou patkou</t>
  </si>
  <si>
    <t>65</t>
  </si>
  <si>
    <t>978015361</t>
  </si>
  <si>
    <t>Otlučení vnějších omítek MV nebo MVC  průčelí v rozsahu do 50 %</t>
  </si>
  <si>
    <t>66</t>
  </si>
  <si>
    <t>978036361</t>
  </si>
  <si>
    <t>Otlučení vnějších omítek cementových a z umělého kamene o rozsahu do 50 %</t>
  </si>
  <si>
    <t>67</t>
  </si>
  <si>
    <t>997002611</t>
  </si>
  <si>
    <t>Nakládání suti a vybouraných hmot</t>
  </si>
  <si>
    <t>68</t>
  </si>
  <si>
    <t>997221551</t>
  </si>
  <si>
    <t>Vodorovná doprava suti ze sypkých materiálů do 1 km</t>
  </si>
  <si>
    <t>asfalty pro další využití</t>
  </si>
  <si>
    <t>85,635</t>
  </si>
  <si>
    <t>ostatní vybourané kamenivo</t>
  </si>
  <si>
    <t>50,742</t>
  </si>
  <si>
    <t>omítky</t>
  </si>
  <si>
    <t>1,827+0,286</t>
  </si>
  <si>
    <t>69</t>
  </si>
  <si>
    <t>997221559</t>
  </si>
  <si>
    <t>Příplatek ZKD 1 km u vodorovné dopravy suti ze sypkých materiálů</t>
  </si>
  <si>
    <t>85,635*1,5</t>
  </si>
  <si>
    <t>50,742*1,5</t>
  </si>
  <si>
    <t>(1,827+0,286)*1,5</t>
  </si>
  <si>
    <t>70</t>
  </si>
  <si>
    <t>997221561</t>
  </si>
  <si>
    <t>Vodorovná doprava suti z kusových materiálů do 1 km</t>
  </si>
  <si>
    <t>dlažby</t>
  </si>
  <si>
    <t>92,318+9,053</t>
  </si>
  <si>
    <t>obruby a krajníky</t>
  </si>
  <si>
    <t>171,234+1,016</t>
  </si>
  <si>
    <t>koše</t>
  </si>
  <si>
    <t>0,087</t>
  </si>
  <si>
    <t>71</t>
  </si>
  <si>
    <t>997221569</t>
  </si>
  <si>
    <t>Příplatek ZKD 1 km u vodorovné dopravy suti z kusových materiálů</t>
  </si>
  <si>
    <t>(92,318+9,053)*1,5</t>
  </si>
  <si>
    <t>(171,234+1,016)*1,5</t>
  </si>
  <si>
    <t>(0,087)*1,5</t>
  </si>
  <si>
    <t>72</t>
  </si>
  <si>
    <t>997013801</t>
  </si>
  <si>
    <t>Poplatek za uložení stavebního betonového odpadu na skládce (skládkovné)</t>
  </si>
  <si>
    <t>betonová dlažba</t>
  </si>
  <si>
    <t>92,318</t>
  </si>
  <si>
    <t>73</t>
  </si>
  <si>
    <t>997013831</t>
  </si>
  <si>
    <t>Poplatek za uložení stavebního směsného odpadu na skládce (skládkovné)</t>
  </si>
  <si>
    <t>410,37-92,318-85,635-50,742</t>
  </si>
  <si>
    <t>74</t>
  </si>
  <si>
    <t>997221845</t>
  </si>
  <si>
    <t>Poplatek za uložení odpadu z asfaltových povrchů na skládce (skládkovné)</t>
  </si>
  <si>
    <t>asfalty</t>
  </si>
  <si>
    <t>75</t>
  </si>
  <si>
    <t>997221855</t>
  </si>
  <si>
    <t>Poplatek za uložení odpadu z kameniva na skládce (skládkovné)</t>
  </si>
  <si>
    <t>76</t>
  </si>
  <si>
    <t>998225111</t>
  </si>
  <si>
    <t>Přesun hmot pro pozemní komunikace s krytem z kamene, monolitickým betonovým nebo živičným</t>
  </si>
  <si>
    <t>77</t>
  </si>
  <si>
    <t>998276101</t>
  </si>
  <si>
    <t>Přesun hmot pro trubní vedení z trub z plastických hmot otevřený výkop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</si>
  <si>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</si>
  <si>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</si>
  <si>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</si>
  <si>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</si>
  <si>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</si>
  <si>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</si>
  <si>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</si>
  <si>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</si>
  <si>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</si>
  <si>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VŠEOBECNÉ PODMÍNKY K CENĚ DÍLA</t>
  </si>
  <si>
    <t>1.</t>
  </si>
  <si>
    <t>Nabídková cena obsahuje veškeré práce a dodávky, které jsou zřejmé z projektové dokumentace, zejména technické zprávy, výkresů, výkazu výměr a výpisů materiálů.</t>
  </si>
  <si>
    <t>2.</t>
  </si>
  <si>
    <t>Pro stanovení ceny je nutné prostudovat veškeré dostupné podklady a zejména vlastní staveniště.</t>
  </si>
  <si>
    <t>3.</t>
  </si>
  <si>
    <t>Věcné ani výměrové údaje ve všech soupisech prací a dodávek nesmí být zhotovitelem při zpracování nabídky měněny. Výměry materiálů ve specifikacích jsou uvedeny v teoretické (vypočítané) výměře, náklady na prořez či ztratné zohlední dodavatel v jednotkové ceně. Celkové ceny jednotlivých položek i kapitol budou odpovídat uvedené věcné náplni a výměrám v soupisu prací a dodávek.</t>
  </si>
  <si>
    <t>4.</t>
  </si>
  <si>
    <t>Zhotovitel při vypracování nabídky zohlední všechny údaje a požadavky uvedené v projektu a v technických standardech. Pokud tak neučiní, nebude v průběhu provádění stavby brán zřetel na jeho eventuální požadavky na uznání víceprací vyplývajících z údajů a požadavků uvedených ve výše zmíněné projektové dokumentaci.</t>
  </si>
  <si>
    <t>5.</t>
  </si>
  <si>
    <t xml:space="preserve">Výkaz výměr, dodávek a prací nemusí být úplný a vyčerpávající. Je souhrnný, tzn. že poskytuje ucelený přehled o rozsahu dodávky pomocí položek, které mají vliv na celkovou a pevnou cenu díla. je pouze částí dokumentace. </t>
  </si>
  <si>
    <t>6.</t>
  </si>
  <si>
    <t>Jsou-li ve výkazu výměr uvedeny odkazy na obchodní firmy, názvy nebo specifická označení výrobků apod., jsou takové odkazy pouze informativní a zadavatel umožňuje použít i jiných,zejména kvalitativně a technicky stejných řešení.</t>
  </si>
  <si>
    <t>7.</t>
  </si>
  <si>
    <t>Nabídka a jednotková cena zahrnuje, pokud není v následujících specifikacích uvedeno jinak, dodávku a montáž materiálů a výrobků podle níže uvedené specifikace, vč. dopravy na staveniště, povinných zkoušek materiálů, vzorků a prací ve smyslu platných norem a předpisů. Předmětem díla a povinností zhotovitele je dále provedení veškerých kotevních a spojovacích prvků, pomocných konstrukcí, stavebních přípomocí a ostatních prací přímo nespecifikovaných v těchto podkladech a projektové dokumentaci, ale nezbytných pro zhotovení a plnou  funkčnost a požadovanou kvalitu díla.</t>
  </si>
  <si>
    <t>8.</t>
  </si>
  <si>
    <t>Do nabídky budou započítány i náklady na stavební přípomoce pro provedení technických instalací jako např. zemní práce, zásypy a obsypy, zhotovení nik, chrániček a těsnění prostupů požárních a akustických a náklady na výpomocné práce pro práce dokončovací a pro technologie včetně potřebných lešení, pažení a jiných dočasných konstrukcí.</t>
  </si>
  <si>
    <t>9.</t>
  </si>
  <si>
    <t>Cena díla zahrnuje i veškeré náklady potřebné k provedení díla, tj. včetně věcí opatřených zhotovitelem k provedení díla, včetně nákladů na napojení na objekty stávající nebo budované, pomocných prací, výrobků, materiálů, revizí, kontrol, prohlídek, předepsaných zkoušek, posudků, nákladů na požární dohled a nákladů na bezpečnost práce.</t>
  </si>
  <si>
    <t>10.</t>
  </si>
  <si>
    <t>Do cen budou započítány všechny nezbytné režijní náklady stavby, náklady na průběžný úklid stavby a okolí a náklady na závěrečný úklid stavby a okolí.</t>
  </si>
  <si>
    <t>11.</t>
  </si>
  <si>
    <t>V ceně budou zahrnuty náklady na střežení staveniště po celou dobu výstavby včetně nákladů pojištění rizik při realizaci stavby.</t>
  </si>
  <si>
    <t>12.</t>
  </si>
  <si>
    <t>Součástí ceny díla je vytyčení, ochrana a zajištění veškerých stávajících inženýrských sítí (křižujících nebo v souběhu s prováděnými pracemi). Tyto práce a dodávky  jsou součástí nabídky a nebudou zvlášť hrazeny.</t>
  </si>
  <si>
    <t>13.</t>
  </si>
  <si>
    <t>Cena díla obsahuje náklady na napojení a rozvodů staveništních médií a ceny médií spotřebovaných při provádění díla.</t>
  </si>
  <si>
    <t>14.</t>
  </si>
  <si>
    <t>Uchazeč má právo navštívit staveniště. Doporučuje se, aby každý uchazeč před zpracováním nabídky budoucí staveniště navštívil a podrobně se seznámil se všemi podmínkami a okolnostmi staveniště, které mohou ovlivnit jeho nabídku.</t>
  </si>
  <si>
    <t>15.</t>
  </si>
  <si>
    <t>Dodatečné požadavky zejména na prodloužení lhůt, úpravu kvality prací, zvýšení ceny z titulu nedokonalého zhodnocení situace, či nedostatečných informací, nebudou akceptovány.</t>
  </si>
  <si>
    <t>16.</t>
  </si>
  <si>
    <t>Veškeré případné vícenáklady, které vyplynou v průběhu stavby a pokud nebudou vyvolány dodatečnými požadavky objednatele jsou součástí celkové nabídkové ceny a nebudou zvlášť hrazeny.</t>
  </si>
  <si>
    <t>17.</t>
  </si>
  <si>
    <t>Všechny použité stavební materiály a technická zařízení musí splňovat požadavky platných příslušných norem ČSN a EN (v případě nesouladu platí přísnější) na jejich použití v daných stavebních konstrukcích a zhotovitel je povinen doložit jejich certifikáty o vhodnosti pro použití pro dané stavební konstrukce.</t>
  </si>
  <si>
    <t>18.</t>
  </si>
  <si>
    <t>Výroba konstrukcí, stavebních prvků, nebo příprava stavebních hmot a směsí ve vlastní výrobně zhotovitele mimo staveniště nezakládá nárok na  zvýšení jednotkové ceny.</t>
  </si>
  <si>
    <t>19.</t>
  </si>
  <si>
    <t>Zhotovitel provede všechny povinné zkoušky rozvodů a zařízení technického vybavení budov, přípojek a venkovních nadzemních a podzemních vedení, vyhotoví potřebné protokoly o nich, zajistí revizní zprávy,  návody na obsluhu zařízení v českém jazyce, případně zajistí proškolení a zajistí pokud je to nutné, odsouhlasení a převzetí díla správci sítí. Náklady na výše uvedené práce je nutno zahrnout do jednotkových cen a nebudou zvlášť hrazeny.</t>
  </si>
  <si>
    <t>20.</t>
  </si>
  <si>
    <t>Veškeré prostupy  potrubí a kabelů požárně dělícími konstrukcemi musí být utěsněny dle ustanovení ČSN 73 0802, čl. 8.6.1. systémovými atestovanými hmotami s požární odolností shodnou s požární odolností konstrukce, kterou prostupují. Náklady je nutno zahrnout do jednotkových cen.</t>
  </si>
  <si>
    <t>21.</t>
  </si>
  <si>
    <t>V průběhu provádění prací budou respektovány všechny příslušné platné předpisy a požadavky BOZP. Náklady vyplývající z jejich dodržení jsou součástí jednotkové ceny a nebudou zvlášť hrazeny.</t>
  </si>
  <si>
    <t>22.</t>
  </si>
  <si>
    <t>Vzorky materiálu: Výsledný materiál musí odpovídat kvalitou, barvou a jakostí povrchu materiálovým vzorkům, které je povinen zhotovitel předložit k odsouhlasení objednateli v dostatečném předstihu před zahájením prací.</t>
  </si>
  <si>
    <t>23.</t>
  </si>
  <si>
    <t>V dostatečném předstihu před zahájením výroby je zhotovitel povinen předložit objednateli, architektovi a projektantovi k odsouhlasení dílenské výkresy, včetně výrobních detailů atypický výrobků a katalogové materiály typových výrobků a předloží vzorky materiálů a konstrukcí. Náklady na tyto práce je nutné zahrnout do jednotkové ceny a nebudou zvlášť hrazeny. Teprve na základě písemného souhlasu objednatele je možné zahájit výrobu.</t>
  </si>
  <si>
    <t>24.</t>
  </si>
  <si>
    <t>Barva všech výrobků musí být odsouhlasena objednatelem, architektem a projektantem.</t>
  </si>
  <si>
    <t>25.</t>
  </si>
  <si>
    <t>V případě, že zhotovitel zváží nutnost doplnit výkaz výměr o další položky nutné k provedení díla, uvede tyto včetně ocenění na samostanou přílohu, kterou doplní za výkaz výměr.</t>
  </si>
  <si>
    <t>26.</t>
  </si>
  <si>
    <t>Cena nebude v průběhu stavby zvyšována z titulu inflace nebo kurzovních rozdílů.</t>
  </si>
  <si>
    <t>27.</t>
  </si>
  <si>
    <t>Pevná nabídková cena musí zahrnovat veškeré náklady spojené s úplným dokončením díla. DPH bude uvedena zvlášť.</t>
  </si>
  <si>
    <t>Stavba: Město Votice - Realizace ul. Táborská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</si>
</sst>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sz val="8"/>
      <color indexed="20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sz val="10"/>
      <name val="Arial"/>
      <family val="2"/>
    </font>
    <font>
      <sz val="9"/>
      <name val="Arial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3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3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164" fontId="23" fillId="0" borderId="24" xfId="0" applyNumberFormat="1" applyFont="1" applyBorder="1" applyAlignment="1">
      <alignment horizontal="right" vertical="center"/>
    </xf>
    <xf numFmtId="164" fontId="23" fillId="0" borderId="25" xfId="0" applyNumberFormat="1" applyFont="1" applyBorder="1" applyAlignment="1">
      <alignment horizontal="right" vertical="center"/>
    </xf>
    <xf numFmtId="167" fontId="23" fillId="0" borderId="25" xfId="0" applyNumberFormat="1" applyFont="1" applyBorder="1" applyAlignment="1">
      <alignment horizontal="right" vertical="center"/>
    </xf>
    <xf numFmtId="164" fontId="23" fillId="0" borderId="26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>
      <alignment horizontal="right" vertical="center"/>
    </xf>
    <xf numFmtId="167" fontId="13" fillId="0" borderId="23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1" fillId="0" borderId="33" xfId="0" applyFont="1" applyBorder="1" applyAlignment="1">
      <alignment horizontal="center" vertical="center"/>
    </xf>
    <xf numFmtId="49" fontId="31" fillId="0" borderId="33" xfId="0" applyNumberFormat="1" applyFont="1" applyBorder="1" applyAlignment="1">
      <alignment horizontal="left" vertical="center" wrapText="1"/>
    </xf>
    <xf numFmtId="0" fontId="31" fillId="0" borderId="33" xfId="0" applyFont="1" applyBorder="1" applyAlignment="1">
      <alignment horizontal="center" vertical="center" wrapText="1"/>
    </xf>
    <xf numFmtId="168" fontId="31" fillId="0" borderId="33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74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5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4" fillId="0" borderId="36" xfId="47" applyFont="1" applyFill="1" applyBorder="1" applyAlignment="1">
      <alignment horizontal="center"/>
      <protection/>
    </xf>
    <xf numFmtId="0" fontId="4" fillId="0" borderId="0" xfId="47" applyFont="1" applyFill="1" applyBorder="1" applyAlignment="1">
      <alignment horizontal="center"/>
      <protection/>
    </xf>
    <xf numFmtId="0" fontId="4" fillId="0" borderId="37" xfId="47" applyFont="1" applyFill="1" applyBorder="1" applyAlignment="1">
      <alignment horizontal="center"/>
      <protection/>
    </xf>
    <xf numFmtId="0" fontId="0" fillId="0" borderId="36" xfId="0" applyBorder="1" applyAlignment="1">
      <alignment vertical="top"/>
    </xf>
    <xf numFmtId="0" fontId="34" fillId="0" borderId="0" xfId="47" applyFont="1" applyBorder="1" applyAlignment="1">
      <alignment vertical="top" wrapText="1"/>
      <protection/>
    </xf>
    <xf numFmtId="0" fontId="33" fillId="0" borderId="0" xfId="47" applyBorder="1" applyAlignment="1">
      <alignment vertical="top" wrapText="1"/>
      <protection/>
    </xf>
    <xf numFmtId="0" fontId="0" fillId="0" borderId="37" xfId="0" applyBorder="1" applyAlignment="1">
      <alignment vertical="top"/>
    </xf>
    <xf numFmtId="0" fontId="35" fillId="0" borderId="0" xfId="47" applyFont="1" applyBorder="1" applyAlignment="1">
      <alignment vertical="top" wrapText="1"/>
      <protection/>
    </xf>
    <xf numFmtId="0" fontId="34" fillId="0" borderId="0" xfId="47" applyNumberFormat="1" applyFont="1" applyBorder="1" applyAlignment="1">
      <alignment horizontal="justify" vertical="top" wrapText="1"/>
      <protection/>
    </xf>
    <xf numFmtId="0" fontId="34" fillId="0" borderId="0" xfId="47" applyFont="1" applyBorder="1" applyAlignment="1">
      <alignment horizontal="justify" vertical="top" wrapText="1"/>
      <protection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4" fillId="0" borderId="41" xfId="47" applyFont="1" applyFill="1" applyBorder="1" applyAlignment="1">
      <alignment horizontal="center"/>
      <protection/>
    </xf>
    <xf numFmtId="0" fontId="4" fillId="0" borderId="42" xfId="47" applyFont="1" applyFill="1" applyBorder="1" applyAlignment="1">
      <alignment horizontal="center"/>
      <protection/>
    </xf>
    <xf numFmtId="0" fontId="4" fillId="0" borderId="43" xfId="47" applyFont="1" applyFill="1" applyBorder="1" applyAlignment="1">
      <alignment horizontal="center"/>
      <protection/>
    </xf>
    <xf numFmtId="164" fontId="18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4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24" fillId="34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0" fillId="35" borderId="44" xfId="0" applyFill="1" applyBorder="1" applyAlignment="1">
      <alignment horizontal="left" vertical="center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9" fillId="35" borderId="18" xfId="0" applyFont="1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164" fontId="11" fillId="0" borderId="0" xfId="0" applyNumberFormat="1" applyFont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4" fontId="25" fillId="0" borderId="0" xfId="0" applyNumberFormat="1" applyFont="1" applyAlignment="1">
      <alignment horizontal="right"/>
    </xf>
    <xf numFmtId="0" fontId="75" fillId="33" borderId="0" xfId="36" applyFont="1" applyFill="1" applyAlignment="1" applyProtection="1">
      <alignment horizontal="center" vertical="center"/>
      <protection/>
    </xf>
    <xf numFmtId="164" fontId="24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>
      <alignment horizontal="right" vertical="center"/>
    </xf>
    <xf numFmtId="0" fontId="32" fillId="0" borderId="0" xfId="0" applyFont="1" applyAlignment="1">
      <alignment horizontal="left" vertical="top" wrapText="1"/>
    </xf>
    <xf numFmtId="0" fontId="31" fillId="0" borderId="33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/>
    </xf>
    <xf numFmtId="164" fontId="31" fillId="34" borderId="33" xfId="0" applyNumberFormat="1" applyFont="1" applyFill="1" applyBorder="1" applyAlignment="1">
      <alignment horizontal="right" vertical="center"/>
    </xf>
    <xf numFmtId="164" fontId="31" fillId="0" borderId="33" xfId="0" applyNumberFormat="1" applyFont="1" applyBorder="1" applyAlignment="1">
      <alignment horizontal="right" vertical="center"/>
    </xf>
    <xf numFmtId="0" fontId="7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164" fontId="18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left" vertical="top"/>
    </xf>
    <xf numFmtId="0" fontId="26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 vertical="center"/>
    </xf>
    <xf numFmtId="0" fontId="7" fillId="35" borderId="0" xfId="0" applyFont="1" applyFill="1" applyAlignment="1">
      <alignment horizontal="center" vertical="center"/>
    </xf>
    <xf numFmtId="164" fontId="13" fillId="0" borderId="0" xfId="0" applyNumberFormat="1" applyFont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0" fontId="7" fillId="34" borderId="0" xfId="0" applyFont="1" applyFill="1" applyAlignment="1">
      <alignment horizontal="left" vertical="center"/>
    </xf>
    <xf numFmtId="166" fontId="7" fillId="34" borderId="0" xfId="0" applyNumberFormat="1" applyFont="1" applyFill="1" applyAlignment="1">
      <alignment horizontal="left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iver Diamond_CELKOVÁ REKAPITULACE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89E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B05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489E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1B05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34"/>
  <sheetViews>
    <sheetView showGridLines="0" zoomScalePageLayoutView="0" workbookViewId="0" topLeftCell="A1">
      <selection activeCell="C5" sqref="C5"/>
    </sheetView>
  </sheetViews>
  <sheetFormatPr defaultColWidth="9.33203125" defaultRowHeight="13.5"/>
  <cols>
    <col min="2" max="2" width="2" style="0" customWidth="1"/>
    <col min="3" max="3" width="6" style="0" customWidth="1"/>
    <col min="4" max="4" width="112" style="0" customWidth="1"/>
    <col min="5" max="5" width="2.33203125" style="0" customWidth="1"/>
  </cols>
  <sheetData>
    <row r="3" spans="2:5" ht="27" customHeight="1">
      <c r="B3" s="165" t="s">
        <v>469</v>
      </c>
      <c r="C3" s="166"/>
      <c r="D3" s="166"/>
      <c r="E3" s="167"/>
    </row>
    <row r="4" spans="2:5" ht="21">
      <c r="B4" s="152"/>
      <c r="C4" s="153"/>
      <c r="D4" s="153"/>
      <c r="E4" s="154"/>
    </row>
    <row r="5" spans="2:5" ht="21">
      <c r="B5" s="152"/>
      <c r="C5" s="16" t="s">
        <v>524</v>
      </c>
      <c r="D5" s="153"/>
      <c r="E5" s="154"/>
    </row>
    <row r="6" spans="2:5" ht="13.5">
      <c r="B6" s="155"/>
      <c r="C6" s="156"/>
      <c r="D6" s="157"/>
      <c r="E6" s="158"/>
    </row>
    <row r="7" spans="2:5" ht="33" customHeight="1">
      <c r="B7" s="155"/>
      <c r="C7" s="156" t="s">
        <v>470</v>
      </c>
      <c r="D7" s="156" t="s">
        <v>471</v>
      </c>
      <c r="E7" s="158"/>
    </row>
    <row r="8" spans="2:5" ht="22.5" customHeight="1">
      <c r="B8" s="155"/>
      <c r="C8" s="156" t="s">
        <v>472</v>
      </c>
      <c r="D8" s="159" t="s">
        <v>473</v>
      </c>
      <c r="E8" s="158"/>
    </row>
    <row r="9" spans="2:5" ht="60.75" customHeight="1">
      <c r="B9" s="155"/>
      <c r="C9" s="156" t="s">
        <v>474</v>
      </c>
      <c r="D9" s="159" t="s">
        <v>475</v>
      </c>
      <c r="E9" s="158"/>
    </row>
    <row r="10" spans="2:5" ht="48" customHeight="1">
      <c r="B10" s="155"/>
      <c r="C10" s="156" t="s">
        <v>476</v>
      </c>
      <c r="D10" s="159" t="s">
        <v>477</v>
      </c>
      <c r="E10" s="158"/>
    </row>
    <row r="11" spans="2:5" ht="32.25" customHeight="1">
      <c r="B11" s="155"/>
      <c r="C11" s="156" t="s">
        <v>478</v>
      </c>
      <c r="D11" s="160" t="s">
        <v>479</v>
      </c>
      <c r="E11" s="158"/>
    </row>
    <row r="12" spans="2:5" ht="45" customHeight="1">
      <c r="B12" s="155"/>
      <c r="C12" s="156" t="s">
        <v>480</v>
      </c>
      <c r="D12" s="160" t="s">
        <v>481</v>
      </c>
      <c r="E12" s="158"/>
    </row>
    <row r="13" spans="2:5" ht="85.5" customHeight="1">
      <c r="B13" s="155"/>
      <c r="C13" s="156" t="s">
        <v>482</v>
      </c>
      <c r="D13" s="156" t="s">
        <v>483</v>
      </c>
      <c r="E13" s="158"/>
    </row>
    <row r="14" spans="2:5" ht="57.75" customHeight="1">
      <c r="B14" s="155"/>
      <c r="C14" s="156" t="s">
        <v>484</v>
      </c>
      <c r="D14" s="156" t="s">
        <v>485</v>
      </c>
      <c r="E14" s="158"/>
    </row>
    <row r="15" spans="2:5" ht="45" customHeight="1">
      <c r="B15" s="155"/>
      <c r="C15" s="156" t="s">
        <v>486</v>
      </c>
      <c r="D15" s="161" t="s">
        <v>487</v>
      </c>
      <c r="E15" s="158"/>
    </row>
    <row r="16" spans="2:5" ht="32.25" customHeight="1">
      <c r="B16" s="155"/>
      <c r="C16" s="156" t="s">
        <v>488</v>
      </c>
      <c r="D16" s="161" t="s">
        <v>489</v>
      </c>
      <c r="E16" s="158"/>
    </row>
    <row r="17" spans="2:5" ht="35.25" customHeight="1">
      <c r="B17" s="155"/>
      <c r="C17" s="156" t="s">
        <v>490</v>
      </c>
      <c r="D17" s="161" t="s">
        <v>491</v>
      </c>
      <c r="E17" s="158"/>
    </row>
    <row r="18" spans="2:5" ht="33" customHeight="1">
      <c r="B18" s="155"/>
      <c r="C18" s="156" t="s">
        <v>492</v>
      </c>
      <c r="D18" s="159" t="s">
        <v>493</v>
      </c>
      <c r="E18" s="158"/>
    </row>
    <row r="19" spans="2:5" ht="29.25" customHeight="1">
      <c r="B19" s="155"/>
      <c r="C19" s="156" t="s">
        <v>494</v>
      </c>
      <c r="D19" s="156" t="s">
        <v>495</v>
      </c>
      <c r="E19" s="158"/>
    </row>
    <row r="20" spans="2:5" ht="48" customHeight="1">
      <c r="B20" s="155"/>
      <c r="C20" s="156" t="s">
        <v>496</v>
      </c>
      <c r="D20" s="161" t="s">
        <v>497</v>
      </c>
      <c r="E20" s="158"/>
    </row>
    <row r="21" spans="2:5" ht="34.5" customHeight="1">
      <c r="B21" s="155"/>
      <c r="C21" s="156" t="s">
        <v>498</v>
      </c>
      <c r="D21" s="156" t="s">
        <v>499</v>
      </c>
      <c r="E21" s="158"/>
    </row>
    <row r="22" spans="2:5" ht="33.75" customHeight="1">
      <c r="B22" s="155"/>
      <c r="C22" s="156" t="s">
        <v>500</v>
      </c>
      <c r="D22" s="156" t="s">
        <v>501</v>
      </c>
      <c r="E22" s="158"/>
    </row>
    <row r="23" spans="2:5" ht="48" customHeight="1">
      <c r="B23" s="155"/>
      <c r="C23" s="156" t="s">
        <v>502</v>
      </c>
      <c r="D23" s="156" t="s">
        <v>503</v>
      </c>
      <c r="E23" s="158"/>
    </row>
    <row r="24" spans="2:5" ht="36" customHeight="1">
      <c r="B24" s="155"/>
      <c r="C24" s="156" t="s">
        <v>504</v>
      </c>
      <c r="D24" s="156" t="s">
        <v>505</v>
      </c>
      <c r="E24" s="158"/>
    </row>
    <row r="25" spans="2:5" ht="60" customHeight="1">
      <c r="B25" s="155"/>
      <c r="C25" s="156" t="s">
        <v>506</v>
      </c>
      <c r="D25" s="156" t="s">
        <v>507</v>
      </c>
      <c r="E25" s="158"/>
    </row>
    <row r="26" spans="2:5" ht="46.5" customHeight="1">
      <c r="B26" s="155"/>
      <c r="C26" s="156" t="s">
        <v>508</v>
      </c>
      <c r="D26" s="156" t="s">
        <v>509</v>
      </c>
      <c r="E26" s="158"/>
    </row>
    <row r="27" spans="2:5" ht="36.75" customHeight="1">
      <c r="B27" s="155"/>
      <c r="C27" s="156" t="s">
        <v>510</v>
      </c>
      <c r="D27" s="161" t="s">
        <v>511</v>
      </c>
      <c r="E27" s="158"/>
    </row>
    <row r="28" spans="2:5" ht="37.5" customHeight="1">
      <c r="B28" s="155"/>
      <c r="C28" s="156" t="s">
        <v>512</v>
      </c>
      <c r="D28" s="156" t="s">
        <v>513</v>
      </c>
      <c r="E28" s="158"/>
    </row>
    <row r="29" spans="2:5" ht="57.75" customHeight="1">
      <c r="B29" s="155"/>
      <c r="C29" s="156" t="s">
        <v>514</v>
      </c>
      <c r="D29" s="156" t="s">
        <v>515</v>
      </c>
      <c r="E29" s="158"/>
    </row>
    <row r="30" spans="2:5" ht="26.25" customHeight="1">
      <c r="B30" s="155"/>
      <c r="C30" s="156" t="s">
        <v>516</v>
      </c>
      <c r="D30" s="156" t="s">
        <v>517</v>
      </c>
      <c r="E30" s="158"/>
    </row>
    <row r="31" spans="2:5" ht="35.25" customHeight="1">
      <c r="B31" s="155"/>
      <c r="C31" s="156" t="s">
        <v>518</v>
      </c>
      <c r="D31" s="161" t="s">
        <v>519</v>
      </c>
      <c r="E31" s="158"/>
    </row>
    <row r="32" spans="2:5" ht="24" customHeight="1">
      <c r="B32" s="155"/>
      <c r="C32" s="156" t="s">
        <v>520</v>
      </c>
      <c r="D32" s="156" t="s">
        <v>521</v>
      </c>
      <c r="E32" s="158"/>
    </row>
    <row r="33" spans="2:5" ht="27" customHeight="1">
      <c r="B33" s="155"/>
      <c r="C33" s="156" t="s">
        <v>522</v>
      </c>
      <c r="D33" s="156" t="s">
        <v>523</v>
      </c>
      <c r="E33" s="158"/>
    </row>
    <row r="34" spans="2:5" ht="7.5" customHeight="1">
      <c r="B34" s="162"/>
      <c r="C34" s="163"/>
      <c r="D34" s="163"/>
      <c r="E34" s="164"/>
    </row>
  </sheetData>
  <sheetProtection/>
  <mergeCells count="1">
    <mergeCell ref="B3:E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0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K6" sqref="K6:AO6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47" t="s">
        <v>0</v>
      </c>
      <c r="B1" s="148"/>
      <c r="C1" s="148"/>
      <c r="D1" s="149" t="s">
        <v>1</v>
      </c>
      <c r="E1" s="148"/>
      <c r="F1" s="148"/>
      <c r="G1" s="148"/>
      <c r="H1" s="148"/>
      <c r="I1" s="148"/>
      <c r="J1" s="148"/>
      <c r="K1" s="150" t="s">
        <v>462</v>
      </c>
      <c r="L1" s="150"/>
      <c r="M1" s="150"/>
      <c r="N1" s="150"/>
      <c r="O1" s="150"/>
      <c r="P1" s="150"/>
      <c r="Q1" s="150"/>
      <c r="R1" s="150"/>
      <c r="S1" s="150"/>
      <c r="T1" s="148"/>
      <c r="U1" s="148"/>
      <c r="V1" s="148"/>
      <c r="W1" s="150" t="s">
        <v>463</v>
      </c>
      <c r="X1" s="150"/>
      <c r="Y1" s="150"/>
      <c r="Z1" s="150"/>
      <c r="AA1" s="150"/>
      <c r="AB1" s="150"/>
      <c r="AC1" s="150"/>
      <c r="AD1" s="150"/>
      <c r="AE1" s="150"/>
      <c r="AF1" s="150"/>
      <c r="AG1" s="148"/>
      <c r="AH1" s="148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97" t="s">
        <v>4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R2" s="170" t="s">
        <v>5</v>
      </c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88" t="s">
        <v>9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1"/>
      <c r="AS4" s="12" t="s">
        <v>10</v>
      </c>
      <c r="BE4" s="13" t="s">
        <v>11</v>
      </c>
      <c r="BS4" s="6" t="s">
        <v>12</v>
      </c>
    </row>
    <row r="5" spans="2:71" s="2" customFormat="1" ht="15" customHeight="1">
      <c r="B5" s="10"/>
      <c r="D5" s="14" t="s">
        <v>13</v>
      </c>
      <c r="K5" s="190" t="s">
        <v>14</v>
      </c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Q5" s="11"/>
      <c r="BE5" s="198" t="s">
        <v>15</v>
      </c>
      <c r="BS5" s="6" t="s">
        <v>6</v>
      </c>
    </row>
    <row r="6" spans="2:71" s="2" customFormat="1" ht="37.5" customHeight="1">
      <c r="B6" s="10"/>
      <c r="D6" s="16" t="s">
        <v>16</v>
      </c>
      <c r="K6" s="199" t="s">
        <v>17</v>
      </c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Q6" s="11"/>
      <c r="BE6" s="171"/>
      <c r="BS6" s="6" t="s">
        <v>18</v>
      </c>
    </row>
    <row r="7" spans="2:71" s="2" customFormat="1" ht="15" customHeight="1">
      <c r="B7" s="10"/>
      <c r="D7" s="17" t="s">
        <v>19</v>
      </c>
      <c r="K7" s="15"/>
      <c r="AK7" s="17" t="s">
        <v>20</v>
      </c>
      <c r="AN7" s="15"/>
      <c r="AQ7" s="11"/>
      <c r="BE7" s="171"/>
      <c r="BS7" s="6" t="s">
        <v>21</v>
      </c>
    </row>
    <row r="8" spans="2:71" s="2" customFormat="1" ht="15" customHeight="1">
      <c r="B8" s="10"/>
      <c r="D8" s="17" t="s">
        <v>22</v>
      </c>
      <c r="K8" s="15" t="s">
        <v>23</v>
      </c>
      <c r="AK8" s="17" t="s">
        <v>24</v>
      </c>
      <c r="AN8" s="18" t="s">
        <v>25</v>
      </c>
      <c r="AQ8" s="11"/>
      <c r="BE8" s="171"/>
      <c r="BS8" s="6" t="s">
        <v>26</v>
      </c>
    </row>
    <row r="9" spans="2:71" s="2" customFormat="1" ht="15" customHeight="1">
      <c r="B9" s="10"/>
      <c r="AQ9" s="11"/>
      <c r="BE9" s="171"/>
      <c r="BS9" s="6" t="s">
        <v>27</v>
      </c>
    </row>
    <row r="10" spans="2:71" s="2" customFormat="1" ht="15" customHeight="1">
      <c r="B10" s="10"/>
      <c r="D10" s="17" t="s">
        <v>28</v>
      </c>
      <c r="AK10" s="17" t="s">
        <v>29</v>
      </c>
      <c r="AN10" s="15" t="s">
        <v>30</v>
      </c>
      <c r="AQ10" s="11"/>
      <c r="BE10" s="171"/>
      <c r="BS10" s="6" t="s">
        <v>18</v>
      </c>
    </row>
    <row r="11" spans="2:71" s="2" customFormat="1" ht="19.5" customHeight="1">
      <c r="B11" s="10"/>
      <c r="E11" s="15" t="s">
        <v>31</v>
      </c>
      <c r="AK11" s="17" t="s">
        <v>32</v>
      </c>
      <c r="AN11" s="15"/>
      <c r="AQ11" s="11"/>
      <c r="BE11" s="171"/>
      <c r="BS11" s="6" t="s">
        <v>18</v>
      </c>
    </row>
    <row r="12" spans="2:71" s="2" customFormat="1" ht="7.5" customHeight="1">
      <c r="B12" s="10"/>
      <c r="AQ12" s="11"/>
      <c r="BE12" s="171"/>
      <c r="BS12" s="6" t="s">
        <v>18</v>
      </c>
    </row>
    <row r="13" spans="2:71" s="2" customFormat="1" ht="15" customHeight="1">
      <c r="B13" s="10"/>
      <c r="D13" s="17" t="s">
        <v>33</v>
      </c>
      <c r="AK13" s="17" t="s">
        <v>29</v>
      </c>
      <c r="AN13" s="19" t="s">
        <v>34</v>
      </c>
      <c r="AQ13" s="11"/>
      <c r="BE13" s="171"/>
      <c r="BS13" s="6" t="s">
        <v>18</v>
      </c>
    </row>
    <row r="14" spans="2:71" s="2" customFormat="1" ht="15.75" customHeight="1">
      <c r="B14" s="10"/>
      <c r="E14" s="200" t="s">
        <v>34</v>
      </c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" t="s">
        <v>32</v>
      </c>
      <c r="AN14" s="19" t="s">
        <v>34</v>
      </c>
      <c r="AQ14" s="11"/>
      <c r="BE14" s="171"/>
      <c r="BS14" s="6" t="s">
        <v>18</v>
      </c>
    </row>
    <row r="15" spans="2:71" s="2" customFormat="1" ht="7.5" customHeight="1">
      <c r="B15" s="10"/>
      <c r="AQ15" s="11"/>
      <c r="BE15" s="171"/>
      <c r="BS15" s="6" t="s">
        <v>3</v>
      </c>
    </row>
    <row r="16" spans="2:71" s="2" customFormat="1" ht="15" customHeight="1">
      <c r="B16" s="10"/>
      <c r="D16" s="17" t="s">
        <v>35</v>
      </c>
      <c r="AK16" s="17" t="s">
        <v>29</v>
      </c>
      <c r="AN16" s="15" t="s">
        <v>36</v>
      </c>
      <c r="AQ16" s="11"/>
      <c r="BE16" s="171"/>
      <c r="BS16" s="6" t="s">
        <v>3</v>
      </c>
    </row>
    <row r="17" spans="2:71" s="2" customFormat="1" ht="19.5" customHeight="1">
      <c r="B17" s="10"/>
      <c r="E17" s="15" t="s">
        <v>37</v>
      </c>
      <c r="AK17" s="17" t="s">
        <v>32</v>
      </c>
      <c r="AN17" s="15" t="s">
        <v>38</v>
      </c>
      <c r="AQ17" s="11"/>
      <c r="BE17" s="171"/>
      <c r="BS17" s="6" t="s">
        <v>39</v>
      </c>
    </row>
    <row r="18" spans="2:71" s="2" customFormat="1" ht="7.5" customHeight="1">
      <c r="B18" s="10"/>
      <c r="AQ18" s="11"/>
      <c r="BE18" s="171"/>
      <c r="BS18" s="6" t="s">
        <v>6</v>
      </c>
    </row>
    <row r="19" spans="2:71" s="2" customFormat="1" ht="15" customHeight="1">
      <c r="B19" s="10"/>
      <c r="D19" s="17" t="s">
        <v>40</v>
      </c>
      <c r="AK19" s="17" t="s">
        <v>29</v>
      </c>
      <c r="AN19" s="15" t="s">
        <v>41</v>
      </c>
      <c r="AQ19" s="11"/>
      <c r="BE19" s="171"/>
      <c r="BS19" s="6" t="s">
        <v>6</v>
      </c>
    </row>
    <row r="20" spans="2:57" s="2" customFormat="1" ht="19.5" customHeight="1">
      <c r="B20" s="10"/>
      <c r="E20" s="15" t="s">
        <v>42</v>
      </c>
      <c r="AK20" s="17" t="s">
        <v>32</v>
      </c>
      <c r="AN20" s="15"/>
      <c r="AQ20" s="11"/>
      <c r="BE20" s="171"/>
    </row>
    <row r="21" spans="2:57" s="2" customFormat="1" ht="7.5" customHeight="1">
      <c r="B21" s="10"/>
      <c r="AQ21" s="11"/>
      <c r="BE21" s="171"/>
    </row>
    <row r="22" spans="2:57" s="2" customFormat="1" ht="7.5" customHeight="1">
      <c r="B22" s="1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Q22" s="11"/>
      <c r="BE22" s="171"/>
    </row>
    <row r="23" spans="2:57" s="2" customFormat="1" ht="15" customHeight="1">
      <c r="B23" s="10"/>
      <c r="D23" s="21" t="s">
        <v>43</v>
      </c>
      <c r="AK23" s="201">
        <f>ROUND($AG$87,2)</f>
        <v>0</v>
      </c>
      <c r="AL23" s="171"/>
      <c r="AM23" s="171"/>
      <c r="AN23" s="171"/>
      <c r="AO23" s="171"/>
      <c r="AQ23" s="11"/>
      <c r="BE23" s="171"/>
    </row>
    <row r="24" spans="2:57" s="2" customFormat="1" ht="15" customHeight="1">
      <c r="B24" s="10"/>
      <c r="D24" s="21" t="s">
        <v>44</v>
      </c>
      <c r="AK24" s="201">
        <f>ROUND($AG$90,2)</f>
        <v>0</v>
      </c>
      <c r="AL24" s="171"/>
      <c r="AM24" s="171"/>
      <c r="AN24" s="171"/>
      <c r="AO24" s="171"/>
      <c r="AQ24" s="11"/>
      <c r="BE24" s="171"/>
    </row>
    <row r="25" spans="2:57" s="6" customFormat="1" ht="7.5" customHeight="1">
      <c r="B25" s="22"/>
      <c r="AQ25" s="23"/>
      <c r="BE25" s="173"/>
    </row>
    <row r="26" spans="2:57" s="6" customFormat="1" ht="27" customHeight="1">
      <c r="B26" s="22"/>
      <c r="D26" s="24" t="s">
        <v>45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02">
        <f>ROUND($AK$23+$AK$24,2)</f>
        <v>0</v>
      </c>
      <c r="AL26" s="203"/>
      <c r="AM26" s="203"/>
      <c r="AN26" s="203"/>
      <c r="AO26" s="203"/>
      <c r="AQ26" s="23"/>
      <c r="BE26" s="173"/>
    </row>
    <row r="27" spans="2:57" s="6" customFormat="1" ht="7.5" customHeight="1">
      <c r="B27" s="22"/>
      <c r="AQ27" s="23"/>
      <c r="BE27" s="173"/>
    </row>
    <row r="28" spans="2:57" s="6" customFormat="1" ht="15" customHeight="1">
      <c r="B28" s="26"/>
      <c r="D28" s="27" t="s">
        <v>46</v>
      </c>
      <c r="F28" s="27" t="s">
        <v>47</v>
      </c>
      <c r="L28" s="194">
        <v>0.21</v>
      </c>
      <c r="M28" s="195"/>
      <c r="N28" s="195"/>
      <c r="O28" s="195"/>
      <c r="T28" s="29" t="s">
        <v>48</v>
      </c>
      <c r="W28" s="196">
        <f>ROUND($AZ$87+SUM($CD$91:$CD$98),2)</f>
        <v>0</v>
      </c>
      <c r="X28" s="195"/>
      <c r="Y28" s="195"/>
      <c r="Z28" s="195"/>
      <c r="AA28" s="195"/>
      <c r="AB28" s="195"/>
      <c r="AC28" s="195"/>
      <c r="AD28" s="195"/>
      <c r="AE28" s="195"/>
      <c r="AK28" s="196">
        <f>ROUND($AV$87+SUM($BY$91:$BY$98),2)</f>
        <v>0</v>
      </c>
      <c r="AL28" s="195"/>
      <c r="AM28" s="195"/>
      <c r="AN28" s="195"/>
      <c r="AO28" s="195"/>
      <c r="AQ28" s="30"/>
      <c r="BE28" s="195"/>
    </row>
    <row r="29" spans="2:57" s="6" customFormat="1" ht="15" customHeight="1">
      <c r="B29" s="26"/>
      <c r="F29" s="27" t="s">
        <v>49</v>
      </c>
      <c r="L29" s="194">
        <v>0.15</v>
      </c>
      <c r="M29" s="195"/>
      <c r="N29" s="195"/>
      <c r="O29" s="195"/>
      <c r="T29" s="29" t="s">
        <v>48</v>
      </c>
      <c r="W29" s="196">
        <f>ROUND($BA$87+SUM($CE$91:$CE$98),2)</f>
        <v>0</v>
      </c>
      <c r="X29" s="195"/>
      <c r="Y29" s="195"/>
      <c r="Z29" s="195"/>
      <c r="AA29" s="195"/>
      <c r="AB29" s="195"/>
      <c r="AC29" s="195"/>
      <c r="AD29" s="195"/>
      <c r="AE29" s="195"/>
      <c r="AK29" s="196">
        <f>ROUND($AW$87+SUM($BZ$91:$BZ$98),2)</f>
        <v>0</v>
      </c>
      <c r="AL29" s="195"/>
      <c r="AM29" s="195"/>
      <c r="AN29" s="195"/>
      <c r="AO29" s="195"/>
      <c r="AQ29" s="30"/>
      <c r="BE29" s="195"/>
    </row>
    <row r="30" spans="2:57" s="6" customFormat="1" ht="15" customHeight="1" hidden="1">
      <c r="B30" s="26"/>
      <c r="F30" s="27" t="s">
        <v>50</v>
      </c>
      <c r="L30" s="194">
        <v>0.21</v>
      </c>
      <c r="M30" s="195"/>
      <c r="N30" s="195"/>
      <c r="O30" s="195"/>
      <c r="T30" s="29" t="s">
        <v>48</v>
      </c>
      <c r="W30" s="196">
        <f>ROUND($BB$87+SUM($CF$91:$CF$98),2)</f>
        <v>0</v>
      </c>
      <c r="X30" s="195"/>
      <c r="Y30" s="195"/>
      <c r="Z30" s="195"/>
      <c r="AA30" s="195"/>
      <c r="AB30" s="195"/>
      <c r="AC30" s="195"/>
      <c r="AD30" s="195"/>
      <c r="AE30" s="195"/>
      <c r="AK30" s="196">
        <v>0</v>
      </c>
      <c r="AL30" s="195"/>
      <c r="AM30" s="195"/>
      <c r="AN30" s="195"/>
      <c r="AO30" s="195"/>
      <c r="AQ30" s="30"/>
      <c r="BE30" s="195"/>
    </row>
    <row r="31" spans="2:57" s="6" customFormat="1" ht="15" customHeight="1" hidden="1">
      <c r="B31" s="26"/>
      <c r="F31" s="27" t="s">
        <v>51</v>
      </c>
      <c r="L31" s="194">
        <v>0.15</v>
      </c>
      <c r="M31" s="195"/>
      <c r="N31" s="195"/>
      <c r="O31" s="195"/>
      <c r="T31" s="29" t="s">
        <v>48</v>
      </c>
      <c r="W31" s="196">
        <f>ROUND($BC$87+SUM($CG$91:$CG$98),2)</f>
        <v>0</v>
      </c>
      <c r="X31" s="195"/>
      <c r="Y31" s="195"/>
      <c r="Z31" s="195"/>
      <c r="AA31" s="195"/>
      <c r="AB31" s="195"/>
      <c r="AC31" s="195"/>
      <c r="AD31" s="195"/>
      <c r="AE31" s="195"/>
      <c r="AK31" s="196">
        <v>0</v>
      </c>
      <c r="AL31" s="195"/>
      <c r="AM31" s="195"/>
      <c r="AN31" s="195"/>
      <c r="AO31" s="195"/>
      <c r="AQ31" s="30"/>
      <c r="BE31" s="195"/>
    </row>
    <row r="32" spans="2:57" s="6" customFormat="1" ht="15" customHeight="1" hidden="1">
      <c r="B32" s="26"/>
      <c r="F32" s="27" t="s">
        <v>52</v>
      </c>
      <c r="L32" s="194">
        <v>0</v>
      </c>
      <c r="M32" s="195"/>
      <c r="N32" s="195"/>
      <c r="O32" s="195"/>
      <c r="T32" s="29" t="s">
        <v>48</v>
      </c>
      <c r="W32" s="196">
        <f>ROUND($BD$87+SUM($CH$91:$CH$98),2)</f>
        <v>0</v>
      </c>
      <c r="X32" s="195"/>
      <c r="Y32" s="195"/>
      <c r="Z32" s="195"/>
      <c r="AA32" s="195"/>
      <c r="AB32" s="195"/>
      <c r="AC32" s="195"/>
      <c r="AD32" s="195"/>
      <c r="AE32" s="195"/>
      <c r="AK32" s="196">
        <v>0</v>
      </c>
      <c r="AL32" s="195"/>
      <c r="AM32" s="195"/>
      <c r="AN32" s="195"/>
      <c r="AO32" s="195"/>
      <c r="AQ32" s="30"/>
      <c r="BE32" s="195"/>
    </row>
    <row r="33" spans="2:57" s="6" customFormat="1" ht="7.5" customHeight="1">
      <c r="B33" s="22"/>
      <c r="AQ33" s="23"/>
      <c r="BE33" s="173"/>
    </row>
    <row r="34" spans="2:57" s="6" customFormat="1" ht="27" customHeight="1">
      <c r="B34" s="22"/>
      <c r="C34" s="31"/>
      <c r="D34" s="32" t="s">
        <v>53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4" t="s">
        <v>54</v>
      </c>
      <c r="U34" s="33"/>
      <c r="V34" s="33"/>
      <c r="W34" s="33"/>
      <c r="X34" s="186" t="s">
        <v>55</v>
      </c>
      <c r="Y34" s="179"/>
      <c r="Z34" s="179"/>
      <c r="AA34" s="179"/>
      <c r="AB34" s="179"/>
      <c r="AC34" s="33"/>
      <c r="AD34" s="33"/>
      <c r="AE34" s="33"/>
      <c r="AF34" s="33"/>
      <c r="AG34" s="33"/>
      <c r="AH34" s="33"/>
      <c r="AI34" s="33"/>
      <c r="AJ34" s="33"/>
      <c r="AK34" s="187">
        <f>ROUND(SUM($AK$26:$AK$32),2)</f>
        <v>0</v>
      </c>
      <c r="AL34" s="179"/>
      <c r="AM34" s="179"/>
      <c r="AN34" s="179"/>
      <c r="AO34" s="181"/>
      <c r="AP34" s="31"/>
      <c r="AQ34" s="23"/>
      <c r="BE34" s="173"/>
    </row>
    <row r="35" spans="2:43" s="6" customFormat="1" ht="15" customHeight="1">
      <c r="B35" s="22"/>
      <c r="AQ35" s="23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2"/>
      <c r="D49" s="35" t="s">
        <v>56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  <c r="AC49" s="35" t="s">
        <v>57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7"/>
      <c r="AQ49" s="23"/>
    </row>
    <row r="50" spans="2:43" s="2" customFormat="1" ht="14.25" customHeight="1">
      <c r="B50" s="10"/>
      <c r="D50" s="38"/>
      <c r="Z50" s="39"/>
      <c r="AC50" s="38"/>
      <c r="AO50" s="39"/>
      <c r="AQ50" s="11"/>
    </row>
    <row r="51" spans="2:43" s="2" customFormat="1" ht="14.25" customHeight="1">
      <c r="B51" s="10"/>
      <c r="D51" s="38"/>
      <c r="Z51" s="39"/>
      <c r="AC51" s="38"/>
      <c r="AO51" s="39"/>
      <c r="AQ51" s="11"/>
    </row>
    <row r="52" spans="2:43" s="2" customFormat="1" ht="14.25" customHeight="1">
      <c r="B52" s="10"/>
      <c r="D52" s="38"/>
      <c r="Z52" s="39"/>
      <c r="AC52" s="38"/>
      <c r="AO52" s="39"/>
      <c r="AQ52" s="11"/>
    </row>
    <row r="53" spans="2:43" s="2" customFormat="1" ht="14.25" customHeight="1">
      <c r="B53" s="10"/>
      <c r="D53" s="38"/>
      <c r="Z53" s="39"/>
      <c r="AC53" s="38"/>
      <c r="AO53" s="39"/>
      <c r="AQ53" s="11"/>
    </row>
    <row r="54" spans="2:43" s="2" customFormat="1" ht="14.25" customHeight="1">
      <c r="B54" s="10"/>
      <c r="D54" s="38"/>
      <c r="Z54" s="39"/>
      <c r="AC54" s="38"/>
      <c r="AO54" s="39"/>
      <c r="AQ54" s="11"/>
    </row>
    <row r="55" spans="2:43" s="2" customFormat="1" ht="14.25" customHeight="1">
      <c r="B55" s="10"/>
      <c r="D55" s="38"/>
      <c r="Z55" s="39"/>
      <c r="AC55" s="38"/>
      <c r="AO55" s="39"/>
      <c r="AQ55" s="11"/>
    </row>
    <row r="56" spans="2:43" s="2" customFormat="1" ht="14.25" customHeight="1">
      <c r="B56" s="10"/>
      <c r="D56" s="38"/>
      <c r="Z56" s="39"/>
      <c r="AC56" s="38"/>
      <c r="AO56" s="39"/>
      <c r="AQ56" s="11"/>
    </row>
    <row r="57" spans="2:43" s="2" customFormat="1" ht="14.25" customHeight="1">
      <c r="B57" s="10"/>
      <c r="D57" s="38"/>
      <c r="Z57" s="39"/>
      <c r="AC57" s="38"/>
      <c r="AO57" s="39"/>
      <c r="AQ57" s="11"/>
    </row>
    <row r="58" spans="2:43" s="6" customFormat="1" ht="15.75" customHeight="1">
      <c r="B58" s="22"/>
      <c r="D58" s="40" t="s">
        <v>58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 t="s">
        <v>59</v>
      </c>
      <c r="S58" s="41"/>
      <c r="T58" s="41"/>
      <c r="U58" s="41"/>
      <c r="V58" s="41"/>
      <c r="W58" s="41"/>
      <c r="X58" s="41"/>
      <c r="Y58" s="41"/>
      <c r="Z58" s="43"/>
      <c r="AC58" s="40" t="s">
        <v>58</v>
      </c>
      <c r="AD58" s="41"/>
      <c r="AE58" s="41"/>
      <c r="AF58" s="41"/>
      <c r="AG58" s="41"/>
      <c r="AH58" s="41"/>
      <c r="AI58" s="41"/>
      <c r="AJ58" s="41"/>
      <c r="AK58" s="41"/>
      <c r="AL58" s="41"/>
      <c r="AM58" s="42" t="s">
        <v>59</v>
      </c>
      <c r="AN58" s="41"/>
      <c r="AO58" s="43"/>
      <c r="AQ58" s="23"/>
    </row>
    <row r="59" spans="2:43" s="2" customFormat="1" ht="14.25" customHeight="1">
      <c r="B59" s="10"/>
      <c r="AQ59" s="11"/>
    </row>
    <row r="60" spans="2:43" s="6" customFormat="1" ht="15.75" customHeight="1">
      <c r="B60" s="22"/>
      <c r="D60" s="35" t="s">
        <v>60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7"/>
      <c r="AC60" s="35" t="s">
        <v>61</v>
      </c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7"/>
      <c r="AQ60" s="23"/>
    </row>
    <row r="61" spans="2:43" s="2" customFormat="1" ht="14.25" customHeight="1">
      <c r="B61" s="10"/>
      <c r="D61" s="38"/>
      <c r="Z61" s="39"/>
      <c r="AC61" s="38"/>
      <c r="AO61" s="39"/>
      <c r="AQ61" s="11"/>
    </row>
    <row r="62" spans="2:43" s="2" customFormat="1" ht="14.25" customHeight="1">
      <c r="B62" s="10"/>
      <c r="D62" s="38"/>
      <c r="Z62" s="39"/>
      <c r="AC62" s="38"/>
      <c r="AO62" s="39"/>
      <c r="AQ62" s="11"/>
    </row>
    <row r="63" spans="2:43" s="2" customFormat="1" ht="14.25" customHeight="1">
      <c r="B63" s="10"/>
      <c r="D63" s="38"/>
      <c r="Z63" s="39"/>
      <c r="AC63" s="38"/>
      <c r="AO63" s="39"/>
      <c r="AQ63" s="11"/>
    </row>
    <row r="64" spans="2:43" s="2" customFormat="1" ht="14.25" customHeight="1">
      <c r="B64" s="10"/>
      <c r="D64" s="38"/>
      <c r="Z64" s="39"/>
      <c r="AC64" s="38"/>
      <c r="AO64" s="39"/>
      <c r="AQ64" s="11"/>
    </row>
    <row r="65" spans="2:43" s="2" customFormat="1" ht="14.25" customHeight="1">
      <c r="B65" s="10"/>
      <c r="D65" s="38"/>
      <c r="Z65" s="39"/>
      <c r="AC65" s="38"/>
      <c r="AO65" s="39"/>
      <c r="AQ65" s="11"/>
    </row>
    <row r="66" spans="2:43" s="2" customFormat="1" ht="14.25" customHeight="1">
      <c r="B66" s="10"/>
      <c r="D66" s="38"/>
      <c r="Z66" s="39"/>
      <c r="AC66" s="38"/>
      <c r="AO66" s="39"/>
      <c r="AQ66" s="11"/>
    </row>
    <row r="67" spans="2:43" s="2" customFormat="1" ht="14.25" customHeight="1">
      <c r="B67" s="10"/>
      <c r="D67" s="38"/>
      <c r="Z67" s="39"/>
      <c r="AC67" s="38"/>
      <c r="AO67" s="39"/>
      <c r="AQ67" s="11"/>
    </row>
    <row r="68" spans="2:43" s="2" customFormat="1" ht="14.25" customHeight="1">
      <c r="B68" s="10"/>
      <c r="D68" s="38"/>
      <c r="Z68" s="39"/>
      <c r="AC68" s="38"/>
      <c r="AO68" s="39"/>
      <c r="AQ68" s="11"/>
    </row>
    <row r="69" spans="2:43" s="6" customFormat="1" ht="15.75" customHeight="1">
      <c r="B69" s="22"/>
      <c r="D69" s="40" t="s">
        <v>58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 t="s">
        <v>59</v>
      </c>
      <c r="S69" s="41"/>
      <c r="T69" s="41"/>
      <c r="U69" s="41"/>
      <c r="V69" s="41"/>
      <c r="W69" s="41"/>
      <c r="X69" s="41"/>
      <c r="Y69" s="41"/>
      <c r="Z69" s="43"/>
      <c r="AC69" s="40" t="s">
        <v>58</v>
      </c>
      <c r="AD69" s="41"/>
      <c r="AE69" s="41"/>
      <c r="AF69" s="41"/>
      <c r="AG69" s="41"/>
      <c r="AH69" s="41"/>
      <c r="AI69" s="41"/>
      <c r="AJ69" s="41"/>
      <c r="AK69" s="41"/>
      <c r="AL69" s="41"/>
      <c r="AM69" s="42" t="s">
        <v>59</v>
      </c>
      <c r="AN69" s="41"/>
      <c r="AO69" s="43"/>
      <c r="AQ69" s="23"/>
    </row>
    <row r="70" spans="2:43" s="6" customFormat="1" ht="7.5" customHeight="1">
      <c r="B70" s="22"/>
      <c r="AQ70" s="23"/>
    </row>
    <row r="71" spans="2:43" s="6" customFormat="1" ht="7.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6"/>
    </row>
    <row r="75" spans="2:43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9"/>
    </row>
    <row r="76" spans="2:43" s="6" customFormat="1" ht="37.5" customHeight="1">
      <c r="B76" s="22"/>
      <c r="C76" s="188" t="s">
        <v>62</v>
      </c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173"/>
      <c r="AN76" s="173"/>
      <c r="AO76" s="173"/>
      <c r="AP76" s="173"/>
      <c r="AQ76" s="23"/>
    </row>
    <row r="77" spans="2:43" s="15" customFormat="1" ht="15" customHeight="1">
      <c r="B77" s="50"/>
      <c r="C77" s="17" t="s">
        <v>13</v>
      </c>
      <c r="L77" s="15" t="str">
        <f>$K$5</f>
        <v>2016-01aa</v>
      </c>
      <c r="AQ77" s="51"/>
    </row>
    <row r="78" spans="2:43" s="52" customFormat="1" ht="37.5" customHeight="1">
      <c r="B78" s="53"/>
      <c r="C78" s="52" t="s">
        <v>16</v>
      </c>
      <c r="L78" s="189" t="str">
        <f>$K$6</f>
        <v>Město Votice - Realizace ul. Táborská</v>
      </c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Q78" s="54"/>
    </row>
    <row r="79" spans="2:43" s="6" customFormat="1" ht="7.5" customHeight="1">
      <c r="B79" s="22"/>
      <c r="AQ79" s="23"/>
    </row>
    <row r="80" spans="2:43" s="6" customFormat="1" ht="15.75" customHeight="1">
      <c r="B80" s="22"/>
      <c r="C80" s="17" t="s">
        <v>22</v>
      </c>
      <c r="L80" s="55" t="str">
        <f>IF($K$8="","",$K$8)</f>
        <v>úsek mezi kruhovým objezdem a ul. Javorskou</v>
      </c>
      <c r="AI80" s="17" t="s">
        <v>24</v>
      </c>
      <c r="AM80" s="56" t="str">
        <f>IF($AN$8="","",$AN$8)</f>
        <v>19.04.2016</v>
      </c>
      <c r="AQ80" s="23"/>
    </row>
    <row r="81" spans="2:43" s="6" customFormat="1" ht="7.5" customHeight="1">
      <c r="B81" s="22"/>
      <c r="AQ81" s="23"/>
    </row>
    <row r="82" spans="2:56" s="6" customFormat="1" ht="18.75" customHeight="1">
      <c r="B82" s="22"/>
      <c r="C82" s="17" t="s">
        <v>28</v>
      </c>
      <c r="L82" s="15" t="str">
        <f>IF($E$11="","",$E$11)</f>
        <v>Město Votice, Komenského nám. 700, 259 17 Votice</v>
      </c>
      <c r="AI82" s="17" t="s">
        <v>35</v>
      </c>
      <c r="AM82" s="190" t="str">
        <f>IF($E$17="","",$E$17)</f>
        <v>DOPAS s.r.o., Kubelíkova 1224/42, 130 00 Praha 3</v>
      </c>
      <c r="AN82" s="173"/>
      <c r="AO82" s="173"/>
      <c r="AP82" s="173"/>
      <c r="AQ82" s="23"/>
      <c r="AS82" s="191" t="s">
        <v>63</v>
      </c>
      <c r="AT82" s="192"/>
      <c r="AU82" s="36"/>
      <c r="AV82" s="36"/>
      <c r="AW82" s="36"/>
      <c r="AX82" s="36"/>
      <c r="AY82" s="36"/>
      <c r="AZ82" s="36"/>
      <c r="BA82" s="36"/>
      <c r="BB82" s="36"/>
      <c r="BC82" s="36"/>
      <c r="BD82" s="37"/>
    </row>
    <row r="83" spans="2:56" s="6" customFormat="1" ht="15.75" customHeight="1">
      <c r="B83" s="22"/>
      <c r="C83" s="17" t="s">
        <v>33</v>
      </c>
      <c r="L83" s="15">
        <f>IF($E$14="Vyplň údaj","",$E$14)</f>
      </c>
      <c r="AI83" s="17" t="s">
        <v>40</v>
      </c>
      <c r="AM83" s="190" t="str">
        <f>IF($E$20="","",$E$20)</f>
        <v>Jiří Večerník</v>
      </c>
      <c r="AN83" s="173"/>
      <c r="AO83" s="173"/>
      <c r="AP83" s="173"/>
      <c r="AQ83" s="23"/>
      <c r="AS83" s="193"/>
      <c r="AT83" s="173"/>
      <c r="BD83" s="58"/>
    </row>
    <row r="84" spans="2:56" s="6" customFormat="1" ht="12" customHeight="1">
      <c r="B84" s="22"/>
      <c r="AQ84" s="23"/>
      <c r="AS84" s="193"/>
      <c r="AT84" s="173"/>
      <c r="BD84" s="58"/>
    </row>
    <row r="85" spans="2:57" s="6" customFormat="1" ht="30" customHeight="1">
      <c r="B85" s="22"/>
      <c r="C85" s="178" t="s">
        <v>64</v>
      </c>
      <c r="D85" s="179"/>
      <c r="E85" s="179"/>
      <c r="F85" s="179"/>
      <c r="G85" s="179"/>
      <c r="H85" s="33"/>
      <c r="I85" s="180" t="s">
        <v>65</v>
      </c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80" t="s">
        <v>66</v>
      </c>
      <c r="AH85" s="179"/>
      <c r="AI85" s="179"/>
      <c r="AJ85" s="179"/>
      <c r="AK85" s="179"/>
      <c r="AL85" s="179"/>
      <c r="AM85" s="179"/>
      <c r="AN85" s="180" t="s">
        <v>67</v>
      </c>
      <c r="AO85" s="179"/>
      <c r="AP85" s="181"/>
      <c r="AQ85" s="23"/>
      <c r="AS85" s="59" t="s">
        <v>68</v>
      </c>
      <c r="AT85" s="60" t="s">
        <v>69</v>
      </c>
      <c r="AU85" s="60" t="s">
        <v>70</v>
      </c>
      <c r="AV85" s="60" t="s">
        <v>71</v>
      </c>
      <c r="AW85" s="60" t="s">
        <v>72</v>
      </c>
      <c r="AX85" s="60" t="s">
        <v>73</v>
      </c>
      <c r="AY85" s="60" t="s">
        <v>74</v>
      </c>
      <c r="AZ85" s="60" t="s">
        <v>75</v>
      </c>
      <c r="BA85" s="60" t="s">
        <v>76</v>
      </c>
      <c r="BB85" s="60" t="s">
        <v>77</v>
      </c>
      <c r="BC85" s="60" t="s">
        <v>78</v>
      </c>
      <c r="BD85" s="61" t="s">
        <v>79</v>
      </c>
      <c r="BE85" s="62"/>
    </row>
    <row r="86" spans="2:56" s="6" customFormat="1" ht="12" customHeight="1">
      <c r="B86" s="22"/>
      <c r="AQ86" s="23"/>
      <c r="AS86" s="63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7"/>
    </row>
    <row r="87" spans="2:76" s="52" customFormat="1" ht="33" customHeight="1">
      <c r="B87" s="53"/>
      <c r="C87" s="64" t="s">
        <v>80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176">
        <f>ROUND($AG$88,2)</f>
        <v>0</v>
      </c>
      <c r="AH87" s="177"/>
      <c r="AI87" s="177"/>
      <c r="AJ87" s="177"/>
      <c r="AK87" s="177"/>
      <c r="AL87" s="177"/>
      <c r="AM87" s="177"/>
      <c r="AN87" s="176">
        <f>ROUND(SUM($AG$87,$AT$87),2)</f>
        <v>0</v>
      </c>
      <c r="AO87" s="177"/>
      <c r="AP87" s="177"/>
      <c r="AQ87" s="54"/>
      <c r="AS87" s="65">
        <f>ROUND($AS$88,2)</f>
        <v>0</v>
      </c>
      <c r="AT87" s="66">
        <f>ROUND(SUM($AV$87:$AW$87),2)</f>
        <v>0</v>
      </c>
      <c r="AU87" s="67">
        <f>ROUND($AU$88,5)</f>
        <v>2467.23878</v>
      </c>
      <c r="AV87" s="66">
        <f>ROUND($AZ$87*$L$28,2)</f>
        <v>0</v>
      </c>
      <c r="AW87" s="66">
        <f>ROUND($BA$87*$L$29,2)</f>
        <v>0</v>
      </c>
      <c r="AX87" s="66">
        <f>ROUND($BB$87*$L$28,2)</f>
        <v>0</v>
      </c>
      <c r="AY87" s="66">
        <f>ROUND($BC$87*$L$29,2)</f>
        <v>0</v>
      </c>
      <c r="AZ87" s="66">
        <f>ROUND($AZ$88,2)</f>
        <v>0</v>
      </c>
      <c r="BA87" s="66">
        <f>ROUND($BA$88,2)</f>
        <v>0</v>
      </c>
      <c r="BB87" s="66">
        <f>ROUND($BB$88,2)</f>
        <v>0</v>
      </c>
      <c r="BC87" s="66">
        <f>ROUND($BC$88,2)</f>
        <v>0</v>
      </c>
      <c r="BD87" s="68">
        <f>ROUND($BD$88,2)</f>
        <v>0</v>
      </c>
      <c r="BS87" s="52" t="s">
        <v>81</v>
      </c>
      <c r="BT87" s="52" t="s">
        <v>82</v>
      </c>
      <c r="BU87" s="69" t="s">
        <v>83</v>
      </c>
      <c r="BV87" s="52" t="s">
        <v>84</v>
      </c>
      <c r="BW87" s="52" t="s">
        <v>85</v>
      </c>
      <c r="BX87" s="52" t="s">
        <v>86</v>
      </c>
    </row>
    <row r="88" spans="1:76" s="70" customFormat="1" ht="28.5" customHeight="1">
      <c r="A88" s="146" t="s">
        <v>464</v>
      </c>
      <c r="B88" s="71"/>
      <c r="C88" s="72"/>
      <c r="D88" s="184" t="s">
        <v>87</v>
      </c>
      <c r="E88" s="185"/>
      <c r="F88" s="185"/>
      <c r="G88" s="185"/>
      <c r="H88" s="185"/>
      <c r="I88" s="72"/>
      <c r="J88" s="184" t="s">
        <v>88</v>
      </c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2">
        <f>'SO 100.01 - Zpevněné ploc...'!$M$27</f>
        <v>0</v>
      </c>
      <c r="AH88" s="183"/>
      <c r="AI88" s="183"/>
      <c r="AJ88" s="183"/>
      <c r="AK88" s="183"/>
      <c r="AL88" s="183"/>
      <c r="AM88" s="183"/>
      <c r="AN88" s="182">
        <f>ROUND(SUM($AG$88,$AT$88),2)</f>
        <v>0</v>
      </c>
      <c r="AO88" s="183"/>
      <c r="AP88" s="183"/>
      <c r="AQ88" s="73"/>
      <c r="AS88" s="74">
        <f>'SO 100.01 - Zpevněné ploc...'!$M$25</f>
        <v>0</v>
      </c>
      <c r="AT88" s="75">
        <f>ROUND(SUM($AV$88:$AW$88),2)</f>
        <v>0</v>
      </c>
      <c r="AU88" s="76">
        <f>'SO 100.01 - Zpevněné ploc...'!$W$128</f>
        <v>2467.238782</v>
      </c>
      <c r="AV88" s="75">
        <f>'SO 100.01 - Zpevněné ploc...'!$M$29</f>
        <v>0</v>
      </c>
      <c r="AW88" s="75">
        <f>'SO 100.01 - Zpevněné ploc...'!$M$30</f>
        <v>0</v>
      </c>
      <c r="AX88" s="75">
        <f>'SO 100.01 - Zpevněné ploc...'!$M$31</f>
        <v>0</v>
      </c>
      <c r="AY88" s="75">
        <f>'SO 100.01 - Zpevněné ploc...'!$M$32</f>
        <v>0</v>
      </c>
      <c r="AZ88" s="75">
        <f>'SO 100.01 - Zpevněné ploc...'!$H$29</f>
        <v>0</v>
      </c>
      <c r="BA88" s="75">
        <f>'SO 100.01 - Zpevněné ploc...'!$H$30</f>
        <v>0</v>
      </c>
      <c r="BB88" s="75">
        <f>'SO 100.01 - Zpevněné ploc...'!$H$31</f>
        <v>0</v>
      </c>
      <c r="BC88" s="75">
        <f>'SO 100.01 - Zpevněné ploc...'!$H$32</f>
        <v>0</v>
      </c>
      <c r="BD88" s="77">
        <f>'SO 100.01 - Zpevněné ploc...'!$H$33</f>
        <v>0</v>
      </c>
      <c r="BT88" s="70" t="s">
        <v>21</v>
      </c>
      <c r="BV88" s="70" t="s">
        <v>84</v>
      </c>
      <c r="BW88" s="70" t="s">
        <v>89</v>
      </c>
      <c r="BX88" s="70" t="s">
        <v>85</v>
      </c>
    </row>
    <row r="89" spans="2:43" s="2" customFormat="1" ht="14.25" customHeight="1">
      <c r="B89" s="10"/>
      <c r="AQ89" s="11"/>
    </row>
    <row r="90" spans="2:49" s="6" customFormat="1" ht="30.75" customHeight="1">
      <c r="B90" s="22"/>
      <c r="C90" s="64" t="s">
        <v>90</v>
      </c>
      <c r="AG90" s="176">
        <f>ROUND(SUM($AG$91:$AG$97),2)</f>
        <v>0</v>
      </c>
      <c r="AH90" s="173"/>
      <c r="AI90" s="173"/>
      <c r="AJ90" s="173"/>
      <c r="AK90" s="173"/>
      <c r="AL90" s="173"/>
      <c r="AM90" s="173"/>
      <c r="AN90" s="176">
        <f>ROUND(SUM($AN$91:$AN$97),2)</f>
        <v>0</v>
      </c>
      <c r="AO90" s="173"/>
      <c r="AP90" s="173"/>
      <c r="AQ90" s="23"/>
      <c r="AS90" s="59" t="s">
        <v>91</v>
      </c>
      <c r="AT90" s="60" t="s">
        <v>92</v>
      </c>
      <c r="AU90" s="60" t="s">
        <v>46</v>
      </c>
      <c r="AV90" s="61" t="s">
        <v>69</v>
      </c>
      <c r="AW90" s="62"/>
    </row>
    <row r="91" spans="2:89" s="6" customFormat="1" ht="21" customHeight="1">
      <c r="B91" s="22"/>
      <c r="D91" s="78" t="s">
        <v>93</v>
      </c>
      <c r="AG91" s="174">
        <f>ROUND($AG$87*$AS$91,2)</f>
        <v>0</v>
      </c>
      <c r="AH91" s="173"/>
      <c r="AI91" s="173"/>
      <c r="AJ91" s="173"/>
      <c r="AK91" s="173"/>
      <c r="AL91" s="173"/>
      <c r="AM91" s="173"/>
      <c r="AN91" s="175">
        <f>ROUND($AG$91+$AV$91,2)</f>
        <v>0</v>
      </c>
      <c r="AO91" s="173"/>
      <c r="AP91" s="173"/>
      <c r="AQ91" s="23"/>
      <c r="AS91" s="79">
        <v>0</v>
      </c>
      <c r="AT91" s="80" t="s">
        <v>94</v>
      </c>
      <c r="AU91" s="80" t="s">
        <v>47</v>
      </c>
      <c r="AV91" s="81">
        <f>ROUND(IF($AU$91="základní",$AG$91*$L$28,IF($AU$91="snížená",$AG$91*$L$29,0)),2)</f>
        <v>0</v>
      </c>
      <c r="BV91" s="6" t="s">
        <v>95</v>
      </c>
      <c r="BY91" s="82">
        <f>IF($AU$91="základní",$AV$91,0)</f>
        <v>0</v>
      </c>
      <c r="BZ91" s="82">
        <f>IF($AU$91="snížená",$AV$91,0)</f>
        <v>0</v>
      </c>
      <c r="CA91" s="82">
        <v>0</v>
      </c>
      <c r="CB91" s="82">
        <v>0</v>
      </c>
      <c r="CC91" s="82">
        <v>0</v>
      </c>
      <c r="CD91" s="82">
        <f>IF($AU$91="základní",$AG$91,0)</f>
        <v>0</v>
      </c>
      <c r="CE91" s="82">
        <f>IF($AU$91="snížená",$AG$91,0)</f>
        <v>0</v>
      </c>
      <c r="CF91" s="82">
        <f>IF($AU$91="zákl. přenesená",$AG$91,0)</f>
        <v>0</v>
      </c>
      <c r="CG91" s="82">
        <f>IF($AU$91="sníž. přenesená",$AG$91,0)</f>
        <v>0</v>
      </c>
      <c r="CH91" s="82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2"/>
      <c r="D92" s="78" t="s">
        <v>96</v>
      </c>
      <c r="AG92" s="174">
        <f>ROUND($AG$87*$AS$92,2)</f>
        <v>0</v>
      </c>
      <c r="AH92" s="173"/>
      <c r="AI92" s="173"/>
      <c r="AJ92" s="173"/>
      <c r="AK92" s="173"/>
      <c r="AL92" s="173"/>
      <c r="AM92" s="173"/>
      <c r="AN92" s="175">
        <f>ROUND($AG$92+$AV$92,2)</f>
        <v>0</v>
      </c>
      <c r="AO92" s="173"/>
      <c r="AP92" s="173"/>
      <c r="AQ92" s="23"/>
      <c r="AS92" s="83">
        <v>0</v>
      </c>
      <c r="AT92" s="84" t="s">
        <v>94</v>
      </c>
      <c r="AU92" s="84" t="s">
        <v>47</v>
      </c>
      <c r="AV92" s="85">
        <f>ROUND(IF($AU$92="základní",$AG$92*$L$28,IF($AU$92="snížená",$AG$92*$L$29,0)),2)</f>
        <v>0</v>
      </c>
      <c r="BV92" s="6" t="s">
        <v>95</v>
      </c>
      <c r="BY92" s="82">
        <f>IF($AU$92="základní",$AV$92,0)</f>
        <v>0</v>
      </c>
      <c r="BZ92" s="82">
        <f>IF($AU$92="snížená",$AV$92,0)</f>
        <v>0</v>
      </c>
      <c r="CA92" s="82">
        <v>0</v>
      </c>
      <c r="CB92" s="82">
        <v>0</v>
      </c>
      <c r="CC92" s="82">
        <v>0</v>
      </c>
      <c r="CD92" s="82">
        <f>IF($AU$92="základní",$AG$92,0)</f>
        <v>0</v>
      </c>
      <c r="CE92" s="82">
        <f>IF($AU$92="snížená",$AG$92,0)</f>
        <v>0</v>
      </c>
      <c r="CF92" s="82">
        <f>IF($AU$92="zákl. přenesená",$AG$92,0)</f>
        <v>0</v>
      </c>
      <c r="CG92" s="82">
        <f>IF($AU$92="sníž. přenesená",$AG$92,0)</f>
        <v>0</v>
      </c>
      <c r="CH92" s="82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 t="str">
        <f>IF($D$92="Vyplň vlastní","","x")</f>
        <v>x</v>
      </c>
    </row>
    <row r="93" spans="2:89" s="6" customFormat="1" ht="21" customHeight="1">
      <c r="B93" s="22"/>
      <c r="D93" s="78" t="s">
        <v>97</v>
      </c>
      <c r="AG93" s="174">
        <f>ROUND($AG$87*$AS$93,2)</f>
        <v>0</v>
      </c>
      <c r="AH93" s="173"/>
      <c r="AI93" s="173"/>
      <c r="AJ93" s="173"/>
      <c r="AK93" s="173"/>
      <c r="AL93" s="173"/>
      <c r="AM93" s="173"/>
      <c r="AN93" s="175">
        <f>ROUND($AG$93+$AV$93,2)</f>
        <v>0</v>
      </c>
      <c r="AO93" s="173"/>
      <c r="AP93" s="173"/>
      <c r="AQ93" s="23"/>
      <c r="AS93" s="83">
        <v>0</v>
      </c>
      <c r="AT93" s="84" t="s">
        <v>94</v>
      </c>
      <c r="AU93" s="84" t="s">
        <v>47</v>
      </c>
      <c r="AV93" s="85">
        <f>ROUND(IF($AU$93="základní",$AG$93*$L$28,IF($AU$93="snížená",$AG$93*$L$29,0)),2)</f>
        <v>0</v>
      </c>
      <c r="BV93" s="6" t="s">
        <v>95</v>
      </c>
      <c r="BY93" s="82">
        <f>IF($AU$93="základní",$AV$93,0)</f>
        <v>0</v>
      </c>
      <c r="BZ93" s="82">
        <f>IF($AU$93="snížená",$AV$93,0)</f>
        <v>0</v>
      </c>
      <c r="CA93" s="82">
        <v>0</v>
      </c>
      <c r="CB93" s="82">
        <v>0</v>
      </c>
      <c r="CC93" s="82">
        <v>0</v>
      </c>
      <c r="CD93" s="82">
        <f>IF($AU$93="základní",$AG$93,0)</f>
        <v>0</v>
      </c>
      <c r="CE93" s="82">
        <f>IF($AU$93="snížená",$AG$93,0)</f>
        <v>0</v>
      </c>
      <c r="CF93" s="82">
        <f>IF($AU$93="zákl. přenesená",$AG$93,0)</f>
        <v>0</v>
      </c>
      <c r="CG93" s="82">
        <f>IF($AU$93="sníž. přenesená",$AG$93,0)</f>
        <v>0</v>
      </c>
      <c r="CH93" s="82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 t="str">
        <f>IF($D$93="Vyplň vlastní","","x")</f>
        <v>x</v>
      </c>
    </row>
    <row r="94" spans="2:89" s="6" customFormat="1" ht="21" customHeight="1">
      <c r="B94" s="22"/>
      <c r="D94" s="78" t="s">
        <v>98</v>
      </c>
      <c r="AG94" s="174">
        <f>ROUND($AG$87*$AS$94,2)</f>
        <v>0</v>
      </c>
      <c r="AH94" s="173"/>
      <c r="AI94" s="173"/>
      <c r="AJ94" s="173"/>
      <c r="AK94" s="173"/>
      <c r="AL94" s="173"/>
      <c r="AM94" s="173"/>
      <c r="AN94" s="175">
        <f>ROUND($AG$94+$AV$94,2)</f>
        <v>0</v>
      </c>
      <c r="AO94" s="173"/>
      <c r="AP94" s="173"/>
      <c r="AQ94" s="23"/>
      <c r="AS94" s="83">
        <v>0</v>
      </c>
      <c r="AT94" s="84" t="s">
        <v>94</v>
      </c>
      <c r="AU94" s="84" t="s">
        <v>47</v>
      </c>
      <c r="AV94" s="85">
        <f>ROUND(IF($AU$94="základní",$AG$94*$L$28,IF($AU$94="snížená",$AG$94*$L$29,0)),2)</f>
        <v>0</v>
      </c>
      <c r="BV94" s="6" t="s">
        <v>95</v>
      </c>
      <c r="BY94" s="82">
        <f>IF($AU$94="základní",$AV$94,0)</f>
        <v>0</v>
      </c>
      <c r="BZ94" s="82">
        <f>IF($AU$94="snížená",$AV$94,0)</f>
        <v>0</v>
      </c>
      <c r="CA94" s="82">
        <v>0</v>
      </c>
      <c r="CB94" s="82">
        <v>0</v>
      </c>
      <c r="CC94" s="82">
        <v>0</v>
      </c>
      <c r="CD94" s="82">
        <f>IF($AU$94="základní",$AG$94,0)</f>
        <v>0</v>
      </c>
      <c r="CE94" s="82">
        <f>IF($AU$94="snížená",$AG$94,0)</f>
        <v>0</v>
      </c>
      <c r="CF94" s="82">
        <f>IF($AU$94="zákl. přenesená",$AG$94,0)</f>
        <v>0</v>
      </c>
      <c r="CG94" s="82">
        <f>IF($AU$94="sníž. přenesená",$AG$94,0)</f>
        <v>0</v>
      </c>
      <c r="CH94" s="82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 t="str">
        <f>IF($D$94="Vyplň vlastní","","x")</f>
        <v>x</v>
      </c>
    </row>
    <row r="95" spans="2:89" s="6" customFormat="1" ht="21" customHeight="1">
      <c r="B95" s="22"/>
      <c r="D95" s="172" t="s">
        <v>99</v>
      </c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G95" s="174">
        <f>$AG$87*$AS$95</f>
        <v>0</v>
      </c>
      <c r="AH95" s="173"/>
      <c r="AI95" s="173"/>
      <c r="AJ95" s="173"/>
      <c r="AK95" s="173"/>
      <c r="AL95" s="173"/>
      <c r="AM95" s="173"/>
      <c r="AN95" s="175">
        <f>$AG$95+$AV$95</f>
        <v>0</v>
      </c>
      <c r="AO95" s="173"/>
      <c r="AP95" s="173"/>
      <c r="AQ95" s="23"/>
      <c r="AS95" s="83">
        <v>0</v>
      </c>
      <c r="AT95" s="84" t="s">
        <v>94</v>
      </c>
      <c r="AU95" s="84" t="s">
        <v>47</v>
      </c>
      <c r="AV95" s="85">
        <f>ROUND(IF($AU$95="nulová",0,IF(OR($AU$95="základní",$AU$95="zákl. přenesená"),$AG$95*$L$28,$AG$95*$L$29)),2)</f>
        <v>0</v>
      </c>
      <c r="BV95" s="6" t="s">
        <v>100</v>
      </c>
      <c r="BY95" s="82">
        <f>IF($AU$95="základní",$AV$95,0)</f>
        <v>0</v>
      </c>
      <c r="BZ95" s="82">
        <f>IF($AU$95="snížená",$AV$95,0)</f>
        <v>0</v>
      </c>
      <c r="CA95" s="82">
        <f>IF($AU$95="zákl. přenesená",$AV$95,0)</f>
        <v>0</v>
      </c>
      <c r="CB95" s="82">
        <f>IF($AU$95="sníž. přenesená",$AV$95,0)</f>
        <v>0</v>
      </c>
      <c r="CC95" s="82">
        <f>IF($AU$95="nulová",$AV$95,0)</f>
        <v>0</v>
      </c>
      <c r="CD95" s="82">
        <f>IF($AU$95="základní",$AG$95,0)</f>
        <v>0</v>
      </c>
      <c r="CE95" s="82">
        <f>IF($AU$95="snížená",$AG$95,0)</f>
        <v>0</v>
      </c>
      <c r="CF95" s="82">
        <f>IF($AU$95="zákl. přenesená",$AG$95,0)</f>
        <v>0</v>
      </c>
      <c r="CG95" s="82">
        <f>IF($AU$95="sníž. přenesená",$AG$95,0)</f>
        <v>0</v>
      </c>
      <c r="CH95" s="82">
        <f>IF($AU$95="nulová",$AG$95,0)</f>
        <v>0</v>
      </c>
      <c r="CI95" s="6">
        <f>IF($AU$95="základní",1,IF($AU$95="snížená",2,IF($AU$95="zákl. přenesená",4,IF($AU$95="sníž. přenesená",5,3))))</f>
        <v>1</v>
      </c>
      <c r="CJ95" s="6">
        <f>IF($AT$95="stavební čast",1,IF(8895="investiční čast",2,3))</f>
        <v>1</v>
      </c>
      <c r="CK95" s="6">
        <f>IF($D$95="Vyplň vlastní","","x")</f>
      </c>
    </row>
    <row r="96" spans="2:89" s="6" customFormat="1" ht="21" customHeight="1">
      <c r="B96" s="22"/>
      <c r="D96" s="172" t="s">
        <v>99</v>
      </c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G96" s="174">
        <f>$AG$87*$AS$96</f>
        <v>0</v>
      </c>
      <c r="AH96" s="173"/>
      <c r="AI96" s="173"/>
      <c r="AJ96" s="173"/>
      <c r="AK96" s="173"/>
      <c r="AL96" s="173"/>
      <c r="AM96" s="173"/>
      <c r="AN96" s="175">
        <f>$AG$96+$AV$96</f>
        <v>0</v>
      </c>
      <c r="AO96" s="173"/>
      <c r="AP96" s="173"/>
      <c r="AQ96" s="23"/>
      <c r="AS96" s="83">
        <v>0</v>
      </c>
      <c r="AT96" s="84" t="s">
        <v>94</v>
      </c>
      <c r="AU96" s="84" t="s">
        <v>47</v>
      </c>
      <c r="AV96" s="85">
        <f>ROUND(IF($AU$96="nulová",0,IF(OR($AU$96="základní",$AU$96="zákl. přenesená"),$AG$96*$L$28,$AG$96*$L$29)),2)</f>
        <v>0</v>
      </c>
      <c r="BV96" s="6" t="s">
        <v>100</v>
      </c>
      <c r="BY96" s="82">
        <f>IF($AU$96="základní",$AV$96,0)</f>
        <v>0</v>
      </c>
      <c r="BZ96" s="82">
        <f>IF($AU$96="snížená",$AV$96,0)</f>
        <v>0</v>
      </c>
      <c r="CA96" s="82">
        <f>IF($AU$96="zákl. přenesená",$AV$96,0)</f>
        <v>0</v>
      </c>
      <c r="CB96" s="82">
        <f>IF($AU$96="sníž. přenesená",$AV$96,0)</f>
        <v>0</v>
      </c>
      <c r="CC96" s="82">
        <f>IF($AU$96="nulová",$AV$96,0)</f>
        <v>0</v>
      </c>
      <c r="CD96" s="82">
        <f>IF($AU$96="základní",$AG$96,0)</f>
        <v>0</v>
      </c>
      <c r="CE96" s="82">
        <f>IF($AU$96="snížená",$AG$96,0)</f>
        <v>0</v>
      </c>
      <c r="CF96" s="82">
        <f>IF($AU$96="zákl. přenesená",$AG$96,0)</f>
        <v>0</v>
      </c>
      <c r="CG96" s="82">
        <f>IF($AU$96="sníž. přenesená",$AG$96,0)</f>
        <v>0</v>
      </c>
      <c r="CH96" s="82">
        <f>IF($AU$96="nulová",$AG$96,0)</f>
        <v>0</v>
      </c>
      <c r="CI96" s="6">
        <f>IF($AU$96="základní",1,IF($AU$96="snížená",2,IF($AU$96="zákl. přenesená",4,IF($AU$96="sníž. přenesená",5,3))))</f>
        <v>1</v>
      </c>
      <c r="CJ96" s="6">
        <f>IF($AT$96="stavební čast",1,IF(8896="investiční čast",2,3))</f>
        <v>1</v>
      </c>
      <c r="CK96" s="6">
        <f>IF($D$96="Vyplň vlastní","","x")</f>
      </c>
    </row>
    <row r="97" spans="2:89" s="6" customFormat="1" ht="21" customHeight="1">
      <c r="B97" s="22"/>
      <c r="D97" s="172" t="s">
        <v>99</v>
      </c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G97" s="174">
        <f>$AG$87*$AS$97</f>
        <v>0</v>
      </c>
      <c r="AH97" s="173"/>
      <c r="AI97" s="173"/>
      <c r="AJ97" s="173"/>
      <c r="AK97" s="173"/>
      <c r="AL97" s="173"/>
      <c r="AM97" s="173"/>
      <c r="AN97" s="175">
        <f>$AG$97+$AV$97</f>
        <v>0</v>
      </c>
      <c r="AO97" s="173"/>
      <c r="AP97" s="173"/>
      <c r="AQ97" s="23"/>
      <c r="AS97" s="86">
        <v>0</v>
      </c>
      <c r="AT97" s="87" t="s">
        <v>94</v>
      </c>
      <c r="AU97" s="87" t="s">
        <v>47</v>
      </c>
      <c r="AV97" s="88">
        <f>ROUND(IF($AU$97="nulová",0,IF(OR($AU$97="základní",$AU$97="zákl. přenesená"),$AG$97*$L$28,$AG$97*$L$29)),2)</f>
        <v>0</v>
      </c>
      <c r="BV97" s="6" t="s">
        <v>100</v>
      </c>
      <c r="BY97" s="82">
        <f>IF($AU$97="základní",$AV$97,0)</f>
        <v>0</v>
      </c>
      <c r="BZ97" s="82">
        <f>IF($AU$97="snížená",$AV$97,0)</f>
        <v>0</v>
      </c>
      <c r="CA97" s="82">
        <f>IF($AU$97="zákl. přenesená",$AV$97,0)</f>
        <v>0</v>
      </c>
      <c r="CB97" s="82">
        <f>IF($AU$97="sníž. přenesená",$AV$97,0)</f>
        <v>0</v>
      </c>
      <c r="CC97" s="82">
        <f>IF($AU$97="nulová",$AV$97,0)</f>
        <v>0</v>
      </c>
      <c r="CD97" s="82">
        <f>IF($AU$97="základní",$AG$97,0)</f>
        <v>0</v>
      </c>
      <c r="CE97" s="82">
        <f>IF($AU$97="snížená",$AG$97,0)</f>
        <v>0</v>
      </c>
      <c r="CF97" s="82">
        <f>IF($AU$97="zákl. přenesená",$AG$97,0)</f>
        <v>0</v>
      </c>
      <c r="CG97" s="82">
        <f>IF($AU$97="sníž. přenesená",$AG$97,0)</f>
        <v>0</v>
      </c>
      <c r="CH97" s="82">
        <f>IF($AU$97="nulová",$AG$97,0)</f>
        <v>0</v>
      </c>
      <c r="CI97" s="6">
        <f>IF($AU$97="základní",1,IF($AU$97="snížená",2,IF($AU$97="zákl. přenesená",4,IF($AU$97="sníž. přenesená",5,3))))</f>
        <v>1</v>
      </c>
      <c r="CJ97" s="6">
        <f>IF($AT$97="stavební čast",1,IF(8897="investiční čast",2,3))</f>
        <v>1</v>
      </c>
      <c r="CK97" s="6">
        <f>IF($D$97="Vyplň vlastní","","x")</f>
      </c>
    </row>
    <row r="98" spans="2:43" s="6" customFormat="1" ht="12" customHeight="1">
      <c r="B98" s="22"/>
      <c r="AQ98" s="23"/>
    </row>
    <row r="99" spans="2:43" s="6" customFormat="1" ht="30.75" customHeight="1">
      <c r="B99" s="22"/>
      <c r="C99" s="89" t="s">
        <v>101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168">
        <f>ROUND($AG$87+$AG$90,2)</f>
        <v>0</v>
      </c>
      <c r="AH99" s="169"/>
      <c r="AI99" s="169"/>
      <c r="AJ99" s="169"/>
      <c r="AK99" s="169"/>
      <c r="AL99" s="169"/>
      <c r="AM99" s="169"/>
      <c r="AN99" s="168">
        <f>ROUND($AN$87+$AN$90,2)</f>
        <v>0</v>
      </c>
      <c r="AO99" s="169"/>
      <c r="AP99" s="169"/>
      <c r="AQ99" s="23"/>
    </row>
    <row r="100" spans="2:43" s="6" customFormat="1" ht="7.5" customHeight="1"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6"/>
    </row>
  </sheetData>
  <sheetProtection/>
  <mergeCells count="63">
    <mergeCell ref="C2:AP2"/>
    <mergeCell ref="C4:AP4"/>
    <mergeCell ref="BE5:BE34"/>
    <mergeCell ref="K5:AO5"/>
    <mergeCell ref="K6:AO6"/>
    <mergeCell ref="E14:AJ14"/>
    <mergeCell ref="AK23:AO23"/>
    <mergeCell ref="AK24:AO24"/>
    <mergeCell ref="AK26:AO26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L31:O31"/>
    <mergeCell ref="W31:AE31"/>
    <mergeCell ref="AK31:AO31"/>
    <mergeCell ref="L32:O32"/>
    <mergeCell ref="W32:AE32"/>
    <mergeCell ref="AK32:AO32"/>
    <mergeCell ref="X34:AB34"/>
    <mergeCell ref="AK34:AO34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AG92:AM92"/>
    <mergeCell ref="AN92:AP92"/>
    <mergeCell ref="AG93:AM93"/>
    <mergeCell ref="AN93:AP93"/>
    <mergeCell ref="AG94:AM94"/>
    <mergeCell ref="AN94:AP94"/>
    <mergeCell ref="D95:AB95"/>
    <mergeCell ref="AG95:AM95"/>
    <mergeCell ref="AN95:AP95"/>
    <mergeCell ref="D96:AB96"/>
    <mergeCell ref="AG96:AM96"/>
    <mergeCell ref="AN96:AP96"/>
    <mergeCell ref="AG99:AM99"/>
    <mergeCell ref="AN99:AP99"/>
    <mergeCell ref="AR2:BE2"/>
    <mergeCell ref="D97:AB97"/>
    <mergeCell ref="AG97:AM97"/>
    <mergeCell ref="AN97:AP97"/>
    <mergeCell ref="AG87:AM87"/>
    <mergeCell ref="AN87:AP87"/>
    <mergeCell ref="AG90:AM90"/>
    <mergeCell ref="AN90:AP90"/>
  </mergeCells>
  <dataValidations count="2">
    <dataValidation type="list" allowBlank="1" showInputMessage="1" showErrorMessage="1" error="Povoleny jsou hodnoty základní, snížená, zákl. přenesená, sníž. přenesená, nulová." sqref="AU91:AU98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8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SO 100.01 - Zpevněné ploc...'!C2" tooltip="SO 100.01 - Zpevněné ploc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3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51"/>
      <c r="B1" s="148"/>
      <c r="C1" s="148"/>
      <c r="D1" s="149" t="s">
        <v>1</v>
      </c>
      <c r="E1" s="148"/>
      <c r="F1" s="150" t="s">
        <v>465</v>
      </c>
      <c r="G1" s="150"/>
      <c r="H1" s="205" t="s">
        <v>466</v>
      </c>
      <c r="I1" s="205"/>
      <c r="J1" s="205"/>
      <c r="K1" s="205"/>
      <c r="L1" s="150" t="s">
        <v>467</v>
      </c>
      <c r="M1" s="148"/>
      <c r="N1" s="148"/>
      <c r="O1" s="149" t="s">
        <v>102</v>
      </c>
      <c r="P1" s="148"/>
      <c r="Q1" s="148"/>
      <c r="R1" s="148"/>
      <c r="S1" s="150" t="s">
        <v>468</v>
      </c>
      <c r="T1" s="150"/>
      <c r="U1" s="151"/>
      <c r="V1" s="15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97" t="s">
        <v>4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S2" s="170" t="s">
        <v>5</v>
      </c>
      <c r="T2" s="171"/>
      <c r="U2" s="171"/>
      <c r="V2" s="171"/>
      <c r="W2" s="171"/>
      <c r="X2" s="171"/>
      <c r="Y2" s="171"/>
      <c r="Z2" s="171"/>
      <c r="AA2" s="171"/>
      <c r="AB2" s="171"/>
      <c r="AC2" s="171"/>
      <c r="AT2" s="2" t="s">
        <v>89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103</v>
      </c>
    </row>
    <row r="4" spans="2:46" s="2" customFormat="1" ht="37.5" customHeight="1">
      <c r="B4" s="10"/>
      <c r="C4" s="188" t="s">
        <v>104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1"/>
      <c r="T4" s="12" t="s">
        <v>10</v>
      </c>
      <c r="AT4" s="2" t="s">
        <v>3</v>
      </c>
    </row>
    <row r="5" spans="2:18" s="2" customFormat="1" ht="7.5" customHeight="1">
      <c r="B5" s="10"/>
      <c r="N5" s="1"/>
      <c r="R5" s="11"/>
    </row>
    <row r="6" spans="2:18" s="2" customFormat="1" ht="30.75" customHeight="1">
      <c r="B6" s="10"/>
      <c r="D6" s="17" t="s">
        <v>16</v>
      </c>
      <c r="F6" s="225" t="str">
        <f>'Rekapitulace stavby'!$K$6</f>
        <v>Město Votice - Realizace ul. Táborská</v>
      </c>
      <c r="G6" s="171"/>
      <c r="H6" s="171"/>
      <c r="I6" s="171"/>
      <c r="J6" s="171"/>
      <c r="K6" s="171"/>
      <c r="L6" s="171"/>
      <c r="M6" s="171"/>
      <c r="N6" s="171"/>
      <c r="O6" s="171"/>
      <c r="P6" s="171"/>
      <c r="R6" s="11"/>
    </row>
    <row r="7" spans="2:18" s="6" customFormat="1" ht="37.5" customHeight="1">
      <c r="B7" s="22"/>
      <c r="D7" s="16" t="s">
        <v>105</v>
      </c>
      <c r="F7" s="199" t="s">
        <v>106</v>
      </c>
      <c r="G7" s="173"/>
      <c r="H7" s="173"/>
      <c r="I7" s="173"/>
      <c r="J7" s="173"/>
      <c r="K7" s="173"/>
      <c r="L7" s="173"/>
      <c r="M7" s="173"/>
      <c r="N7" s="173"/>
      <c r="O7" s="173"/>
      <c r="P7" s="173"/>
      <c r="R7" s="23"/>
    </row>
    <row r="8" spans="2:18" s="6" customFormat="1" ht="15" customHeight="1">
      <c r="B8" s="22"/>
      <c r="D8" s="17" t="s">
        <v>19</v>
      </c>
      <c r="F8" s="15"/>
      <c r="M8" s="17" t="s">
        <v>20</v>
      </c>
      <c r="O8" s="15"/>
      <c r="R8" s="23"/>
    </row>
    <row r="9" spans="2:18" s="6" customFormat="1" ht="15" customHeight="1">
      <c r="B9" s="22"/>
      <c r="D9" s="17" t="s">
        <v>22</v>
      </c>
      <c r="F9" s="15" t="s">
        <v>23</v>
      </c>
      <c r="M9" s="17" t="s">
        <v>24</v>
      </c>
      <c r="O9" s="233" t="str">
        <f>'Rekapitulace stavby'!$AN$8</f>
        <v>19.04.2016</v>
      </c>
      <c r="P9" s="173"/>
      <c r="R9" s="23"/>
    </row>
    <row r="10" spans="2:18" s="6" customFormat="1" ht="12" customHeight="1">
      <c r="B10" s="22"/>
      <c r="R10" s="23"/>
    </row>
    <row r="11" spans="2:18" s="6" customFormat="1" ht="15" customHeight="1">
      <c r="B11" s="22"/>
      <c r="D11" s="17" t="s">
        <v>28</v>
      </c>
      <c r="M11" s="17" t="s">
        <v>29</v>
      </c>
      <c r="O11" s="190" t="s">
        <v>30</v>
      </c>
      <c r="P11" s="173"/>
      <c r="R11" s="23"/>
    </row>
    <row r="12" spans="2:18" s="6" customFormat="1" ht="18.75" customHeight="1">
      <c r="B12" s="22"/>
      <c r="E12" s="15" t="s">
        <v>31</v>
      </c>
      <c r="M12" s="17" t="s">
        <v>32</v>
      </c>
      <c r="O12" s="190"/>
      <c r="P12" s="173"/>
      <c r="R12" s="23"/>
    </row>
    <row r="13" spans="2:18" s="6" customFormat="1" ht="7.5" customHeight="1">
      <c r="B13" s="22"/>
      <c r="R13" s="23"/>
    </row>
    <row r="14" spans="2:18" s="6" customFormat="1" ht="15" customHeight="1">
      <c r="B14" s="22"/>
      <c r="D14" s="17" t="s">
        <v>33</v>
      </c>
      <c r="M14" s="17" t="s">
        <v>29</v>
      </c>
      <c r="O14" s="232" t="str">
        <f>IF('Rekapitulace stavby'!$AN$13="","",'Rekapitulace stavby'!$AN$13)</f>
        <v>Vyplň údaj</v>
      </c>
      <c r="P14" s="173"/>
      <c r="R14" s="23"/>
    </row>
    <row r="15" spans="2:18" s="6" customFormat="1" ht="18.75" customHeight="1">
      <c r="B15" s="22"/>
      <c r="E15" s="232" t="str">
        <f>IF('Rekapitulace stavby'!$E$14="","",'Rekapitulace stavby'!$E$14)</f>
        <v>Vyplň údaj</v>
      </c>
      <c r="F15" s="173"/>
      <c r="G15" s="173"/>
      <c r="H15" s="173"/>
      <c r="I15" s="173"/>
      <c r="J15" s="173"/>
      <c r="K15" s="173"/>
      <c r="L15" s="173"/>
      <c r="M15" s="17" t="s">
        <v>32</v>
      </c>
      <c r="O15" s="232" t="str">
        <f>IF('Rekapitulace stavby'!$AN$14="","",'Rekapitulace stavby'!$AN$14)</f>
        <v>Vyplň údaj</v>
      </c>
      <c r="P15" s="173"/>
      <c r="R15" s="23"/>
    </row>
    <row r="16" spans="2:18" s="6" customFormat="1" ht="7.5" customHeight="1">
      <c r="B16" s="22"/>
      <c r="R16" s="23"/>
    </row>
    <row r="17" spans="2:18" s="6" customFormat="1" ht="15" customHeight="1">
      <c r="B17" s="22"/>
      <c r="D17" s="17" t="s">
        <v>35</v>
      </c>
      <c r="M17" s="17" t="s">
        <v>29</v>
      </c>
      <c r="O17" s="190" t="s">
        <v>36</v>
      </c>
      <c r="P17" s="173"/>
      <c r="R17" s="23"/>
    </row>
    <row r="18" spans="2:18" s="6" customFormat="1" ht="18.75" customHeight="1">
      <c r="B18" s="22"/>
      <c r="E18" s="15" t="s">
        <v>107</v>
      </c>
      <c r="M18" s="17" t="s">
        <v>32</v>
      </c>
      <c r="O18" s="190" t="s">
        <v>38</v>
      </c>
      <c r="P18" s="173"/>
      <c r="R18" s="23"/>
    </row>
    <row r="19" spans="2:18" s="6" customFormat="1" ht="7.5" customHeight="1">
      <c r="B19" s="22"/>
      <c r="R19" s="23"/>
    </row>
    <row r="20" spans="2:18" s="6" customFormat="1" ht="15" customHeight="1">
      <c r="B20" s="22"/>
      <c r="D20" s="17" t="s">
        <v>40</v>
      </c>
      <c r="M20" s="17" t="s">
        <v>29</v>
      </c>
      <c r="O20" s="190" t="s">
        <v>41</v>
      </c>
      <c r="P20" s="173"/>
      <c r="R20" s="23"/>
    </row>
    <row r="21" spans="2:18" s="6" customFormat="1" ht="18.75" customHeight="1">
      <c r="B21" s="22"/>
      <c r="E21" s="15" t="s">
        <v>42</v>
      </c>
      <c r="M21" s="17" t="s">
        <v>32</v>
      </c>
      <c r="O21" s="190"/>
      <c r="P21" s="173"/>
      <c r="R21" s="23"/>
    </row>
    <row r="22" spans="2:18" s="6" customFormat="1" ht="7.5" customHeight="1">
      <c r="B22" s="22"/>
      <c r="R22" s="23"/>
    </row>
    <row r="23" spans="2:18" s="6" customFormat="1" ht="7.5" customHeight="1">
      <c r="B23" s="22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R23" s="23"/>
    </row>
    <row r="24" spans="2:18" s="6" customFormat="1" ht="15" customHeight="1">
      <c r="B24" s="22"/>
      <c r="D24" s="90" t="s">
        <v>108</v>
      </c>
      <c r="M24" s="201">
        <f>$N$88</f>
        <v>0</v>
      </c>
      <c r="N24" s="173"/>
      <c r="O24" s="173"/>
      <c r="P24" s="173"/>
      <c r="R24" s="23"/>
    </row>
    <row r="25" spans="2:18" s="6" customFormat="1" ht="15" customHeight="1">
      <c r="B25" s="22"/>
      <c r="D25" s="21" t="s">
        <v>98</v>
      </c>
      <c r="M25" s="201">
        <f>$N$103</f>
        <v>0</v>
      </c>
      <c r="N25" s="173"/>
      <c r="O25" s="173"/>
      <c r="P25" s="173"/>
      <c r="R25" s="23"/>
    </row>
    <row r="26" spans="2:18" s="6" customFormat="1" ht="7.5" customHeight="1">
      <c r="B26" s="22"/>
      <c r="R26" s="23"/>
    </row>
    <row r="27" spans="2:18" s="6" customFormat="1" ht="26.25" customHeight="1">
      <c r="B27" s="22"/>
      <c r="D27" s="91" t="s">
        <v>45</v>
      </c>
      <c r="M27" s="231">
        <f>ROUND($M$24+$M$25,2)</f>
        <v>0</v>
      </c>
      <c r="N27" s="173"/>
      <c r="O27" s="173"/>
      <c r="P27" s="173"/>
      <c r="R27" s="23"/>
    </row>
    <row r="28" spans="2:18" s="6" customFormat="1" ht="7.5" customHeight="1">
      <c r="B28" s="2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R28" s="23"/>
    </row>
    <row r="29" spans="2:18" s="6" customFormat="1" ht="15" customHeight="1">
      <c r="B29" s="22"/>
      <c r="D29" s="27" t="s">
        <v>46</v>
      </c>
      <c r="E29" s="27" t="s">
        <v>47</v>
      </c>
      <c r="F29" s="28">
        <v>0.21</v>
      </c>
      <c r="G29" s="92" t="s">
        <v>48</v>
      </c>
      <c r="H29" s="230">
        <f>ROUND((((SUM($BE$103:$BE$110)+SUM($BE$128:$BE$343))+SUM($BE$344:$BE$345))),2)</f>
        <v>0</v>
      </c>
      <c r="I29" s="173"/>
      <c r="J29" s="173"/>
      <c r="M29" s="230">
        <f>ROUND((((SUM($BE$103:$BE$110)+SUM($BE$128:$BE$343))*$F$29)+SUM($BE$344:$BE$345)*$F$29),2)</f>
        <v>0</v>
      </c>
      <c r="N29" s="173"/>
      <c r="O29" s="173"/>
      <c r="P29" s="173"/>
      <c r="R29" s="23"/>
    </row>
    <row r="30" spans="2:18" s="6" customFormat="1" ht="15" customHeight="1">
      <c r="B30" s="22"/>
      <c r="E30" s="27" t="s">
        <v>49</v>
      </c>
      <c r="F30" s="28">
        <v>0.15</v>
      </c>
      <c r="G30" s="92" t="s">
        <v>48</v>
      </c>
      <c r="H30" s="230">
        <f>ROUND((((SUM($BF$103:$BF$110)+SUM($BF$128:$BF$343))+SUM($BF$344:$BF$345))),2)</f>
        <v>0</v>
      </c>
      <c r="I30" s="173"/>
      <c r="J30" s="173"/>
      <c r="M30" s="230">
        <f>ROUND((((SUM($BF$103:$BF$110)+SUM($BF$128:$BF$343))*$F$30)+SUM($BF$344:$BF$345)*$F$30),2)</f>
        <v>0</v>
      </c>
      <c r="N30" s="173"/>
      <c r="O30" s="173"/>
      <c r="P30" s="173"/>
      <c r="R30" s="23"/>
    </row>
    <row r="31" spans="2:18" s="6" customFormat="1" ht="15" customHeight="1" hidden="1">
      <c r="B31" s="22"/>
      <c r="E31" s="27" t="s">
        <v>50</v>
      </c>
      <c r="F31" s="28">
        <v>0.21</v>
      </c>
      <c r="G31" s="92" t="s">
        <v>48</v>
      </c>
      <c r="H31" s="230">
        <f>ROUND((((SUM($BG$103:$BG$110)+SUM($BG$128:$BG$343))+SUM($BG$344:$BG$345))),2)</f>
        <v>0</v>
      </c>
      <c r="I31" s="173"/>
      <c r="J31" s="173"/>
      <c r="M31" s="230">
        <v>0</v>
      </c>
      <c r="N31" s="173"/>
      <c r="O31" s="173"/>
      <c r="P31" s="173"/>
      <c r="R31" s="23"/>
    </row>
    <row r="32" spans="2:18" s="6" customFormat="1" ht="15" customHeight="1" hidden="1">
      <c r="B32" s="22"/>
      <c r="E32" s="27" t="s">
        <v>51</v>
      </c>
      <c r="F32" s="28">
        <v>0.15</v>
      </c>
      <c r="G32" s="92" t="s">
        <v>48</v>
      </c>
      <c r="H32" s="230">
        <f>ROUND((((SUM($BH$103:$BH$110)+SUM($BH$128:$BH$343))+SUM($BH$344:$BH$345))),2)</f>
        <v>0</v>
      </c>
      <c r="I32" s="173"/>
      <c r="J32" s="173"/>
      <c r="M32" s="230">
        <v>0</v>
      </c>
      <c r="N32" s="173"/>
      <c r="O32" s="173"/>
      <c r="P32" s="173"/>
      <c r="R32" s="23"/>
    </row>
    <row r="33" spans="2:18" s="6" customFormat="1" ht="15" customHeight="1" hidden="1">
      <c r="B33" s="22"/>
      <c r="E33" s="27" t="s">
        <v>52</v>
      </c>
      <c r="F33" s="28">
        <v>0</v>
      </c>
      <c r="G33" s="92" t="s">
        <v>48</v>
      </c>
      <c r="H33" s="230">
        <f>ROUND((((SUM($BI$103:$BI$110)+SUM($BI$128:$BI$343))+SUM($BI$344:$BI$345))),2)</f>
        <v>0</v>
      </c>
      <c r="I33" s="173"/>
      <c r="J33" s="173"/>
      <c r="M33" s="230">
        <v>0</v>
      </c>
      <c r="N33" s="173"/>
      <c r="O33" s="173"/>
      <c r="P33" s="173"/>
      <c r="R33" s="23"/>
    </row>
    <row r="34" spans="2:18" s="6" customFormat="1" ht="7.5" customHeight="1">
      <c r="B34" s="22"/>
      <c r="R34" s="23"/>
    </row>
    <row r="35" spans="2:18" s="6" customFormat="1" ht="26.25" customHeight="1">
      <c r="B35" s="22"/>
      <c r="C35" s="31"/>
      <c r="D35" s="32" t="s">
        <v>53</v>
      </c>
      <c r="E35" s="33"/>
      <c r="F35" s="33"/>
      <c r="G35" s="93" t="s">
        <v>54</v>
      </c>
      <c r="H35" s="34" t="s">
        <v>55</v>
      </c>
      <c r="I35" s="33"/>
      <c r="J35" s="33"/>
      <c r="K35" s="33"/>
      <c r="L35" s="187">
        <f>ROUND(SUM($M$27:$M$33),2)</f>
        <v>0</v>
      </c>
      <c r="M35" s="179"/>
      <c r="N35" s="179"/>
      <c r="O35" s="179"/>
      <c r="P35" s="181"/>
      <c r="Q35" s="31"/>
      <c r="R35" s="23"/>
    </row>
    <row r="36" spans="2:18" s="6" customFormat="1" ht="15" customHeight="1">
      <c r="B36" s="22"/>
      <c r="R36" s="23"/>
    </row>
    <row r="37" spans="2:18" s="6" customFormat="1" ht="15" customHeight="1">
      <c r="B37" s="22"/>
      <c r="R37" s="23"/>
    </row>
    <row r="38" spans="2:18" s="2" customFormat="1" ht="14.25" customHeight="1">
      <c r="B38" s="10"/>
      <c r="N38" s="1"/>
      <c r="R38" s="11"/>
    </row>
    <row r="39" spans="2:18" s="2" customFormat="1" ht="14.25" customHeight="1">
      <c r="B39" s="10"/>
      <c r="N39" s="1"/>
      <c r="R39" s="11"/>
    </row>
    <row r="40" spans="2:18" s="2" customFormat="1" ht="14.25" customHeight="1">
      <c r="B40" s="10"/>
      <c r="N40" s="1"/>
      <c r="R40" s="11"/>
    </row>
    <row r="41" spans="2:18" s="2" customFormat="1" ht="14.25" customHeight="1">
      <c r="B41" s="10"/>
      <c r="N41" s="1"/>
      <c r="R41" s="11"/>
    </row>
    <row r="42" spans="2:18" s="2" customFormat="1" ht="14.25" customHeight="1">
      <c r="B42" s="10"/>
      <c r="N42" s="1"/>
      <c r="R42" s="11"/>
    </row>
    <row r="43" spans="2:18" s="2" customFormat="1" ht="14.25" customHeight="1">
      <c r="B43" s="10"/>
      <c r="N43" s="1"/>
      <c r="R43" s="11"/>
    </row>
    <row r="44" spans="2:18" s="2" customFormat="1" ht="14.25" customHeight="1">
      <c r="B44" s="10"/>
      <c r="N44" s="1"/>
      <c r="R44" s="11"/>
    </row>
    <row r="45" spans="2:18" s="2" customFormat="1" ht="14.25" customHeight="1">
      <c r="B45" s="10"/>
      <c r="N45" s="1"/>
      <c r="R45" s="11"/>
    </row>
    <row r="46" spans="2:18" s="2" customFormat="1" ht="14.25" customHeight="1">
      <c r="B46" s="10"/>
      <c r="N46" s="1"/>
      <c r="R46" s="11"/>
    </row>
    <row r="47" spans="2:18" s="2" customFormat="1" ht="14.25" customHeight="1">
      <c r="B47" s="10"/>
      <c r="N47" s="1"/>
      <c r="R47" s="11"/>
    </row>
    <row r="48" spans="2:18" s="2" customFormat="1" ht="14.25" customHeight="1">
      <c r="B48" s="10"/>
      <c r="N48" s="1"/>
      <c r="R48" s="11"/>
    </row>
    <row r="49" spans="2:18" s="2" customFormat="1" ht="14.25" customHeight="1">
      <c r="B49" s="10"/>
      <c r="N49" s="1"/>
      <c r="R49" s="11"/>
    </row>
    <row r="50" spans="2:18" s="6" customFormat="1" ht="15.75" customHeight="1">
      <c r="B50" s="22"/>
      <c r="D50" s="35" t="s">
        <v>56</v>
      </c>
      <c r="E50" s="36"/>
      <c r="F50" s="36"/>
      <c r="G50" s="36"/>
      <c r="H50" s="37"/>
      <c r="J50" s="35" t="s">
        <v>57</v>
      </c>
      <c r="K50" s="36"/>
      <c r="L50" s="36"/>
      <c r="M50" s="36"/>
      <c r="N50" s="36"/>
      <c r="O50" s="36"/>
      <c r="P50" s="37"/>
      <c r="R50" s="23"/>
    </row>
    <row r="51" spans="2:18" s="2" customFormat="1" ht="14.25" customHeight="1">
      <c r="B51" s="10"/>
      <c r="D51" s="38"/>
      <c r="H51" s="39"/>
      <c r="J51" s="38"/>
      <c r="N51" s="1"/>
      <c r="P51" s="39"/>
      <c r="R51" s="11"/>
    </row>
    <row r="52" spans="2:18" s="2" customFormat="1" ht="14.25" customHeight="1">
      <c r="B52" s="10"/>
      <c r="D52" s="38"/>
      <c r="H52" s="39"/>
      <c r="J52" s="38"/>
      <c r="N52" s="1"/>
      <c r="P52" s="39"/>
      <c r="R52" s="11"/>
    </row>
    <row r="53" spans="2:18" s="2" customFormat="1" ht="14.25" customHeight="1">
      <c r="B53" s="10"/>
      <c r="D53" s="38"/>
      <c r="H53" s="39"/>
      <c r="J53" s="38"/>
      <c r="N53" s="1"/>
      <c r="P53" s="39"/>
      <c r="R53" s="11"/>
    </row>
    <row r="54" spans="2:18" s="2" customFormat="1" ht="14.25" customHeight="1">
      <c r="B54" s="10"/>
      <c r="D54" s="38"/>
      <c r="H54" s="39"/>
      <c r="J54" s="38"/>
      <c r="N54" s="1"/>
      <c r="P54" s="39"/>
      <c r="R54" s="11"/>
    </row>
    <row r="55" spans="2:18" s="2" customFormat="1" ht="14.25" customHeight="1">
      <c r="B55" s="10"/>
      <c r="D55" s="38"/>
      <c r="H55" s="39"/>
      <c r="J55" s="38"/>
      <c r="N55" s="1"/>
      <c r="P55" s="39"/>
      <c r="R55" s="11"/>
    </row>
    <row r="56" spans="2:18" s="2" customFormat="1" ht="14.25" customHeight="1">
      <c r="B56" s="10"/>
      <c r="D56" s="38"/>
      <c r="H56" s="39"/>
      <c r="J56" s="38"/>
      <c r="N56" s="1"/>
      <c r="P56" s="39"/>
      <c r="R56" s="11"/>
    </row>
    <row r="57" spans="2:18" s="2" customFormat="1" ht="14.25" customHeight="1">
      <c r="B57" s="10"/>
      <c r="D57" s="38"/>
      <c r="H57" s="39"/>
      <c r="J57" s="38"/>
      <c r="N57" s="1"/>
      <c r="P57" s="39"/>
      <c r="R57" s="11"/>
    </row>
    <row r="58" spans="2:18" s="2" customFormat="1" ht="14.25" customHeight="1">
      <c r="B58" s="10"/>
      <c r="D58" s="38"/>
      <c r="H58" s="39"/>
      <c r="J58" s="38"/>
      <c r="N58" s="1"/>
      <c r="P58" s="39"/>
      <c r="R58" s="11"/>
    </row>
    <row r="59" spans="2:18" s="6" customFormat="1" ht="15.75" customHeight="1">
      <c r="B59" s="22"/>
      <c r="D59" s="40" t="s">
        <v>58</v>
      </c>
      <c r="E59" s="41"/>
      <c r="F59" s="41"/>
      <c r="G59" s="42" t="s">
        <v>59</v>
      </c>
      <c r="H59" s="43"/>
      <c r="J59" s="40" t="s">
        <v>58</v>
      </c>
      <c r="K59" s="41"/>
      <c r="L59" s="41"/>
      <c r="M59" s="41"/>
      <c r="N59" s="42" t="s">
        <v>59</v>
      </c>
      <c r="O59" s="41"/>
      <c r="P59" s="43"/>
      <c r="R59" s="23"/>
    </row>
    <row r="60" spans="2:18" s="2" customFormat="1" ht="14.25" customHeight="1">
      <c r="B60" s="10"/>
      <c r="N60" s="1"/>
      <c r="R60" s="11"/>
    </row>
    <row r="61" spans="2:18" s="6" customFormat="1" ht="15.75" customHeight="1">
      <c r="B61" s="22"/>
      <c r="D61" s="35" t="s">
        <v>60</v>
      </c>
      <c r="E61" s="36"/>
      <c r="F61" s="36"/>
      <c r="G61" s="36"/>
      <c r="H61" s="37"/>
      <c r="J61" s="35" t="s">
        <v>61</v>
      </c>
      <c r="K61" s="36"/>
      <c r="L61" s="36"/>
      <c r="M61" s="36"/>
      <c r="N61" s="36"/>
      <c r="O61" s="36"/>
      <c r="P61" s="37"/>
      <c r="R61" s="23"/>
    </row>
    <row r="62" spans="2:18" s="2" customFormat="1" ht="14.25" customHeight="1">
      <c r="B62" s="10"/>
      <c r="D62" s="38"/>
      <c r="H62" s="39"/>
      <c r="J62" s="38"/>
      <c r="N62" s="1"/>
      <c r="P62" s="39"/>
      <c r="R62" s="11"/>
    </row>
    <row r="63" spans="2:18" s="2" customFormat="1" ht="14.25" customHeight="1">
      <c r="B63" s="10"/>
      <c r="D63" s="38"/>
      <c r="H63" s="39"/>
      <c r="J63" s="38"/>
      <c r="N63" s="1"/>
      <c r="P63" s="39"/>
      <c r="R63" s="11"/>
    </row>
    <row r="64" spans="2:18" s="2" customFormat="1" ht="14.25" customHeight="1">
      <c r="B64" s="10"/>
      <c r="D64" s="38"/>
      <c r="H64" s="39"/>
      <c r="J64" s="38"/>
      <c r="N64" s="1"/>
      <c r="P64" s="39"/>
      <c r="R64" s="11"/>
    </row>
    <row r="65" spans="2:18" s="2" customFormat="1" ht="14.25" customHeight="1">
      <c r="B65" s="10"/>
      <c r="D65" s="38"/>
      <c r="H65" s="39"/>
      <c r="J65" s="38"/>
      <c r="N65" s="1"/>
      <c r="P65" s="39"/>
      <c r="R65" s="11"/>
    </row>
    <row r="66" spans="2:18" s="2" customFormat="1" ht="14.25" customHeight="1">
      <c r="B66" s="10"/>
      <c r="D66" s="38"/>
      <c r="H66" s="39"/>
      <c r="J66" s="38"/>
      <c r="N66" s="1"/>
      <c r="P66" s="39"/>
      <c r="R66" s="11"/>
    </row>
    <row r="67" spans="2:18" s="2" customFormat="1" ht="14.25" customHeight="1">
      <c r="B67" s="10"/>
      <c r="D67" s="38"/>
      <c r="H67" s="39"/>
      <c r="J67" s="38"/>
      <c r="N67" s="1"/>
      <c r="P67" s="39"/>
      <c r="R67" s="11"/>
    </row>
    <row r="68" spans="2:18" s="2" customFormat="1" ht="14.25" customHeight="1">
      <c r="B68" s="10"/>
      <c r="D68" s="38"/>
      <c r="H68" s="39"/>
      <c r="J68" s="38"/>
      <c r="N68" s="1"/>
      <c r="P68" s="39"/>
      <c r="R68" s="11"/>
    </row>
    <row r="69" spans="2:18" s="2" customFormat="1" ht="14.25" customHeight="1">
      <c r="B69" s="10"/>
      <c r="D69" s="38"/>
      <c r="H69" s="39"/>
      <c r="J69" s="38"/>
      <c r="N69" s="1"/>
      <c r="P69" s="39"/>
      <c r="R69" s="11"/>
    </row>
    <row r="70" spans="2:18" s="6" customFormat="1" ht="15.75" customHeight="1">
      <c r="B70" s="22"/>
      <c r="D70" s="40" t="s">
        <v>58</v>
      </c>
      <c r="E70" s="41"/>
      <c r="F70" s="41"/>
      <c r="G70" s="42" t="s">
        <v>59</v>
      </c>
      <c r="H70" s="43"/>
      <c r="J70" s="40" t="s">
        <v>58</v>
      </c>
      <c r="K70" s="41"/>
      <c r="L70" s="41"/>
      <c r="M70" s="41"/>
      <c r="N70" s="42" t="s">
        <v>59</v>
      </c>
      <c r="O70" s="41"/>
      <c r="P70" s="43"/>
      <c r="R70" s="23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2" ht="14.25" customHeight="1">
      <c r="N72" s="1"/>
    </row>
    <row r="73" ht="14.25" customHeight="1">
      <c r="N73" s="1"/>
    </row>
    <row r="74" ht="14.25" customHeight="1">
      <c r="N74" s="1"/>
    </row>
    <row r="75" spans="2:18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6" customFormat="1" ht="37.5" customHeight="1">
      <c r="B76" s="22"/>
      <c r="C76" s="188" t="s">
        <v>109</v>
      </c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23"/>
    </row>
    <row r="77" spans="2:18" s="6" customFormat="1" ht="7.5" customHeight="1">
      <c r="B77" s="22"/>
      <c r="R77" s="23"/>
    </row>
    <row r="78" spans="2:18" s="6" customFormat="1" ht="30.75" customHeight="1">
      <c r="B78" s="22"/>
      <c r="C78" s="17" t="s">
        <v>16</v>
      </c>
      <c r="F78" s="225" t="str">
        <f>$F$6</f>
        <v>Město Votice - Realizace ul. Táborská</v>
      </c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R78" s="23"/>
    </row>
    <row r="79" spans="2:18" s="6" customFormat="1" ht="37.5" customHeight="1">
      <c r="B79" s="22"/>
      <c r="C79" s="52" t="s">
        <v>105</v>
      </c>
      <c r="F79" s="189" t="str">
        <f>$F$7</f>
        <v>SO 100.01 - Zpevněné plochy a komunikace</v>
      </c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R79" s="23"/>
    </row>
    <row r="80" spans="2:18" s="6" customFormat="1" ht="7.5" customHeight="1">
      <c r="B80" s="22"/>
      <c r="R80" s="23"/>
    </row>
    <row r="81" spans="2:18" s="6" customFormat="1" ht="18.75" customHeight="1">
      <c r="B81" s="22"/>
      <c r="C81" s="17" t="s">
        <v>22</v>
      </c>
      <c r="F81" s="15" t="str">
        <f>$F$9</f>
        <v>úsek mezi kruhovým objezdem a ul. Javorskou</v>
      </c>
      <c r="K81" s="17" t="s">
        <v>24</v>
      </c>
      <c r="M81" s="226" t="str">
        <f>IF($O$9="","",$O$9)</f>
        <v>19.04.2016</v>
      </c>
      <c r="N81" s="173"/>
      <c r="O81" s="173"/>
      <c r="P81" s="173"/>
      <c r="R81" s="23"/>
    </row>
    <row r="82" spans="2:18" s="6" customFormat="1" ht="7.5" customHeight="1">
      <c r="B82" s="22"/>
      <c r="R82" s="23"/>
    </row>
    <row r="83" spans="2:18" s="6" customFormat="1" ht="15.75" customHeight="1">
      <c r="B83" s="22"/>
      <c r="C83" s="17" t="s">
        <v>28</v>
      </c>
      <c r="F83" s="15" t="str">
        <f>$E$12</f>
        <v>Město Votice, Komenského nám. 700, 259 17 Votice</v>
      </c>
      <c r="K83" s="17" t="s">
        <v>35</v>
      </c>
      <c r="M83" s="190" t="str">
        <f>$E$18</f>
        <v>DOPAS s.r.o., kubelíkova 1224/42, 130 00 Praha 3</v>
      </c>
      <c r="N83" s="173"/>
      <c r="O83" s="173"/>
      <c r="P83" s="173"/>
      <c r="Q83" s="173"/>
      <c r="R83" s="23"/>
    </row>
    <row r="84" spans="2:18" s="6" customFormat="1" ht="15" customHeight="1">
      <c r="B84" s="22"/>
      <c r="C84" s="17" t="s">
        <v>33</v>
      </c>
      <c r="F84" s="15" t="str">
        <f>IF($E$15="","",$E$15)</f>
        <v>Vyplň údaj</v>
      </c>
      <c r="K84" s="17" t="s">
        <v>40</v>
      </c>
      <c r="M84" s="190" t="str">
        <f>$E$21</f>
        <v>Jiří Večerník</v>
      </c>
      <c r="N84" s="173"/>
      <c r="O84" s="173"/>
      <c r="P84" s="173"/>
      <c r="Q84" s="173"/>
      <c r="R84" s="23"/>
    </row>
    <row r="85" spans="2:18" s="6" customFormat="1" ht="11.25" customHeight="1">
      <c r="B85" s="22"/>
      <c r="R85" s="23"/>
    </row>
    <row r="86" spans="2:18" s="6" customFormat="1" ht="30" customHeight="1">
      <c r="B86" s="22"/>
      <c r="C86" s="229" t="s">
        <v>110</v>
      </c>
      <c r="D86" s="169"/>
      <c r="E86" s="169"/>
      <c r="F86" s="169"/>
      <c r="G86" s="169"/>
      <c r="H86" s="31"/>
      <c r="I86" s="31"/>
      <c r="J86" s="31"/>
      <c r="K86" s="31"/>
      <c r="L86" s="31"/>
      <c r="M86" s="31"/>
      <c r="N86" s="229" t="s">
        <v>111</v>
      </c>
      <c r="O86" s="173"/>
      <c r="P86" s="173"/>
      <c r="Q86" s="173"/>
      <c r="R86" s="23"/>
    </row>
    <row r="87" spans="2:18" s="6" customFormat="1" ht="11.25" customHeight="1">
      <c r="B87" s="22"/>
      <c r="R87" s="23"/>
    </row>
    <row r="88" spans="2:47" s="6" customFormat="1" ht="30" customHeight="1">
      <c r="B88" s="22"/>
      <c r="C88" s="64" t="s">
        <v>112</v>
      </c>
      <c r="N88" s="176">
        <f>ROUND($N$128,2)</f>
        <v>0</v>
      </c>
      <c r="O88" s="173"/>
      <c r="P88" s="173"/>
      <c r="Q88" s="173"/>
      <c r="R88" s="23"/>
      <c r="AU88" s="6" t="s">
        <v>113</v>
      </c>
    </row>
    <row r="89" spans="2:18" s="69" customFormat="1" ht="25.5" customHeight="1">
      <c r="B89" s="94"/>
      <c r="D89" s="95" t="s">
        <v>114</v>
      </c>
      <c r="N89" s="228">
        <f>ROUND($N$129,2)</f>
        <v>0</v>
      </c>
      <c r="O89" s="227"/>
      <c r="P89" s="227"/>
      <c r="Q89" s="227"/>
      <c r="R89" s="96"/>
    </row>
    <row r="90" spans="2:18" s="90" customFormat="1" ht="21" customHeight="1">
      <c r="B90" s="97"/>
      <c r="D90" s="78" t="s">
        <v>115</v>
      </c>
      <c r="N90" s="175">
        <f>ROUND($N$134,2)</f>
        <v>0</v>
      </c>
      <c r="O90" s="227"/>
      <c r="P90" s="227"/>
      <c r="Q90" s="227"/>
      <c r="R90" s="98"/>
    </row>
    <row r="91" spans="2:18" s="90" customFormat="1" ht="21" customHeight="1">
      <c r="B91" s="97"/>
      <c r="D91" s="78" t="s">
        <v>116</v>
      </c>
      <c r="N91" s="175">
        <f>ROUND($N$146,2)</f>
        <v>0</v>
      </c>
      <c r="O91" s="227"/>
      <c r="P91" s="227"/>
      <c r="Q91" s="227"/>
      <c r="R91" s="98"/>
    </row>
    <row r="92" spans="2:18" s="90" customFormat="1" ht="21" customHeight="1">
      <c r="B92" s="97"/>
      <c r="D92" s="78" t="s">
        <v>117</v>
      </c>
      <c r="N92" s="175">
        <f>ROUND($N$162,2)</f>
        <v>0</v>
      </c>
      <c r="O92" s="227"/>
      <c r="P92" s="227"/>
      <c r="Q92" s="227"/>
      <c r="R92" s="98"/>
    </row>
    <row r="93" spans="2:18" s="90" customFormat="1" ht="21" customHeight="1">
      <c r="B93" s="97"/>
      <c r="D93" s="78" t="s">
        <v>118</v>
      </c>
      <c r="N93" s="175">
        <f>ROUND($N$177,2)</f>
        <v>0</v>
      </c>
      <c r="O93" s="227"/>
      <c r="P93" s="227"/>
      <c r="Q93" s="227"/>
      <c r="R93" s="98"/>
    </row>
    <row r="94" spans="2:18" s="90" customFormat="1" ht="21" customHeight="1">
      <c r="B94" s="97"/>
      <c r="D94" s="78" t="s">
        <v>119</v>
      </c>
      <c r="N94" s="175">
        <f>ROUND($N$187,2)</f>
        <v>0</v>
      </c>
      <c r="O94" s="227"/>
      <c r="P94" s="227"/>
      <c r="Q94" s="227"/>
      <c r="R94" s="98"/>
    </row>
    <row r="95" spans="2:18" s="90" customFormat="1" ht="21" customHeight="1">
      <c r="B95" s="97"/>
      <c r="D95" s="78" t="s">
        <v>120</v>
      </c>
      <c r="N95" s="175">
        <f>ROUND($N$197,2)</f>
        <v>0</v>
      </c>
      <c r="O95" s="227"/>
      <c r="P95" s="227"/>
      <c r="Q95" s="227"/>
      <c r="R95" s="98"/>
    </row>
    <row r="96" spans="2:18" s="90" customFormat="1" ht="21" customHeight="1">
      <c r="B96" s="97"/>
      <c r="D96" s="78" t="s">
        <v>121</v>
      </c>
      <c r="N96" s="175">
        <f>ROUND($N$202,2)</f>
        <v>0</v>
      </c>
      <c r="O96" s="227"/>
      <c r="P96" s="227"/>
      <c r="Q96" s="227"/>
      <c r="R96" s="98"/>
    </row>
    <row r="97" spans="2:18" s="90" customFormat="1" ht="21" customHeight="1">
      <c r="B97" s="97"/>
      <c r="D97" s="78" t="s">
        <v>122</v>
      </c>
      <c r="N97" s="175">
        <f>ROUND($N$209,2)</f>
        <v>0</v>
      </c>
      <c r="O97" s="227"/>
      <c r="P97" s="227"/>
      <c r="Q97" s="227"/>
      <c r="R97" s="98"/>
    </row>
    <row r="98" spans="2:18" s="90" customFormat="1" ht="21" customHeight="1">
      <c r="B98" s="97"/>
      <c r="D98" s="78" t="s">
        <v>123</v>
      </c>
      <c r="N98" s="175">
        <f>ROUND($N$253,2)</f>
        <v>0</v>
      </c>
      <c r="O98" s="227"/>
      <c r="P98" s="227"/>
      <c r="Q98" s="227"/>
      <c r="R98" s="98"/>
    </row>
    <row r="99" spans="2:18" s="90" customFormat="1" ht="21" customHeight="1">
      <c r="B99" s="97"/>
      <c r="D99" s="78" t="s">
        <v>124</v>
      </c>
      <c r="N99" s="175">
        <f>ROUND($N$258,2)</f>
        <v>0</v>
      </c>
      <c r="O99" s="227"/>
      <c r="P99" s="227"/>
      <c r="Q99" s="227"/>
      <c r="R99" s="98"/>
    </row>
    <row r="100" spans="2:18" s="90" customFormat="1" ht="21" customHeight="1">
      <c r="B100" s="97"/>
      <c r="D100" s="78" t="s">
        <v>125</v>
      </c>
      <c r="N100" s="175">
        <f>ROUND($N$271,2)</f>
        <v>0</v>
      </c>
      <c r="O100" s="227"/>
      <c r="P100" s="227"/>
      <c r="Q100" s="227"/>
      <c r="R100" s="98"/>
    </row>
    <row r="101" spans="2:18" s="90" customFormat="1" ht="21" customHeight="1">
      <c r="B101" s="97"/>
      <c r="D101" s="78" t="s">
        <v>126</v>
      </c>
      <c r="N101" s="175">
        <f>ROUND($N$341,2)</f>
        <v>0</v>
      </c>
      <c r="O101" s="227"/>
      <c r="P101" s="227"/>
      <c r="Q101" s="227"/>
      <c r="R101" s="98"/>
    </row>
    <row r="102" spans="2:18" s="6" customFormat="1" ht="22.5" customHeight="1">
      <c r="B102" s="22"/>
      <c r="R102" s="23"/>
    </row>
    <row r="103" spans="2:21" s="6" customFormat="1" ht="30" customHeight="1">
      <c r="B103" s="22"/>
      <c r="C103" s="64" t="s">
        <v>127</v>
      </c>
      <c r="N103" s="176">
        <f>ROUND($N$104+$N$105+$N$106+$N$107+$N$108+$N$109,2)</f>
        <v>0</v>
      </c>
      <c r="O103" s="173"/>
      <c r="P103" s="173"/>
      <c r="Q103" s="173"/>
      <c r="R103" s="23"/>
      <c r="T103" s="99"/>
      <c r="U103" s="100" t="s">
        <v>46</v>
      </c>
    </row>
    <row r="104" spans="2:62" s="6" customFormat="1" ht="18.75" customHeight="1">
      <c r="B104" s="22"/>
      <c r="D104" s="172" t="s">
        <v>128</v>
      </c>
      <c r="E104" s="173"/>
      <c r="F104" s="173"/>
      <c r="G104" s="173"/>
      <c r="H104" s="173"/>
      <c r="N104" s="174">
        <f>ROUND($N$88*$T$104,2)</f>
        <v>0</v>
      </c>
      <c r="O104" s="173"/>
      <c r="P104" s="173"/>
      <c r="Q104" s="173"/>
      <c r="R104" s="23"/>
      <c r="T104" s="101"/>
      <c r="U104" s="102" t="s">
        <v>47</v>
      </c>
      <c r="AY104" s="6" t="s">
        <v>129</v>
      </c>
      <c r="BE104" s="82">
        <f>IF($U$104="základní",$N$104,0)</f>
        <v>0</v>
      </c>
      <c r="BF104" s="82">
        <f>IF($U$104="snížená",$N$104,0)</f>
        <v>0</v>
      </c>
      <c r="BG104" s="82">
        <f>IF($U$104="zákl. přenesená",$N$104,0)</f>
        <v>0</v>
      </c>
      <c r="BH104" s="82">
        <f>IF($U$104="sníž. přenesená",$N$104,0)</f>
        <v>0</v>
      </c>
      <c r="BI104" s="82">
        <f>IF($U$104="nulová",$N$104,0)</f>
        <v>0</v>
      </c>
      <c r="BJ104" s="6" t="s">
        <v>21</v>
      </c>
    </row>
    <row r="105" spans="2:62" s="6" customFormat="1" ht="18.75" customHeight="1">
      <c r="B105" s="22"/>
      <c r="D105" s="172" t="s">
        <v>130</v>
      </c>
      <c r="E105" s="173"/>
      <c r="F105" s="173"/>
      <c r="G105" s="173"/>
      <c r="H105" s="173"/>
      <c r="N105" s="174">
        <f>ROUND($N$88*$T$105,2)</f>
        <v>0</v>
      </c>
      <c r="O105" s="173"/>
      <c r="P105" s="173"/>
      <c r="Q105" s="173"/>
      <c r="R105" s="23"/>
      <c r="T105" s="101"/>
      <c r="U105" s="102" t="s">
        <v>47</v>
      </c>
      <c r="AY105" s="6" t="s">
        <v>129</v>
      </c>
      <c r="BE105" s="82">
        <f>IF($U$105="základní",$N$105,0)</f>
        <v>0</v>
      </c>
      <c r="BF105" s="82">
        <f>IF($U$105="snížená",$N$105,0)</f>
        <v>0</v>
      </c>
      <c r="BG105" s="82">
        <f>IF($U$105="zákl. přenesená",$N$105,0)</f>
        <v>0</v>
      </c>
      <c r="BH105" s="82">
        <f>IF($U$105="sníž. přenesená",$N$105,0)</f>
        <v>0</v>
      </c>
      <c r="BI105" s="82">
        <f>IF($U$105="nulová",$N$105,0)</f>
        <v>0</v>
      </c>
      <c r="BJ105" s="6" t="s">
        <v>21</v>
      </c>
    </row>
    <row r="106" spans="2:62" s="6" customFormat="1" ht="18.75" customHeight="1">
      <c r="B106" s="22"/>
      <c r="D106" s="172" t="s">
        <v>131</v>
      </c>
      <c r="E106" s="173"/>
      <c r="F106" s="173"/>
      <c r="G106" s="173"/>
      <c r="H106" s="173"/>
      <c r="N106" s="174">
        <f>ROUND($N$88*$T$106,2)</f>
        <v>0</v>
      </c>
      <c r="O106" s="173"/>
      <c r="P106" s="173"/>
      <c r="Q106" s="173"/>
      <c r="R106" s="23"/>
      <c r="T106" s="101"/>
      <c r="U106" s="102" t="s">
        <v>47</v>
      </c>
      <c r="AY106" s="6" t="s">
        <v>129</v>
      </c>
      <c r="BE106" s="82">
        <f>IF($U$106="základní",$N$106,0)</f>
        <v>0</v>
      </c>
      <c r="BF106" s="82">
        <f>IF($U$106="snížená",$N$106,0)</f>
        <v>0</v>
      </c>
      <c r="BG106" s="82">
        <f>IF($U$106="zákl. přenesená",$N$106,0)</f>
        <v>0</v>
      </c>
      <c r="BH106" s="82">
        <f>IF($U$106="sníž. přenesená",$N$106,0)</f>
        <v>0</v>
      </c>
      <c r="BI106" s="82">
        <f>IF($U$106="nulová",$N$106,0)</f>
        <v>0</v>
      </c>
      <c r="BJ106" s="6" t="s">
        <v>21</v>
      </c>
    </row>
    <row r="107" spans="2:62" s="6" customFormat="1" ht="18.75" customHeight="1">
      <c r="B107" s="22"/>
      <c r="D107" s="172" t="s">
        <v>132</v>
      </c>
      <c r="E107" s="173"/>
      <c r="F107" s="173"/>
      <c r="G107" s="173"/>
      <c r="H107" s="173"/>
      <c r="N107" s="174">
        <f>ROUND($N$88*$T$107,2)</f>
        <v>0</v>
      </c>
      <c r="O107" s="173"/>
      <c r="P107" s="173"/>
      <c r="Q107" s="173"/>
      <c r="R107" s="23"/>
      <c r="T107" s="101"/>
      <c r="U107" s="102" t="s">
        <v>47</v>
      </c>
      <c r="AY107" s="6" t="s">
        <v>129</v>
      </c>
      <c r="BE107" s="82">
        <f>IF($U$107="základní",$N$107,0)</f>
        <v>0</v>
      </c>
      <c r="BF107" s="82">
        <f>IF($U$107="snížená",$N$107,0)</f>
        <v>0</v>
      </c>
      <c r="BG107" s="82">
        <f>IF($U$107="zákl. přenesená",$N$107,0)</f>
        <v>0</v>
      </c>
      <c r="BH107" s="82">
        <f>IF($U$107="sníž. přenesená",$N$107,0)</f>
        <v>0</v>
      </c>
      <c r="BI107" s="82">
        <f>IF($U$107="nulová",$N$107,0)</f>
        <v>0</v>
      </c>
      <c r="BJ107" s="6" t="s">
        <v>21</v>
      </c>
    </row>
    <row r="108" spans="2:62" s="6" customFormat="1" ht="18.75" customHeight="1">
      <c r="B108" s="22"/>
      <c r="D108" s="172" t="s">
        <v>133</v>
      </c>
      <c r="E108" s="173"/>
      <c r="F108" s="173"/>
      <c r="G108" s="173"/>
      <c r="H108" s="173"/>
      <c r="N108" s="174">
        <f>ROUND($N$88*$T$108,2)</f>
        <v>0</v>
      </c>
      <c r="O108" s="173"/>
      <c r="P108" s="173"/>
      <c r="Q108" s="173"/>
      <c r="R108" s="23"/>
      <c r="T108" s="101"/>
      <c r="U108" s="102" t="s">
        <v>47</v>
      </c>
      <c r="AY108" s="6" t="s">
        <v>129</v>
      </c>
      <c r="BE108" s="82">
        <f>IF($U$108="základní",$N$108,0)</f>
        <v>0</v>
      </c>
      <c r="BF108" s="82">
        <f>IF($U$108="snížená",$N$108,0)</f>
        <v>0</v>
      </c>
      <c r="BG108" s="82">
        <f>IF($U$108="zákl. přenesená",$N$108,0)</f>
        <v>0</v>
      </c>
      <c r="BH108" s="82">
        <f>IF($U$108="sníž. přenesená",$N$108,0)</f>
        <v>0</v>
      </c>
      <c r="BI108" s="82">
        <f>IF($U$108="nulová",$N$108,0)</f>
        <v>0</v>
      </c>
      <c r="BJ108" s="6" t="s">
        <v>21</v>
      </c>
    </row>
    <row r="109" spans="2:62" s="6" customFormat="1" ht="18.75" customHeight="1">
      <c r="B109" s="22"/>
      <c r="D109" s="78" t="s">
        <v>134</v>
      </c>
      <c r="N109" s="174">
        <f>ROUND($N$88*$T$109,2)</f>
        <v>0</v>
      </c>
      <c r="O109" s="173"/>
      <c r="P109" s="173"/>
      <c r="Q109" s="173"/>
      <c r="R109" s="23"/>
      <c r="T109" s="103"/>
      <c r="U109" s="104" t="s">
        <v>47</v>
      </c>
      <c r="AY109" s="6" t="s">
        <v>135</v>
      </c>
      <c r="BE109" s="82">
        <f>IF($U$109="základní",$N$109,0)</f>
        <v>0</v>
      </c>
      <c r="BF109" s="82">
        <f>IF($U$109="snížená",$N$109,0)</f>
        <v>0</v>
      </c>
      <c r="BG109" s="82">
        <f>IF($U$109="zákl. přenesená",$N$109,0)</f>
        <v>0</v>
      </c>
      <c r="BH109" s="82">
        <f>IF($U$109="sníž. přenesená",$N$109,0)</f>
        <v>0</v>
      </c>
      <c r="BI109" s="82">
        <f>IF($U$109="nulová",$N$109,0)</f>
        <v>0</v>
      </c>
      <c r="BJ109" s="6" t="s">
        <v>21</v>
      </c>
    </row>
    <row r="110" spans="2:18" s="6" customFormat="1" ht="14.25" customHeight="1">
      <c r="B110" s="22"/>
      <c r="R110" s="23"/>
    </row>
    <row r="111" spans="2:18" s="6" customFormat="1" ht="30" customHeight="1">
      <c r="B111" s="22"/>
      <c r="C111" s="89" t="s">
        <v>101</v>
      </c>
      <c r="D111" s="31"/>
      <c r="E111" s="31"/>
      <c r="F111" s="31"/>
      <c r="G111" s="31"/>
      <c r="H111" s="31"/>
      <c r="I111" s="31"/>
      <c r="J111" s="31"/>
      <c r="K111" s="31"/>
      <c r="L111" s="168">
        <f>ROUND(SUM($N$88+$N$103),2)</f>
        <v>0</v>
      </c>
      <c r="M111" s="169"/>
      <c r="N111" s="169"/>
      <c r="O111" s="169"/>
      <c r="P111" s="169"/>
      <c r="Q111" s="169"/>
      <c r="R111" s="23"/>
    </row>
    <row r="112" spans="2:18" s="6" customFormat="1" ht="7.5" customHeight="1"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6"/>
    </row>
    <row r="113" ht="14.25" customHeight="1">
      <c r="N113" s="1"/>
    </row>
    <row r="114" ht="14.25" customHeight="1">
      <c r="N114" s="1"/>
    </row>
    <row r="115" ht="14.25" customHeight="1">
      <c r="N115" s="1"/>
    </row>
    <row r="116" spans="2:18" s="6" customFormat="1" ht="7.5" customHeight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9"/>
    </row>
    <row r="117" spans="2:18" s="6" customFormat="1" ht="37.5" customHeight="1">
      <c r="B117" s="22"/>
      <c r="C117" s="188" t="s">
        <v>136</v>
      </c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23"/>
    </row>
    <row r="118" spans="2:18" s="6" customFormat="1" ht="7.5" customHeight="1">
      <c r="B118" s="22"/>
      <c r="R118" s="23"/>
    </row>
    <row r="119" spans="2:18" s="6" customFormat="1" ht="30.75" customHeight="1">
      <c r="B119" s="22"/>
      <c r="C119" s="17" t="s">
        <v>16</v>
      </c>
      <c r="F119" s="225" t="str">
        <f>$F$6</f>
        <v>Město Votice - Realizace ul. Táborská</v>
      </c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R119" s="23"/>
    </row>
    <row r="120" spans="2:18" s="6" customFormat="1" ht="37.5" customHeight="1">
      <c r="B120" s="22"/>
      <c r="C120" s="52" t="s">
        <v>105</v>
      </c>
      <c r="F120" s="189" t="str">
        <f>$F$7</f>
        <v>SO 100.01 - Zpevněné plochy a komunikace</v>
      </c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R120" s="23"/>
    </row>
    <row r="121" spans="2:18" s="6" customFormat="1" ht="7.5" customHeight="1">
      <c r="B121" s="22"/>
      <c r="R121" s="23"/>
    </row>
    <row r="122" spans="2:18" s="6" customFormat="1" ht="18.75" customHeight="1">
      <c r="B122" s="22"/>
      <c r="C122" s="17" t="s">
        <v>22</v>
      </c>
      <c r="F122" s="15" t="str">
        <f>$F$9</f>
        <v>úsek mezi kruhovým objezdem a ul. Javorskou</v>
      </c>
      <c r="K122" s="17" t="s">
        <v>24</v>
      </c>
      <c r="M122" s="226" t="str">
        <f>IF($O$9="","",$O$9)</f>
        <v>19.04.2016</v>
      </c>
      <c r="N122" s="173"/>
      <c r="O122" s="173"/>
      <c r="P122" s="173"/>
      <c r="R122" s="23"/>
    </row>
    <row r="123" spans="2:18" s="6" customFormat="1" ht="7.5" customHeight="1">
      <c r="B123" s="22"/>
      <c r="R123" s="23"/>
    </row>
    <row r="124" spans="2:18" s="6" customFormat="1" ht="15.75" customHeight="1">
      <c r="B124" s="22"/>
      <c r="C124" s="17" t="s">
        <v>28</v>
      </c>
      <c r="F124" s="15" t="str">
        <f>$E$12</f>
        <v>Město Votice, Komenského nám. 700, 259 17 Votice</v>
      </c>
      <c r="K124" s="17" t="s">
        <v>35</v>
      </c>
      <c r="M124" s="190" t="str">
        <f>$E$18</f>
        <v>DOPAS s.r.o., kubelíkova 1224/42, 130 00 Praha 3</v>
      </c>
      <c r="N124" s="173"/>
      <c r="O124" s="173"/>
      <c r="P124" s="173"/>
      <c r="Q124" s="173"/>
      <c r="R124" s="23"/>
    </row>
    <row r="125" spans="2:18" s="6" customFormat="1" ht="15" customHeight="1">
      <c r="B125" s="22"/>
      <c r="C125" s="17" t="s">
        <v>33</v>
      </c>
      <c r="F125" s="15" t="str">
        <f>IF($E$15="","",$E$15)</f>
        <v>Vyplň údaj</v>
      </c>
      <c r="K125" s="17" t="s">
        <v>40</v>
      </c>
      <c r="M125" s="190" t="str">
        <f>$E$21</f>
        <v>Jiří Večerník</v>
      </c>
      <c r="N125" s="173"/>
      <c r="O125" s="173"/>
      <c r="P125" s="173"/>
      <c r="Q125" s="173"/>
      <c r="R125" s="23"/>
    </row>
    <row r="126" spans="2:18" s="6" customFormat="1" ht="11.25" customHeight="1">
      <c r="B126" s="22"/>
      <c r="R126" s="23"/>
    </row>
    <row r="127" spans="2:27" s="105" customFormat="1" ht="30" customHeight="1">
      <c r="B127" s="106"/>
      <c r="C127" s="107" t="s">
        <v>137</v>
      </c>
      <c r="D127" s="108" t="s">
        <v>138</v>
      </c>
      <c r="E127" s="108" t="s">
        <v>64</v>
      </c>
      <c r="F127" s="221" t="s">
        <v>139</v>
      </c>
      <c r="G127" s="222"/>
      <c r="H127" s="222"/>
      <c r="I127" s="222"/>
      <c r="J127" s="108" t="s">
        <v>140</v>
      </c>
      <c r="K127" s="108" t="s">
        <v>141</v>
      </c>
      <c r="L127" s="221" t="s">
        <v>142</v>
      </c>
      <c r="M127" s="222"/>
      <c r="N127" s="221" t="s">
        <v>143</v>
      </c>
      <c r="O127" s="222"/>
      <c r="P127" s="222"/>
      <c r="Q127" s="223"/>
      <c r="R127" s="109"/>
      <c r="T127" s="59" t="s">
        <v>144</v>
      </c>
      <c r="U127" s="60" t="s">
        <v>46</v>
      </c>
      <c r="V127" s="60" t="s">
        <v>145</v>
      </c>
      <c r="W127" s="60" t="s">
        <v>146</v>
      </c>
      <c r="X127" s="60" t="s">
        <v>147</v>
      </c>
      <c r="Y127" s="60" t="s">
        <v>148</v>
      </c>
      <c r="Z127" s="60" t="s">
        <v>149</v>
      </c>
      <c r="AA127" s="61" t="s">
        <v>150</v>
      </c>
    </row>
    <row r="128" spans="2:63" s="6" customFormat="1" ht="30" customHeight="1">
      <c r="B128" s="22"/>
      <c r="C128" s="64" t="s">
        <v>108</v>
      </c>
      <c r="N128" s="224">
        <f>$BK$128</f>
        <v>0</v>
      </c>
      <c r="O128" s="173"/>
      <c r="P128" s="173"/>
      <c r="Q128" s="173"/>
      <c r="R128" s="23"/>
      <c r="T128" s="63"/>
      <c r="U128" s="36"/>
      <c r="V128" s="36"/>
      <c r="W128" s="110">
        <f>$W$129+$W$344</f>
        <v>2467.238782</v>
      </c>
      <c r="X128" s="36"/>
      <c r="Y128" s="110">
        <f>$Y$129+$Y$344</f>
        <v>1396.6052607299998</v>
      </c>
      <c r="Z128" s="36"/>
      <c r="AA128" s="111">
        <f>$AA$129+$AA$344</f>
        <v>412.19742499999995</v>
      </c>
      <c r="AT128" s="6" t="s">
        <v>81</v>
      </c>
      <c r="AU128" s="6" t="s">
        <v>113</v>
      </c>
      <c r="BK128" s="112">
        <f>$BK$129+$BK$344</f>
        <v>0</v>
      </c>
    </row>
    <row r="129" spans="2:63" s="113" customFormat="1" ht="37.5" customHeight="1">
      <c r="B129" s="114"/>
      <c r="D129" s="115" t="s">
        <v>114</v>
      </c>
      <c r="N129" s="204">
        <f>$BK$129</f>
        <v>0</v>
      </c>
      <c r="O129" s="207"/>
      <c r="P129" s="207"/>
      <c r="Q129" s="207"/>
      <c r="R129" s="117"/>
      <c r="T129" s="118"/>
      <c r="W129" s="119">
        <f>$W$130+SUM($W$131:$W$134)+$W$146+$W$162+$W$177+$W$187+$W$197+$W$202+$W$209+$W$253+$W$258+$W$271+$W$341</f>
        <v>2467.238782</v>
      </c>
      <c r="Y129" s="119">
        <f>$Y$130+SUM($Y$131:$Y$134)+$Y$146+$Y$162+$Y$177+$Y$187+$Y$197+$Y$202+$Y$209+$Y$253+$Y$258+$Y$271+$Y$341</f>
        <v>1396.6052607299998</v>
      </c>
      <c r="AA129" s="120">
        <f>$AA$130+SUM($AA$131:$AA$134)+$AA$146+$AA$162+$AA$177+$AA$187+$AA$197+$AA$202+$AA$209+$AA$253+$AA$258+$AA$271+$AA$341</f>
        <v>412.19742499999995</v>
      </c>
      <c r="AR129" s="116" t="s">
        <v>21</v>
      </c>
      <c r="AT129" s="116" t="s">
        <v>81</v>
      </c>
      <c r="AU129" s="116" t="s">
        <v>82</v>
      </c>
      <c r="AY129" s="116" t="s">
        <v>151</v>
      </c>
      <c r="BK129" s="121">
        <f>$BK$130+SUM($BK$131:$BK$134)+$BK$146+$BK$162+$BK$177+$BK$187+$BK$197+$BK$202+$BK$209+$BK$253+$BK$258+$BK$271+$BK$341</f>
        <v>0</v>
      </c>
    </row>
    <row r="130" spans="2:64" s="6" customFormat="1" ht="15.75" customHeight="1">
      <c r="B130" s="22"/>
      <c r="C130" s="122" t="s">
        <v>21</v>
      </c>
      <c r="D130" s="122" t="s">
        <v>152</v>
      </c>
      <c r="E130" s="123" t="s">
        <v>153</v>
      </c>
      <c r="F130" s="212" t="s">
        <v>154</v>
      </c>
      <c r="G130" s="213"/>
      <c r="H130" s="213"/>
      <c r="I130" s="213"/>
      <c r="J130" s="124" t="s">
        <v>155</v>
      </c>
      <c r="K130" s="125">
        <v>1170.82</v>
      </c>
      <c r="L130" s="214">
        <v>0</v>
      </c>
      <c r="M130" s="213"/>
      <c r="N130" s="215">
        <f>ROUND($L$130*$K$130,2)</f>
        <v>0</v>
      </c>
      <c r="O130" s="213"/>
      <c r="P130" s="213"/>
      <c r="Q130" s="213"/>
      <c r="R130" s="23"/>
      <c r="T130" s="126"/>
      <c r="U130" s="29" t="s">
        <v>47</v>
      </c>
      <c r="V130" s="127">
        <v>0.018</v>
      </c>
      <c r="W130" s="127">
        <f>$V$130*$K$130</f>
        <v>21.074759999999998</v>
      </c>
      <c r="X130" s="127">
        <v>0</v>
      </c>
      <c r="Y130" s="127">
        <f>$X$130*$K$130</f>
        <v>0</v>
      </c>
      <c r="Z130" s="127">
        <v>0</v>
      </c>
      <c r="AA130" s="128">
        <f>$Z$130*$K$130</f>
        <v>0</v>
      </c>
      <c r="AR130" s="6" t="s">
        <v>156</v>
      </c>
      <c r="AT130" s="6" t="s">
        <v>152</v>
      </c>
      <c r="AU130" s="6" t="s">
        <v>21</v>
      </c>
      <c r="AY130" s="6" t="s">
        <v>151</v>
      </c>
      <c r="BE130" s="82">
        <f>IF($U$130="základní",$N$130,0)</f>
        <v>0</v>
      </c>
      <c r="BF130" s="82">
        <f>IF($U$130="snížená",$N$130,0)</f>
        <v>0</v>
      </c>
      <c r="BG130" s="82">
        <f>IF($U$130="zákl. přenesená",$N$130,0)</f>
        <v>0</v>
      </c>
      <c r="BH130" s="82">
        <f>IF($U$130="sníž. přenesená",$N$130,0)</f>
        <v>0</v>
      </c>
      <c r="BI130" s="82">
        <f>IF($U$130="nulová",$N$130,0)</f>
        <v>0</v>
      </c>
      <c r="BJ130" s="6" t="s">
        <v>21</v>
      </c>
      <c r="BK130" s="82">
        <f>ROUND($L$130*$K$130,2)</f>
        <v>0</v>
      </c>
      <c r="BL130" s="6" t="s">
        <v>156</v>
      </c>
    </row>
    <row r="131" spans="2:51" s="6" customFormat="1" ht="15.75" customHeight="1">
      <c r="B131" s="129"/>
      <c r="E131" s="130"/>
      <c r="F131" s="210" t="s">
        <v>157</v>
      </c>
      <c r="G131" s="211"/>
      <c r="H131" s="211"/>
      <c r="I131" s="211"/>
      <c r="K131" s="131">
        <v>150.92</v>
      </c>
      <c r="N131" s="130"/>
      <c r="R131" s="132"/>
      <c r="T131" s="133"/>
      <c r="AA131" s="134"/>
      <c r="AT131" s="130" t="s">
        <v>158</v>
      </c>
      <c r="AU131" s="130" t="s">
        <v>21</v>
      </c>
      <c r="AV131" s="130" t="s">
        <v>103</v>
      </c>
      <c r="AW131" s="130" t="s">
        <v>113</v>
      </c>
      <c r="AX131" s="130" t="s">
        <v>82</v>
      </c>
      <c r="AY131" s="130" t="s">
        <v>151</v>
      </c>
    </row>
    <row r="132" spans="2:51" s="6" customFormat="1" ht="15.75" customHeight="1">
      <c r="B132" s="129"/>
      <c r="E132" s="130"/>
      <c r="F132" s="210" t="s">
        <v>159</v>
      </c>
      <c r="G132" s="211"/>
      <c r="H132" s="211"/>
      <c r="I132" s="211"/>
      <c r="K132" s="131">
        <v>856.14</v>
      </c>
      <c r="N132" s="130"/>
      <c r="R132" s="132"/>
      <c r="T132" s="133"/>
      <c r="AA132" s="134"/>
      <c r="AT132" s="130" t="s">
        <v>158</v>
      </c>
      <c r="AU132" s="130" t="s">
        <v>21</v>
      </c>
      <c r="AV132" s="130" t="s">
        <v>103</v>
      </c>
      <c r="AW132" s="130" t="s">
        <v>113</v>
      </c>
      <c r="AX132" s="130" t="s">
        <v>82</v>
      </c>
      <c r="AY132" s="130" t="s">
        <v>151</v>
      </c>
    </row>
    <row r="133" spans="2:51" s="6" customFormat="1" ht="15.75" customHeight="1">
      <c r="B133" s="129"/>
      <c r="E133" s="130"/>
      <c r="F133" s="210" t="s">
        <v>160</v>
      </c>
      <c r="G133" s="211"/>
      <c r="H133" s="211"/>
      <c r="I133" s="211"/>
      <c r="K133" s="131">
        <v>163.76</v>
      </c>
      <c r="N133" s="130"/>
      <c r="R133" s="132"/>
      <c r="T133" s="133"/>
      <c r="AA133" s="134"/>
      <c r="AT133" s="130" t="s">
        <v>158</v>
      </c>
      <c r="AU133" s="130" t="s">
        <v>21</v>
      </c>
      <c r="AV133" s="130" t="s">
        <v>103</v>
      </c>
      <c r="AW133" s="130" t="s">
        <v>113</v>
      </c>
      <c r="AX133" s="130" t="s">
        <v>82</v>
      </c>
      <c r="AY133" s="130" t="s">
        <v>151</v>
      </c>
    </row>
    <row r="134" spans="2:63" s="113" customFormat="1" ht="30.75" customHeight="1">
      <c r="B134" s="114"/>
      <c r="D134" s="135" t="s">
        <v>115</v>
      </c>
      <c r="N134" s="206">
        <f>$BK$134</f>
        <v>0</v>
      </c>
      <c r="O134" s="207"/>
      <c r="P134" s="207"/>
      <c r="Q134" s="207"/>
      <c r="R134" s="117"/>
      <c r="T134" s="118"/>
      <c r="W134" s="119">
        <f>SUM($W$135:$W$145)</f>
        <v>71.806764</v>
      </c>
      <c r="Y134" s="119">
        <f>SUM($Y$135:$Y$145)</f>
        <v>0.005797</v>
      </c>
      <c r="AA134" s="120">
        <f>SUM($AA$135:$AA$145)</f>
        <v>0</v>
      </c>
      <c r="AR134" s="116" t="s">
        <v>21</v>
      </c>
      <c r="AT134" s="116" t="s">
        <v>81</v>
      </c>
      <c r="AU134" s="116" t="s">
        <v>21</v>
      </c>
      <c r="AY134" s="116" t="s">
        <v>151</v>
      </c>
      <c r="BK134" s="121">
        <f>SUM($BK$135:$BK$145)</f>
        <v>0</v>
      </c>
    </row>
    <row r="135" spans="2:64" s="6" customFormat="1" ht="27" customHeight="1">
      <c r="B135" s="22"/>
      <c r="C135" s="122" t="s">
        <v>103</v>
      </c>
      <c r="D135" s="122" t="s">
        <v>152</v>
      </c>
      <c r="E135" s="123" t="s">
        <v>161</v>
      </c>
      <c r="F135" s="212" t="s">
        <v>162</v>
      </c>
      <c r="G135" s="213"/>
      <c r="H135" s="213"/>
      <c r="I135" s="213"/>
      <c r="J135" s="124" t="s">
        <v>163</v>
      </c>
      <c r="K135" s="125">
        <v>12.124</v>
      </c>
      <c r="L135" s="214">
        <v>0</v>
      </c>
      <c r="M135" s="213"/>
      <c r="N135" s="215">
        <f>ROUND($L$135*$K$135,2)</f>
        <v>0</v>
      </c>
      <c r="O135" s="213"/>
      <c r="P135" s="213"/>
      <c r="Q135" s="213"/>
      <c r="R135" s="23"/>
      <c r="T135" s="126"/>
      <c r="U135" s="29" t="s">
        <v>47</v>
      </c>
      <c r="V135" s="127">
        <v>0.021</v>
      </c>
      <c r="W135" s="127">
        <f>$V$135*$K$135</f>
        <v>0.25460400000000005</v>
      </c>
      <c r="X135" s="127">
        <v>0</v>
      </c>
      <c r="Y135" s="127">
        <f>$X$135*$K$135</f>
        <v>0</v>
      </c>
      <c r="Z135" s="127">
        <v>0</v>
      </c>
      <c r="AA135" s="128">
        <f>$Z$135*$K$135</f>
        <v>0</v>
      </c>
      <c r="AR135" s="6" t="s">
        <v>156</v>
      </c>
      <c r="AT135" s="6" t="s">
        <v>152</v>
      </c>
      <c r="AU135" s="6" t="s">
        <v>103</v>
      </c>
      <c r="AY135" s="6" t="s">
        <v>151</v>
      </c>
      <c r="BE135" s="82">
        <f>IF($U$135="základní",$N$135,0)</f>
        <v>0</v>
      </c>
      <c r="BF135" s="82">
        <f>IF($U$135="snížená",$N$135,0)</f>
        <v>0</v>
      </c>
      <c r="BG135" s="82">
        <f>IF($U$135="zákl. přenesená",$N$135,0)</f>
        <v>0</v>
      </c>
      <c r="BH135" s="82">
        <f>IF($U$135="sníž. přenesená",$N$135,0)</f>
        <v>0</v>
      </c>
      <c r="BI135" s="82">
        <f>IF($U$135="nulová",$N$135,0)</f>
        <v>0</v>
      </c>
      <c r="BJ135" s="6" t="s">
        <v>21</v>
      </c>
      <c r="BK135" s="82">
        <f>ROUND($L$135*$K$135,2)</f>
        <v>0</v>
      </c>
      <c r="BL135" s="6" t="s">
        <v>156</v>
      </c>
    </row>
    <row r="136" spans="2:51" s="6" customFormat="1" ht="15.75" customHeight="1">
      <c r="B136" s="136"/>
      <c r="E136" s="137"/>
      <c r="F136" s="208" t="s">
        <v>164</v>
      </c>
      <c r="G136" s="209"/>
      <c r="H136" s="209"/>
      <c r="I136" s="209"/>
      <c r="K136" s="137"/>
      <c r="N136" s="137"/>
      <c r="R136" s="138"/>
      <c r="T136" s="139"/>
      <c r="AA136" s="140"/>
      <c r="AT136" s="137" t="s">
        <v>158</v>
      </c>
      <c r="AU136" s="137" t="s">
        <v>103</v>
      </c>
      <c r="AV136" s="137" t="s">
        <v>21</v>
      </c>
      <c r="AW136" s="137" t="s">
        <v>113</v>
      </c>
      <c r="AX136" s="137" t="s">
        <v>82</v>
      </c>
      <c r="AY136" s="137" t="s">
        <v>151</v>
      </c>
    </row>
    <row r="137" spans="2:51" s="6" customFormat="1" ht="15.75" customHeight="1">
      <c r="B137" s="129"/>
      <c r="E137" s="130"/>
      <c r="F137" s="210" t="s">
        <v>165</v>
      </c>
      <c r="G137" s="211"/>
      <c r="H137" s="211"/>
      <c r="I137" s="211"/>
      <c r="K137" s="131">
        <v>12.124</v>
      </c>
      <c r="N137" s="130"/>
      <c r="R137" s="132"/>
      <c r="T137" s="133"/>
      <c r="AA137" s="134"/>
      <c r="AT137" s="130" t="s">
        <v>158</v>
      </c>
      <c r="AU137" s="130" t="s">
        <v>103</v>
      </c>
      <c r="AV137" s="130" t="s">
        <v>103</v>
      </c>
      <c r="AW137" s="130" t="s">
        <v>113</v>
      </c>
      <c r="AX137" s="130" t="s">
        <v>82</v>
      </c>
      <c r="AY137" s="130" t="s">
        <v>151</v>
      </c>
    </row>
    <row r="138" spans="2:64" s="6" customFormat="1" ht="27" customHeight="1">
      <c r="B138" s="22"/>
      <c r="C138" s="122" t="s">
        <v>166</v>
      </c>
      <c r="D138" s="122" t="s">
        <v>152</v>
      </c>
      <c r="E138" s="123" t="s">
        <v>167</v>
      </c>
      <c r="F138" s="212" t="s">
        <v>168</v>
      </c>
      <c r="G138" s="213"/>
      <c r="H138" s="213"/>
      <c r="I138" s="213"/>
      <c r="J138" s="124" t="s">
        <v>155</v>
      </c>
      <c r="K138" s="125">
        <v>165.63</v>
      </c>
      <c r="L138" s="214">
        <v>0</v>
      </c>
      <c r="M138" s="213"/>
      <c r="N138" s="215">
        <f>ROUND($L$138*$K$138,2)</f>
        <v>0</v>
      </c>
      <c r="O138" s="213"/>
      <c r="P138" s="213"/>
      <c r="Q138" s="213"/>
      <c r="R138" s="23"/>
      <c r="T138" s="126"/>
      <c r="U138" s="29" t="s">
        <v>47</v>
      </c>
      <c r="V138" s="127">
        <v>0.09</v>
      </c>
      <c r="W138" s="127">
        <f>$V$138*$K$138</f>
        <v>14.906699999999999</v>
      </c>
      <c r="X138" s="127">
        <v>0</v>
      </c>
      <c r="Y138" s="127">
        <f>$X$138*$K$138</f>
        <v>0</v>
      </c>
      <c r="Z138" s="127">
        <v>0</v>
      </c>
      <c r="AA138" s="128">
        <f>$Z$138*$K$138</f>
        <v>0</v>
      </c>
      <c r="AR138" s="6" t="s">
        <v>156</v>
      </c>
      <c r="AT138" s="6" t="s">
        <v>152</v>
      </c>
      <c r="AU138" s="6" t="s">
        <v>103</v>
      </c>
      <c r="AY138" s="6" t="s">
        <v>151</v>
      </c>
      <c r="BE138" s="82">
        <f>IF($U$138="základní",$N$138,0)</f>
        <v>0</v>
      </c>
      <c r="BF138" s="82">
        <f>IF($U$138="snížená",$N$138,0)</f>
        <v>0</v>
      </c>
      <c r="BG138" s="82">
        <f>IF($U$138="zákl. přenesená",$N$138,0)</f>
        <v>0</v>
      </c>
      <c r="BH138" s="82">
        <f>IF($U$138="sníž. přenesená",$N$138,0)</f>
        <v>0</v>
      </c>
      <c r="BI138" s="82">
        <f>IF($U$138="nulová",$N$138,0)</f>
        <v>0</v>
      </c>
      <c r="BJ138" s="6" t="s">
        <v>21</v>
      </c>
      <c r="BK138" s="82">
        <f>ROUND($L$138*$K$138,2)</f>
        <v>0</v>
      </c>
      <c r="BL138" s="6" t="s">
        <v>156</v>
      </c>
    </row>
    <row r="139" spans="2:51" s="6" customFormat="1" ht="15.75" customHeight="1">
      <c r="B139" s="136"/>
      <c r="E139" s="137"/>
      <c r="F139" s="208" t="s">
        <v>169</v>
      </c>
      <c r="G139" s="209"/>
      <c r="H139" s="209"/>
      <c r="I139" s="209"/>
      <c r="K139" s="137"/>
      <c r="N139" s="137"/>
      <c r="R139" s="138"/>
      <c r="T139" s="139"/>
      <c r="AA139" s="140"/>
      <c r="AT139" s="137" t="s">
        <v>158</v>
      </c>
      <c r="AU139" s="137" t="s">
        <v>103</v>
      </c>
      <c r="AV139" s="137" t="s">
        <v>21</v>
      </c>
      <c r="AW139" s="137" t="s">
        <v>113</v>
      </c>
      <c r="AX139" s="137" t="s">
        <v>82</v>
      </c>
      <c r="AY139" s="137" t="s">
        <v>151</v>
      </c>
    </row>
    <row r="140" spans="2:51" s="6" customFormat="1" ht="15.75" customHeight="1">
      <c r="B140" s="129"/>
      <c r="E140" s="130"/>
      <c r="F140" s="210" t="s">
        <v>170</v>
      </c>
      <c r="G140" s="211"/>
      <c r="H140" s="211"/>
      <c r="I140" s="211"/>
      <c r="K140" s="131">
        <v>165.63</v>
      </c>
      <c r="N140" s="130"/>
      <c r="R140" s="132"/>
      <c r="T140" s="133"/>
      <c r="AA140" s="134"/>
      <c r="AT140" s="130" t="s">
        <v>158</v>
      </c>
      <c r="AU140" s="130" t="s">
        <v>103</v>
      </c>
      <c r="AV140" s="130" t="s">
        <v>103</v>
      </c>
      <c r="AW140" s="130" t="s">
        <v>113</v>
      </c>
      <c r="AX140" s="130" t="s">
        <v>82</v>
      </c>
      <c r="AY140" s="130" t="s">
        <v>151</v>
      </c>
    </row>
    <row r="141" spans="2:64" s="6" customFormat="1" ht="15.75" customHeight="1">
      <c r="B141" s="22"/>
      <c r="C141" s="122" t="s">
        <v>156</v>
      </c>
      <c r="D141" s="122" t="s">
        <v>152</v>
      </c>
      <c r="E141" s="123" t="s">
        <v>171</v>
      </c>
      <c r="F141" s="212" t="s">
        <v>172</v>
      </c>
      <c r="G141" s="213"/>
      <c r="H141" s="213"/>
      <c r="I141" s="213"/>
      <c r="J141" s="124" t="s">
        <v>155</v>
      </c>
      <c r="K141" s="125">
        <v>165.63</v>
      </c>
      <c r="L141" s="214">
        <v>0</v>
      </c>
      <c r="M141" s="213"/>
      <c r="N141" s="215">
        <f>ROUND($L$141*$K$141,2)</f>
        <v>0</v>
      </c>
      <c r="O141" s="213"/>
      <c r="P141" s="213"/>
      <c r="Q141" s="213"/>
      <c r="R141" s="23"/>
      <c r="T141" s="126"/>
      <c r="U141" s="29" t="s">
        <v>47</v>
      </c>
      <c r="V141" s="127">
        <v>0.013</v>
      </c>
      <c r="W141" s="127">
        <f>$V$141*$K$141</f>
        <v>2.15319</v>
      </c>
      <c r="X141" s="127">
        <v>0</v>
      </c>
      <c r="Y141" s="127">
        <f>$X$141*$K$141</f>
        <v>0</v>
      </c>
      <c r="Z141" s="127">
        <v>0</v>
      </c>
      <c r="AA141" s="128">
        <f>$Z$141*$K$141</f>
        <v>0</v>
      </c>
      <c r="AR141" s="6" t="s">
        <v>156</v>
      </c>
      <c r="AT141" s="6" t="s">
        <v>152</v>
      </c>
      <c r="AU141" s="6" t="s">
        <v>103</v>
      </c>
      <c r="AY141" s="6" t="s">
        <v>151</v>
      </c>
      <c r="BE141" s="82">
        <f>IF($U$141="základní",$N$141,0)</f>
        <v>0</v>
      </c>
      <c r="BF141" s="82">
        <f>IF($U$141="snížená",$N$141,0)</f>
        <v>0</v>
      </c>
      <c r="BG141" s="82">
        <f>IF($U$141="zákl. přenesená",$N$141,0)</f>
        <v>0</v>
      </c>
      <c r="BH141" s="82">
        <f>IF($U$141="sníž. přenesená",$N$141,0)</f>
        <v>0</v>
      </c>
      <c r="BI141" s="82">
        <f>IF($U$141="nulová",$N$141,0)</f>
        <v>0</v>
      </c>
      <c r="BJ141" s="6" t="s">
        <v>21</v>
      </c>
      <c r="BK141" s="82">
        <f>ROUND($L$141*$K$141,2)</f>
        <v>0</v>
      </c>
      <c r="BL141" s="6" t="s">
        <v>156</v>
      </c>
    </row>
    <row r="142" spans="2:64" s="6" customFormat="1" ht="27" customHeight="1">
      <c r="B142" s="22"/>
      <c r="C142" s="122" t="s">
        <v>173</v>
      </c>
      <c r="D142" s="122" t="s">
        <v>152</v>
      </c>
      <c r="E142" s="123" t="s">
        <v>174</v>
      </c>
      <c r="F142" s="212" t="s">
        <v>175</v>
      </c>
      <c r="G142" s="213"/>
      <c r="H142" s="213"/>
      <c r="I142" s="213"/>
      <c r="J142" s="124" t="s">
        <v>155</v>
      </c>
      <c r="K142" s="125">
        <v>165.63</v>
      </c>
      <c r="L142" s="214">
        <v>0</v>
      </c>
      <c r="M142" s="213"/>
      <c r="N142" s="215">
        <f>ROUND($L$142*$K$142,2)</f>
        <v>0</v>
      </c>
      <c r="O142" s="213"/>
      <c r="P142" s="213"/>
      <c r="Q142" s="213"/>
      <c r="R142" s="23"/>
      <c r="T142" s="126"/>
      <c r="U142" s="29" t="s">
        <v>47</v>
      </c>
      <c r="V142" s="127">
        <v>0.254</v>
      </c>
      <c r="W142" s="127">
        <f>$V$142*$K$142</f>
        <v>42.07002</v>
      </c>
      <c r="X142" s="127">
        <v>0</v>
      </c>
      <c r="Y142" s="127">
        <f>$X$142*$K$142</f>
        <v>0</v>
      </c>
      <c r="Z142" s="127">
        <v>0</v>
      </c>
      <c r="AA142" s="128">
        <f>$Z$142*$K$142</f>
        <v>0</v>
      </c>
      <c r="AR142" s="6" t="s">
        <v>156</v>
      </c>
      <c r="AT142" s="6" t="s">
        <v>152</v>
      </c>
      <c r="AU142" s="6" t="s">
        <v>103</v>
      </c>
      <c r="AY142" s="6" t="s">
        <v>151</v>
      </c>
      <c r="BE142" s="82">
        <f>IF($U$142="základní",$N$142,0)</f>
        <v>0</v>
      </c>
      <c r="BF142" s="82">
        <f>IF($U$142="snížená",$N$142,0)</f>
        <v>0</v>
      </c>
      <c r="BG142" s="82">
        <f>IF($U$142="zákl. přenesená",$N$142,0)</f>
        <v>0</v>
      </c>
      <c r="BH142" s="82">
        <f>IF($U$142="sníž. přenesená",$N$142,0)</f>
        <v>0</v>
      </c>
      <c r="BI142" s="82">
        <f>IF($U$142="nulová",$N$142,0)</f>
        <v>0</v>
      </c>
      <c r="BJ142" s="6" t="s">
        <v>21</v>
      </c>
      <c r="BK142" s="82">
        <f>ROUND($L$142*$K$142,2)</f>
        <v>0</v>
      </c>
      <c r="BL142" s="6" t="s">
        <v>156</v>
      </c>
    </row>
    <row r="143" spans="2:64" s="6" customFormat="1" ht="15.75" customHeight="1">
      <c r="B143" s="22"/>
      <c r="C143" s="122" t="s">
        <v>176</v>
      </c>
      <c r="D143" s="122" t="s">
        <v>152</v>
      </c>
      <c r="E143" s="123" t="s">
        <v>177</v>
      </c>
      <c r="F143" s="212" t="s">
        <v>178</v>
      </c>
      <c r="G143" s="213"/>
      <c r="H143" s="213"/>
      <c r="I143" s="213"/>
      <c r="J143" s="124" t="s">
        <v>155</v>
      </c>
      <c r="K143" s="125">
        <v>165.63</v>
      </c>
      <c r="L143" s="214">
        <v>0</v>
      </c>
      <c r="M143" s="213"/>
      <c r="N143" s="215">
        <f>ROUND($L$143*$K$143,2)</f>
        <v>0</v>
      </c>
      <c r="O143" s="213"/>
      <c r="P143" s="213"/>
      <c r="Q143" s="213"/>
      <c r="R143" s="23"/>
      <c r="T143" s="126"/>
      <c r="U143" s="29" t="s">
        <v>47</v>
      </c>
      <c r="V143" s="127">
        <v>0.015</v>
      </c>
      <c r="W143" s="127">
        <f>$V$143*$K$143</f>
        <v>2.48445</v>
      </c>
      <c r="X143" s="127">
        <v>0</v>
      </c>
      <c r="Y143" s="127">
        <f>$X$143*$K$143</f>
        <v>0</v>
      </c>
      <c r="Z143" s="127">
        <v>0</v>
      </c>
      <c r="AA143" s="128">
        <f>$Z$143*$K$143</f>
        <v>0</v>
      </c>
      <c r="AR143" s="6" t="s">
        <v>156</v>
      </c>
      <c r="AT143" s="6" t="s">
        <v>152</v>
      </c>
      <c r="AU143" s="6" t="s">
        <v>103</v>
      </c>
      <c r="AY143" s="6" t="s">
        <v>151</v>
      </c>
      <c r="BE143" s="82">
        <f>IF($U$143="základní",$N$143,0)</f>
        <v>0</v>
      </c>
      <c r="BF143" s="82">
        <f>IF($U$143="snížená",$N$143,0)</f>
        <v>0</v>
      </c>
      <c r="BG143" s="82">
        <f>IF($U$143="zákl. přenesená",$N$143,0)</f>
        <v>0</v>
      </c>
      <c r="BH143" s="82">
        <f>IF($U$143="sníž. přenesená",$N$143,0)</f>
        <v>0</v>
      </c>
      <c r="BI143" s="82">
        <f>IF($U$143="nulová",$N$143,0)</f>
        <v>0</v>
      </c>
      <c r="BJ143" s="6" t="s">
        <v>21</v>
      </c>
      <c r="BK143" s="82">
        <f>ROUND($L$143*$K$143,2)</f>
        <v>0</v>
      </c>
      <c r="BL143" s="6" t="s">
        <v>156</v>
      </c>
    </row>
    <row r="144" spans="2:64" s="6" customFormat="1" ht="27" customHeight="1">
      <c r="B144" s="22"/>
      <c r="C144" s="122" t="s">
        <v>179</v>
      </c>
      <c r="D144" s="122" t="s">
        <v>152</v>
      </c>
      <c r="E144" s="123" t="s">
        <v>180</v>
      </c>
      <c r="F144" s="212" t="s">
        <v>181</v>
      </c>
      <c r="G144" s="213"/>
      <c r="H144" s="213"/>
      <c r="I144" s="213"/>
      <c r="J144" s="124" t="s">
        <v>155</v>
      </c>
      <c r="K144" s="125">
        <v>165.63</v>
      </c>
      <c r="L144" s="214">
        <v>0</v>
      </c>
      <c r="M144" s="213"/>
      <c r="N144" s="215">
        <f>ROUND($L$144*$K$144,2)</f>
        <v>0</v>
      </c>
      <c r="O144" s="213"/>
      <c r="P144" s="213"/>
      <c r="Q144" s="213"/>
      <c r="R144" s="23"/>
      <c r="T144" s="126"/>
      <c r="U144" s="29" t="s">
        <v>47</v>
      </c>
      <c r="V144" s="127">
        <v>0.06</v>
      </c>
      <c r="W144" s="127">
        <f>$V$144*$K$144</f>
        <v>9.9378</v>
      </c>
      <c r="X144" s="127">
        <v>0</v>
      </c>
      <c r="Y144" s="127">
        <f>$X$144*$K$144</f>
        <v>0</v>
      </c>
      <c r="Z144" s="127">
        <v>0</v>
      </c>
      <c r="AA144" s="128">
        <f>$Z$144*$K$144</f>
        <v>0</v>
      </c>
      <c r="AR144" s="6" t="s">
        <v>156</v>
      </c>
      <c r="AT144" s="6" t="s">
        <v>152</v>
      </c>
      <c r="AU144" s="6" t="s">
        <v>103</v>
      </c>
      <c r="AY144" s="6" t="s">
        <v>151</v>
      </c>
      <c r="BE144" s="82">
        <f>IF($U$144="základní",$N$144,0)</f>
        <v>0</v>
      </c>
      <c r="BF144" s="82">
        <f>IF($U$144="snížená",$N$144,0)</f>
        <v>0</v>
      </c>
      <c r="BG144" s="82">
        <f>IF($U$144="zákl. přenesená",$N$144,0)</f>
        <v>0</v>
      </c>
      <c r="BH144" s="82">
        <f>IF($U$144="sníž. přenesená",$N$144,0)</f>
        <v>0</v>
      </c>
      <c r="BI144" s="82">
        <f>IF($U$144="nulová",$N$144,0)</f>
        <v>0</v>
      </c>
      <c r="BJ144" s="6" t="s">
        <v>21</v>
      </c>
      <c r="BK144" s="82">
        <f>ROUND($L$144*$K$144,2)</f>
        <v>0</v>
      </c>
      <c r="BL144" s="6" t="s">
        <v>156</v>
      </c>
    </row>
    <row r="145" spans="2:64" s="6" customFormat="1" ht="15.75" customHeight="1">
      <c r="B145" s="22"/>
      <c r="C145" s="141" t="s">
        <v>182</v>
      </c>
      <c r="D145" s="141" t="s">
        <v>183</v>
      </c>
      <c r="E145" s="142" t="s">
        <v>184</v>
      </c>
      <c r="F145" s="217" t="s">
        <v>185</v>
      </c>
      <c r="G145" s="218"/>
      <c r="H145" s="218"/>
      <c r="I145" s="218"/>
      <c r="J145" s="143" t="s">
        <v>186</v>
      </c>
      <c r="K145" s="144">
        <v>5.797</v>
      </c>
      <c r="L145" s="219">
        <v>0</v>
      </c>
      <c r="M145" s="218"/>
      <c r="N145" s="220">
        <f>ROUND($L$145*$K$145,2)</f>
        <v>0</v>
      </c>
      <c r="O145" s="213"/>
      <c r="P145" s="213"/>
      <c r="Q145" s="213"/>
      <c r="R145" s="23"/>
      <c r="T145" s="126"/>
      <c r="U145" s="29" t="s">
        <v>47</v>
      </c>
      <c r="V145" s="127">
        <v>0</v>
      </c>
      <c r="W145" s="127">
        <f>$V$145*$K$145</f>
        <v>0</v>
      </c>
      <c r="X145" s="127">
        <v>0.001</v>
      </c>
      <c r="Y145" s="127">
        <f>$X$145*$K$145</f>
        <v>0.005797</v>
      </c>
      <c r="Z145" s="127">
        <v>0</v>
      </c>
      <c r="AA145" s="128">
        <f>$Z$145*$K$145</f>
        <v>0</v>
      </c>
      <c r="AR145" s="6" t="s">
        <v>182</v>
      </c>
      <c r="AT145" s="6" t="s">
        <v>183</v>
      </c>
      <c r="AU145" s="6" t="s">
        <v>103</v>
      </c>
      <c r="AY145" s="6" t="s">
        <v>151</v>
      </c>
      <c r="BE145" s="82">
        <f>IF($U$145="základní",$N$145,0)</f>
        <v>0</v>
      </c>
      <c r="BF145" s="82">
        <f>IF($U$145="snížená",$N$145,0)</f>
        <v>0</v>
      </c>
      <c r="BG145" s="82">
        <f>IF($U$145="zákl. přenesená",$N$145,0)</f>
        <v>0</v>
      </c>
      <c r="BH145" s="82">
        <f>IF($U$145="sníž. přenesená",$N$145,0)</f>
        <v>0</v>
      </c>
      <c r="BI145" s="82">
        <f>IF($U$145="nulová",$N$145,0)</f>
        <v>0</v>
      </c>
      <c r="BJ145" s="6" t="s">
        <v>21</v>
      </c>
      <c r="BK145" s="82">
        <f>ROUND($L$145*$K$145,2)</f>
        <v>0</v>
      </c>
      <c r="BL145" s="6" t="s">
        <v>156</v>
      </c>
    </row>
    <row r="146" spans="2:63" s="113" customFormat="1" ht="30.75" customHeight="1">
      <c r="B146" s="114"/>
      <c r="D146" s="135" t="s">
        <v>116</v>
      </c>
      <c r="N146" s="206">
        <f>$BK$146</f>
        <v>0</v>
      </c>
      <c r="O146" s="207"/>
      <c r="P146" s="207"/>
      <c r="Q146" s="207"/>
      <c r="R146" s="117"/>
      <c r="T146" s="118"/>
      <c r="W146" s="119">
        <f>SUM($W$147:$W$161)</f>
        <v>196.18570999999997</v>
      </c>
      <c r="Y146" s="119">
        <f>SUM($Y$147:$Y$161)</f>
        <v>190.6031079</v>
      </c>
      <c r="AA146" s="120">
        <f>SUM($AA$147:$AA$161)</f>
        <v>0</v>
      </c>
      <c r="AR146" s="116" t="s">
        <v>21</v>
      </c>
      <c r="AT146" s="116" t="s">
        <v>81</v>
      </c>
      <c r="AU146" s="116" t="s">
        <v>21</v>
      </c>
      <c r="AY146" s="116" t="s">
        <v>151</v>
      </c>
      <c r="BK146" s="121">
        <f>SUM($BK$147:$BK$161)</f>
        <v>0</v>
      </c>
    </row>
    <row r="147" spans="2:64" s="6" customFormat="1" ht="27" customHeight="1">
      <c r="B147" s="22"/>
      <c r="C147" s="122" t="s">
        <v>187</v>
      </c>
      <c r="D147" s="122" t="s">
        <v>152</v>
      </c>
      <c r="E147" s="123" t="s">
        <v>188</v>
      </c>
      <c r="F147" s="212" t="s">
        <v>189</v>
      </c>
      <c r="G147" s="213"/>
      <c r="H147" s="213"/>
      <c r="I147" s="213"/>
      <c r="J147" s="124" t="s">
        <v>155</v>
      </c>
      <c r="K147" s="125">
        <v>170.71</v>
      </c>
      <c r="L147" s="214">
        <v>0</v>
      </c>
      <c r="M147" s="213"/>
      <c r="N147" s="215">
        <f>ROUND($L$147*$K$147,2)</f>
        <v>0</v>
      </c>
      <c r="O147" s="213"/>
      <c r="P147" s="213"/>
      <c r="Q147" s="213"/>
      <c r="R147" s="23"/>
      <c r="T147" s="126"/>
      <c r="U147" s="29" t="s">
        <v>47</v>
      </c>
      <c r="V147" s="127">
        <v>1.009</v>
      </c>
      <c r="W147" s="127">
        <f>$V$147*$K$147</f>
        <v>172.24639</v>
      </c>
      <c r="X147" s="127">
        <v>0.1837</v>
      </c>
      <c r="Y147" s="127">
        <f>$X$147*$K$147</f>
        <v>31.359427</v>
      </c>
      <c r="Z147" s="127">
        <v>0</v>
      </c>
      <c r="AA147" s="128">
        <f>$Z$147*$K$147</f>
        <v>0</v>
      </c>
      <c r="AR147" s="6" t="s">
        <v>156</v>
      </c>
      <c r="AT147" s="6" t="s">
        <v>152</v>
      </c>
      <c r="AU147" s="6" t="s">
        <v>103</v>
      </c>
      <c r="AY147" s="6" t="s">
        <v>151</v>
      </c>
      <c r="BE147" s="82">
        <f>IF($U$147="základní",$N$147,0)</f>
        <v>0</v>
      </c>
      <c r="BF147" s="82">
        <f>IF($U$147="snížená",$N$147,0)</f>
        <v>0</v>
      </c>
      <c r="BG147" s="82">
        <f>IF($U$147="zákl. přenesená",$N$147,0)</f>
        <v>0</v>
      </c>
      <c r="BH147" s="82">
        <f>IF($U$147="sníž. přenesená",$N$147,0)</f>
        <v>0</v>
      </c>
      <c r="BI147" s="82">
        <f>IF($U$147="nulová",$N$147,0)</f>
        <v>0</v>
      </c>
      <c r="BJ147" s="6" t="s">
        <v>21</v>
      </c>
      <c r="BK147" s="82">
        <f>ROUND($L$147*$K$147,2)</f>
        <v>0</v>
      </c>
      <c r="BL147" s="6" t="s">
        <v>156</v>
      </c>
    </row>
    <row r="148" spans="2:51" s="6" customFormat="1" ht="15.75" customHeight="1">
      <c r="B148" s="136"/>
      <c r="E148" s="137"/>
      <c r="F148" s="208" t="s">
        <v>190</v>
      </c>
      <c r="G148" s="209"/>
      <c r="H148" s="209"/>
      <c r="I148" s="209"/>
      <c r="K148" s="137"/>
      <c r="N148" s="137"/>
      <c r="R148" s="138"/>
      <c r="T148" s="139"/>
      <c r="AA148" s="140"/>
      <c r="AT148" s="137" t="s">
        <v>158</v>
      </c>
      <c r="AU148" s="137" t="s">
        <v>103</v>
      </c>
      <c r="AV148" s="137" t="s">
        <v>21</v>
      </c>
      <c r="AW148" s="137" t="s">
        <v>113</v>
      </c>
      <c r="AX148" s="137" t="s">
        <v>82</v>
      </c>
      <c r="AY148" s="137" t="s">
        <v>151</v>
      </c>
    </row>
    <row r="149" spans="2:51" s="6" customFormat="1" ht="15.75" customHeight="1">
      <c r="B149" s="129"/>
      <c r="E149" s="130"/>
      <c r="F149" s="210" t="s">
        <v>191</v>
      </c>
      <c r="G149" s="211"/>
      <c r="H149" s="211"/>
      <c r="I149" s="211"/>
      <c r="K149" s="131">
        <v>150.92</v>
      </c>
      <c r="N149" s="130"/>
      <c r="R149" s="132"/>
      <c r="T149" s="133"/>
      <c r="AA149" s="134"/>
      <c r="AT149" s="130" t="s">
        <v>158</v>
      </c>
      <c r="AU149" s="130" t="s">
        <v>103</v>
      </c>
      <c r="AV149" s="130" t="s">
        <v>103</v>
      </c>
      <c r="AW149" s="130" t="s">
        <v>113</v>
      </c>
      <c r="AX149" s="130" t="s">
        <v>82</v>
      </c>
      <c r="AY149" s="130" t="s">
        <v>151</v>
      </c>
    </row>
    <row r="150" spans="2:51" s="6" customFormat="1" ht="15.75" customHeight="1">
      <c r="B150" s="136"/>
      <c r="E150" s="137"/>
      <c r="F150" s="208" t="s">
        <v>192</v>
      </c>
      <c r="G150" s="209"/>
      <c r="H150" s="209"/>
      <c r="I150" s="209"/>
      <c r="K150" s="137"/>
      <c r="N150" s="137"/>
      <c r="R150" s="138"/>
      <c r="T150" s="139"/>
      <c r="AA150" s="140"/>
      <c r="AT150" s="137" t="s">
        <v>158</v>
      </c>
      <c r="AU150" s="137" t="s">
        <v>103</v>
      </c>
      <c r="AV150" s="137" t="s">
        <v>21</v>
      </c>
      <c r="AW150" s="137" t="s">
        <v>113</v>
      </c>
      <c r="AX150" s="137" t="s">
        <v>82</v>
      </c>
      <c r="AY150" s="137" t="s">
        <v>151</v>
      </c>
    </row>
    <row r="151" spans="2:51" s="6" customFormat="1" ht="15.75" customHeight="1">
      <c r="B151" s="129"/>
      <c r="E151" s="130"/>
      <c r="F151" s="210" t="s">
        <v>193</v>
      </c>
      <c r="G151" s="211"/>
      <c r="H151" s="211"/>
      <c r="I151" s="211"/>
      <c r="K151" s="131">
        <v>19.79</v>
      </c>
      <c r="N151" s="130"/>
      <c r="R151" s="132"/>
      <c r="T151" s="133"/>
      <c r="AA151" s="134"/>
      <c r="AT151" s="130" t="s">
        <v>158</v>
      </c>
      <c r="AU151" s="130" t="s">
        <v>103</v>
      </c>
      <c r="AV151" s="130" t="s">
        <v>103</v>
      </c>
      <c r="AW151" s="130" t="s">
        <v>113</v>
      </c>
      <c r="AX151" s="130" t="s">
        <v>82</v>
      </c>
      <c r="AY151" s="130" t="s">
        <v>151</v>
      </c>
    </row>
    <row r="152" spans="2:64" s="6" customFormat="1" ht="27" customHeight="1">
      <c r="B152" s="22"/>
      <c r="C152" s="141" t="s">
        <v>26</v>
      </c>
      <c r="D152" s="141" t="s">
        <v>183</v>
      </c>
      <c r="E152" s="142" t="s">
        <v>194</v>
      </c>
      <c r="F152" s="217" t="s">
        <v>195</v>
      </c>
      <c r="G152" s="218"/>
      <c r="H152" s="218"/>
      <c r="I152" s="218"/>
      <c r="J152" s="143" t="s">
        <v>196</v>
      </c>
      <c r="K152" s="144">
        <v>31.693</v>
      </c>
      <c r="L152" s="219">
        <v>0</v>
      </c>
      <c r="M152" s="218"/>
      <c r="N152" s="220">
        <f>ROUND($L$152*$K$152,2)</f>
        <v>0</v>
      </c>
      <c r="O152" s="213"/>
      <c r="P152" s="213"/>
      <c r="Q152" s="213"/>
      <c r="R152" s="23"/>
      <c r="T152" s="126"/>
      <c r="U152" s="29" t="s">
        <v>47</v>
      </c>
      <c r="V152" s="127">
        <v>0</v>
      </c>
      <c r="W152" s="127">
        <f>$V$152*$K$152</f>
        <v>0</v>
      </c>
      <c r="X152" s="127">
        <v>1</v>
      </c>
      <c r="Y152" s="127">
        <f>$X$152*$K$152</f>
        <v>31.693</v>
      </c>
      <c r="Z152" s="127">
        <v>0</v>
      </c>
      <c r="AA152" s="128">
        <f>$Z$152*$K$152</f>
        <v>0</v>
      </c>
      <c r="AR152" s="6" t="s">
        <v>182</v>
      </c>
      <c r="AT152" s="6" t="s">
        <v>183</v>
      </c>
      <c r="AU152" s="6" t="s">
        <v>103</v>
      </c>
      <c r="AY152" s="6" t="s">
        <v>151</v>
      </c>
      <c r="BE152" s="82">
        <f>IF($U$152="základní",$N$152,0)</f>
        <v>0</v>
      </c>
      <c r="BF152" s="82">
        <f>IF($U$152="snížená",$N$152,0)</f>
        <v>0</v>
      </c>
      <c r="BG152" s="82">
        <f>IF($U$152="zákl. přenesená",$N$152,0)</f>
        <v>0</v>
      </c>
      <c r="BH152" s="82">
        <f>IF($U$152="sníž. přenesená",$N$152,0)</f>
        <v>0</v>
      </c>
      <c r="BI152" s="82">
        <f>IF($U$152="nulová",$N$152,0)</f>
        <v>0</v>
      </c>
      <c r="BJ152" s="6" t="s">
        <v>21</v>
      </c>
      <c r="BK152" s="82">
        <f>ROUND($L$152*$K$152,2)</f>
        <v>0</v>
      </c>
      <c r="BL152" s="6" t="s">
        <v>156</v>
      </c>
    </row>
    <row r="153" spans="2:47" s="6" customFormat="1" ht="44.25" customHeight="1">
      <c r="B153" s="22"/>
      <c r="F153" s="216" t="s">
        <v>197</v>
      </c>
      <c r="G153" s="173"/>
      <c r="H153" s="173"/>
      <c r="I153" s="173"/>
      <c r="R153" s="23"/>
      <c r="T153" s="57"/>
      <c r="AA153" s="58"/>
      <c r="AT153" s="6" t="s">
        <v>198</v>
      </c>
      <c r="AU153" s="6" t="s">
        <v>103</v>
      </c>
    </row>
    <row r="154" spans="2:51" s="6" customFormat="1" ht="15.75" customHeight="1">
      <c r="B154" s="136"/>
      <c r="E154" s="137"/>
      <c r="F154" s="208" t="s">
        <v>190</v>
      </c>
      <c r="G154" s="209"/>
      <c r="H154" s="209"/>
      <c r="I154" s="209"/>
      <c r="K154" s="137"/>
      <c r="N154" s="137"/>
      <c r="R154" s="138"/>
      <c r="T154" s="139"/>
      <c r="AA154" s="140"/>
      <c r="AT154" s="137" t="s">
        <v>158</v>
      </c>
      <c r="AU154" s="137" t="s">
        <v>103</v>
      </c>
      <c r="AV154" s="137" t="s">
        <v>21</v>
      </c>
      <c r="AW154" s="137" t="s">
        <v>113</v>
      </c>
      <c r="AX154" s="137" t="s">
        <v>82</v>
      </c>
      <c r="AY154" s="137" t="s">
        <v>151</v>
      </c>
    </row>
    <row r="155" spans="2:51" s="6" customFormat="1" ht="15.75" customHeight="1">
      <c r="B155" s="129"/>
      <c r="E155" s="130"/>
      <c r="F155" s="210" t="s">
        <v>191</v>
      </c>
      <c r="G155" s="211"/>
      <c r="H155" s="211"/>
      <c r="I155" s="211"/>
      <c r="K155" s="131">
        <v>150.92</v>
      </c>
      <c r="N155" s="130"/>
      <c r="R155" s="132"/>
      <c r="T155" s="133"/>
      <c r="AA155" s="134"/>
      <c r="AT155" s="130" t="s">
        <v>158</v>
      </c>
      <c r="AU155" s="130" t="s">
        <v>103</v>
      </c>
      <c r="AV155" s="130" t="s">
        <v>103</v>
      </c>
      <c r="AW155" s="130" t="s">
        <v>113</v>
      </c>
      <c r="AX155" s="130" t="s">
        <v>82</v>
      </c>
      <c r="AY155" s="130" t="s">
        <v>151</v>
      </c>
    </row>
    <row r="156" spans="2:64" s="6" customFormat="1" ht="15.75" customHeight="1">
      <c r="B156" s="22"/>
      <c r="C156" s="122" t="s">
        <v>199</v>
      </c>
      <c r="D156" s="122" t="s">
        <v>152</v>
      </c>
      <c r="E156" s="123" t="s">
        <v>200</v>
      </c>
      <c r="F156" s="212" t="s">
        <v>201</v>
      </c>
      <c r="G156" s="213"/>
      <c r="H156" s="213"/>
      <c r="I156" s="213"/>
      <c r="J156" s="124" t="s">
        <v>155</v>
      </c>
      <c r="K156" s="125">
        <v>170.71</v>
      </c>
      <c r="L156" s="214">
        <v>0</v>
      </c>
      <c r="M156" s="213"/>
      <c r="N156" s="215">
        <f>ROUND($L$156*$K$156,2)</f>
        <v>0</v>
      </c>
      <c r="O156" s="213"/>
      <c r="P156" s="213"/>
      <c r="Q156" s="213"/>
      <c r="R156" s="23"/>
      <c r="T156" s="126"/>
      <c r="U156" s="29" t="s">
        <v>47</v>
      </c>
      <c r="V156" s="127">
        <v>0.02</v>
      </c>
      <c r="W156" s="127">
        <f>$V$156*$K$156</f>
        <v>3.4142</v>
      </c>
      <c r="X156" s="127">
        <v>0.08003</v>
      </c>
      <c r="Y156" s="127">
        <f>$X$156*$K$156</f>
        <v>13.661921300000001</v>
      </c>
      <c r="Z156" s="127">
        <v>0</v>
      </c>
      <c r="AA156" s="128">
        <f>$Z$156*$K$156</f>
        <v>0</v>
      </c>
      <c r="AR156" s="6" t="s">
        <v>156</v>
      </c>
      <c r="AT156" s="6" t="s">
        <v>152</v>
      </c>
      <c r="AU156" s="6" t="s">
        <v>103</v>
      </c>
      <c r="AY156" s="6" t="s">
        <v>151</v>
      </c>
      <c r="BE156" s="82">
        <f>IF($U$156="základní",$N$156,0)</f>
        <v>0</v>
      </c>
      <c r="BF156" s="82">
        <f>IF($U$156="snížená",$N$156,0)</f>
        <v>0</v>
      </c>
      <c r="BG156" s="82">
        <f>IF($U$156="zákl. přenesená",$N$156,0)</f>
        <v>0</v>
      </c>
      <c r="BH156" s="82">
        <f>IF($U$156="sníž. přenesená",$N$156,0)</f>
        <v>0</v>
      </c>
      <c r="BI156" s="82">
        <f>IF($U$156="nulová",$N$156,0)</f>
        <v>0</v>
      </c>
      <c r="BJ156" s="6" t="s">
        <v>21</v>
      </c>
      <c r="BK156" s="82">
        <f>ROUND($L$156*$K$156,2)</f>
        <v>0</v>
      </c>
      <c r="BL156" s="6" t="s">
        <v>156</v>
      </c>
    </row>
    <row r="157" spans="2:64" s="6" customFormat="1" ht="27" customHeight="1">
      <c r="B157" s="22"/>
      <c r="C157" s="122" t="s">
        <v>202</v>
      </c>
      <c r="D157" s="122" t="s">
        <v>152</v>
      </c>
      <c r="E157" s="123" t="s">
        <v>203</v>
      </c>
      <c r="F157" s="212" t="s">
        <v>204</v>
      </c>
      <c r="G157" s="213"/>
      <c r="H157" s="213"/>
      <c r="I157" s="213"/>
      <c r="J157" s="124" t="s">
        <v>155</v>
      </c>
      <c r="K157" s="125">
        <v>150.92</v>
      </c>
      <c r="L157" s="214">
        <v>0</v>
      </c>
      <c r="M157" s="213"/>
      <c r="N157" s="215">
        <f>ROUND($L$157*$K$157,2)</f>
        <v>0</v>
      </c>
      <c r="O157" s="213"/>
      <c r="P157" s="213"/>
      <c r="Q157" s="213"/>
      <c r="R157" s="23"/>
      <c r="T157" s="126"/>
      <c r="U157" s="29" t="s">
        <v>47</v>
      </c>
      <c r="V157" s="127">
        <v>0.027</v>
      </c>
      <c r="W157" s="127">
        <f>$V$157*$K$157</f>
        <v>4.07484</v>
      </c>
      <c r="X157" s="127">
        <v>0.38314</v>
      </c>
      <c r="Y157" s="127">
        <f>$X$157*$K$157</f>
        <v>57.82348879999999</v>
      </c>
      <c r="Z157" s="127">
        <v>0</v>
      </c>
      <c r="AA157" s="128">
        <f>$Z$157*$K$157</f>
        <v>0</v>
      </c>
      <c r="AR157" s="6" t="s">
        <v>156</v>
      </c>
      <c r="AT157" s="6" t="s">
        <v>152</v>
      </c>
      <c r="AU157" s="6" t="s">
        <v>103</v>
      </c>
      <c r="AY157" s="6" t="s">
        <v>151</v>
      </c>
      <c r="BE157" s="82">
        <f>IF($U$157="základní",$N$157,0)</f>
        <v>0</v>
      </c>
      <c r="BF157" s="82">
        <f>IF($U$157="snížená",$N$157,0)</f>
        <v>0</v>
      </c>
      <c r="BG157" s="82">
        <f>IF($U$157="zákl. přenesená",$N$157,0)</f>
        <v>0</v>
      </c>
      <c r="BH157" s="82">
        <f>IF($U$157="sníž. přenesená",$N$157,0)</f>
        <v>0</v>
      </c>
      <c r="BI157" s="82">
        <f>IF($U$157="nulová",$N$157,0)</f>
        <v>0</v>
      </c>
      <c r="BJ157" s="6" t="s">
        <v>21</v>
      </c>
      <c r="BK157" s="82">
        <f>ROUND($L$157*$K$157,2)</f>
        <v>0</v>
      </c>
      <c r="BL157" s="6" t="s">
        <v>156</v>
      </c>
    </row>
    <row r="158" spans="2:51" s="6" customFormat="1" ht="15.75" customHeight="1">
      <c r="B158" s="136"/>
      <c r="E158" s="137"/>
      <c r="F158" s="208" t="s">
        <v>190</v>
      </c>
      <c r="G158" s="209"/>
      <c r="H158" s="209"/>
      <c r="I158" s="209"/>
      <c r="K158" s="137"/>
      <c r="N158" s="137"/>
      <c r="R158" s="138"/>
      <c r="T158" s="139"/>
      <c r="AA158" s="140"/>
      <c r="AT158" s="137" t="s">
        <v>158</v>
      </c>
      <c r="AU158" s="137" t="s">
        <v>103</v>
      </c>
      <c r="AV158" s="137" t="s">
        <v>21</v>
      </c>
      <c r="AW158" s="137" t="s">
        <v>113</v>
      </c>
      <c r="AX158" s="137" t="s">
        <v>82</v>
      </c>
      <c r="AY158" s="137" t="s">
        <v>151</v>
      </c>
    </row>
    <row r="159" spans="2:51" s="6" customFormat="1" ht="15.75" customHeight="1">
      <c r="B159" s="129"/>
      <c r="E159" s="130"/>
      <c r="F159" s="210" t="s">
        <v>191</v>
      </c>
      <c r="G159" s="211"/>
      <c r="H159" s="211"/>
      <c r="I159" s="211"/>
      <c r="K159" s="131">
        <v>150.92</v>
      </c>
      <c r="N159" s="130"/>
      <c r="R159" s="132"/>
      <c r="T159" s="133"/>
      <c r="AA159" s="134"/>
      <c r="AT159" s="130" t="s">
        <v>158</v>
      </c>
      <c r="AU159" s="130" t="s">
        <v>103</v>
      </c>
      <c r="AV159" s="130" t="s">
        <v>103</v>
      </c>
      <c r="AW159" s="130" t="s">
        <v>113</v>
      </c>
      <c r="AX159" s="130" t="s">
        <v>82</v>
      </c>
      <c r="AY159" s="130" t="s">
        <v>151</v>
      </c>
    </row>
    <row r="160" spans="2:64" s="6" customFormat="1" ht="15.75" customHeight="1">
      <c r="B160" s="22"/>
      <c r="C160" s="122" t="s">
        <v>205</v>
      </c>
      <c r="D160" s="122" t="s">
        <v>152</v>
      </c>
      <c r="E160" s="123" t="s">
        <v>206</v>
      </c>
      <c r="F160" s="212" t="s">
        <v>207</v>
      </c>
      <c r="G160" s="213"/>
      <c r="H160" s="213"/>
      <c r="I160" s="213"/>
      <c r="J160" s="124" t="s">
        <v>155</v>
      </c>
      <c r="K160" s="125">
        <v>150.92</v>
      </c>
      <c r="L160" s="214">
        <v>0</v>
      </c>
      <c r="M160" s="213"/>
      <c r="N160" s="215">
        <f>ROUND($L$160*$K$160,2)</f>
        <v>0</v>
      </c>
      <c r="O160" s="213"/>
      <c r="P160" s="213"/>
      <c r="Q160" s="213"/>
      <c r="R160" s="23"/>
      <c r="T160" s="126"/>
      <c r="U160" s="29" t="s">
        <v>47</v>
      </c>
      <c r="V160" s="127">
        <v>0.029</v>
      </c>
      <c r="W160" s="127">
        <f>$V$160*$K$160</f>
        <v>4.3766799999999995</v>
      </c>
      <c r="X160" s="127">
        <v>0.3708</v>
      </c>
      <c r="Y160" s="127">
        <f>$X$160*$K$160</f>
        <v>55.961135999999996</v>
      </c>
      <c r="Z160" s="127">
        <v>0</v>
      </c>
      <c r="AA160" s="128">
        <f>$Z$160*$K$160</f>
        <v>0</v>
      </c>
      <c r="AR160" s="6" t="s">
        <v>156</v>
      </c>
      <c r="AT160" s="6" t="s">
        <v>152</v>
      </c>
      <c r="AU160" s="6" t="s">
        <v>103</v>
      </c>
      <c r="AY160" s="6" t="s">
        <v>151</v>
      </c>
      <c r="BE160" s="82">
        <f>IF($U$160="základní",$N$160,0)</f>
        <v>0</v>
      </c>
      <c r="BF160" s="82">
        <f>IF($U$160="snížená",$N$160,0)</f>
        <v>0</v>
      </c>
      <c r="BG160" s="82">
        <f>IF($U$160="zákl. přenesená",$N$160,0)</f>
        <v>0</v>
      </c>
      <c r="BH160" s="82">
        <f>IF($U$160="sníž. přenesená",$N$160,0)</f>
        <v>0</v>
      </c>
      <c r="BI160" s="82">
        <f>IF($U$160="nulová",$N$160,0)</f>
        <v>0</v>
      </c>
      <c r="BJ160" s="6" t="s">
        <v>21</v>
      </c>
      <c r="BK160" s="82">
        <f>ROUND($L$160*$K$160,2)</f>
        <v>0</v>
      </c>
      <c r="BL160" s="6" t="s">
        <v>156</v>
      </c>
    </row>
    <row r="161" spans="2:64" s="6" customFormat="1" ht="27" customHeight="1">
      <c r="B161" s="22"/>
      <c r="C161" s="122" t="s">
        <v>208</v>
      </c>
      <c r="D161" s="122" t="s">
        <v>152</v>
      </c>
      <c r="E161" s="123" t="s">
        <v>209</v>
      </c>
      <c r="F161" s="212" t="s">
        <v>210</v>
      </c>
      <c r="G161" s="213"/>
      <c r="H161" s="213"/>
      <c r="I161" s="213"/>
      <c r="J161" s="124" t="s">
        <v>155</v>
      </c>
      <c r="K161" s="125">
        <v>150.92</v>
      </c>
      <c r="L161" s="214">
        <v>0</v>
      </c>
      <c r="M161" s="213"/>
      <c r="N161" s="215">
        <f>ROUND($L$161*$K$161,2)</f>
        <v>0</v>
      </c>
      <c r="O161" s="213"/>
      <c r="P161" s="213"/>
      <c r="Q161" s="213"/>
      <c r="R161" s="23"/>
      <c r="T161" s="126"/>
      <c r="U161" s="29" t="s">
        <v>47</v>
      </c>
      <c r="V161" s="127">
        <v>0.08</v>
      </c>
      <c r="W161" s="127">
        <f>$V$161*$K$161</f>
        <v>12.073599999999999</v>
      </c>
      <c r="X161" s="127">
        <v>0.00069</v>
      </c>
      <c r="Y161" s="127">
        <f>$X$161*$K$161</f>
        <v>0.10413479999999999</v>
      </c>
      <c r="Z161" s="127">
        <v>0</v>
      </c>
      <c r="AA161" s="128">
        <f>$Z$161*$K$161</f>
        <v>0</v>
      </c>
      <c r="AR161" s="6" t="s">
        <v>156</v>
      </c>
      <c r="AT161" s="6" t="s">
        <v>152</v>
      </c>
      <c r="AU161" s="6" t="s">
        <v>103</v>
      </c>
      <c r="AY161" s="6" t="s">
        <v>151</v>
      </c>
      <c r="BE161" s="82">
        <f>IF($U$161="základní",$N$161,0)</f>
        <v>0</v>
      </c>
      <c r="BF161" s="82">
        <f>IF($U$161="snížená",$N$161,0)</f>
        <v>0</v>
      </c>
      <c r="BG161" s="82">
        <f>IF($U$161="zákl. přenesená",$N$161,0)</f>
        <v>0</v>
      </c>
      <c r="BH161" s="82">
        <f>IF($U$161="sníž. přenesená",$N$161,0)</f>
        <v>0</v>
      </c>
      <c r="BI161" s="82">
        <f>IF($U$161="nulová",$N$161,0)</f>
        <v>0</v>
      </c>
      <c r="BJ161" s="6" t="s">
        <v>21</v>
      </c>
      <c r="BK161" s="82">
        <f>ROUND($L$161*$K$161,2)</f>
        <v>0</v>
      </c>
      <c r="BL161" s="6" t="s">
        <v>156</v>
      </c>
    </row>
    <row r="162" spans="2:63" s="113" customFormat="1" ht="30.75" customHeight="1">
      <c r="B162" s="114"/>
      <c r="D162" s="135" t="s">
        <v>117</v>
      </c>
      <c r="N162" s="206">
        <f>$BK$162</f>
        <v>0</v>
      </c>
      <c r="O162" s="207"/>
      <c r="P162" s="207"/>
      <c r="Q162" s="207"/>
      <c r="R162" s="117"/>
      <c r="T162" s="118"/>
      <c r="W162" s="119">
        <f>SUM($W$163:$W$176)</f>
        <v>1008.06318</v>
      </c>
      <c r="Y162" s="119">
        <f>SUM($Y$163:$Y$176)</f>
        <v>638.9455712</v>
      </c>
      <c r="AA162" s="120">
        <f>SUM($AA$163:$AA$176)</f>
        <v>0</v>
      </c>
      <c r="AR162" s="116" t="s">
        <v>21</v>
      </c>
      <c r="AT162" s="116" t="s">
        <v>81</v>
      </c>
      <c r="AU162" s="116" t="s">
        <v>21</v>
      </c>
      <c r="AY162" s="116" t="s">
        <v>151</v>
      </c>
      <c r="BK162" s="121">
        <f>SUM($BK$163:$BK$176)</f>
        <v>0</v>
      </c>
    </row>
    <row r="163" spans="2:64" s="6" customFormat="1" ht="27" customHeight="1">
      <c r="B163" s="22"/>
      <c r="C163" s="122" t="s">
        <v>8</v>
      </c>
      <c r="D163" s="122" t="s">
        <v>152</v>
      </c>
      <c r="E163" s="123" t="s">
        <v>188</v>
      </c>
      <c r="F163" s="212" t="s">
        <v>189</v>
      </c>
      <c r="G163" s="213"/>
      <c r="H163" s="213"/>
      <c r="I163" s="213"/>
      <c r="J163" s="124" t="s">
        <v>155</v>
      </c>
      <c r="K163" s="125">
        <v>891.46</v>
      </c>
      <c r="L163" s="214">
        <v>0</v>
      </c>
      <c r="M163" s="213"/>
      <c r="N163" s="215">
        <f>ROUND($L$163*$K$163,2)</f>
        <v>0</v>
      </c>
      <c r="O163" s="213"/>
      <c r="P163" s="213"/>
      <c r="Q163" s="213"/>
      <c r="R163" s="23"/>
      <c r="T163" s="126"/>
      <c r="U163" s="29" t="s">
        <v>47</v>
      </c>
      <c r="V163" s="127">
        <v>1.009</v>
      </c>
      <c r="W163" s="127">
        <f>$V$163*$K$163</f>
        <v>899.4831399999999</v>
      </c>
      <c r="X163" s="127">
        <v>0.1837</v>
      </c>
      <c r="Y163" s="127">
        <f>$X$163*$K$163</f>
        <v>163.761202</v>
      </c>
      <c r="Z163" s="127">
        <v>0</v>
      </c>
      <c r="AA163" s="128">
        <f>$Z$163*$K$163</f>
        <v>0</v>
      </c>
      <c r="AR163" s="6" t="s">
        <v>156</v>
      </c>
      <c r="AT163" s="6" t="s">
        <v>152</v>
      </c>
      <c r="AU163" s="6" t="s">
        <v>103</v>
      </c>
      <c r="AY163" s="6" t="s">
        <v>151</v>
      </c>
      <c r="BE163" s="82">
        <f>IF($U$163="základní",$N$163,0)</f>
        <v>0</v>
      </c>
      <c r="BF163" s="82">
        <f>IF($U$163="snížená",$N$163,0)</f>
        <v>0</v>
      </c>
      <c r="BG163" s="82">
        <f>IF($U$163="zákl. přenesená",$N$163,0)</f>
        <v>0</v>
      </c>
      <c r="BH163" s="82">
        <f>IF($U$163="sníž. přenesená",$N$163,0)</f>
        <v>0</v>
      </c>
      <c r="BI163" s="82">
        <f>IF($U$163="nulová",$N$163,0)</f>
        <v>0</v>
      </c>
      <c r="BJ163" s="6" t="s">
        <v>21</v>
      </c>
      <c r="BK163" s="82">
        <f>ROUND($L$163*$K$163,2)</f>
        <v>0</v>
      </c>
      <c r="BL163" s="6" t="s">
        <v>156</v>
      </c>
    </row>
    <row r="164" spans="2:51" s="6" customFormat="1" ht="15.75" customHeight="1">
      <c r="B164" s="136"/>
      <c r="E164" s="137"/>
      <c r="F164" s="208" t="s">
        <v>211</v>
      </c>
      <c r="G164" s="209"/>
      <c r="H164" s="209"/>
      <c r="I164" s="209"/>
      <c r="K164" s="137"/>
      <c r="N164" s="137"/>
      <c r="R164" s="138"/>
      <c r="T164" s="139"/>
      <c r="AA164" s="140"/>
      <c r="AT164" s="137" t="s">
        <v>158</v>
      </c>
      <c r="AU164" s="137" t="s">
        <v>103</v>
      </c>
      <c r="AV164" s="137" t="s">
        <v>21</v>
      </c>
      <c r="AW164" s="137" t="s">
        <v>113</v>
      </c>
      <c r="AX164" s="137" t="s">
        <v>82</v>
      </c>
      <c r="AY164" s="137" t="s">
        <v>151</v>
      </c>
    </row>
    <row r="165" spans="2:51" s="6" customFormat="1" ht="15.75" customHeight="1">
      <c r="B165" s="129"/>
      <c r="E165" s="130"/>
      <c r="F165" s="210" t="s">
        <v>212</v>
      </c>
      <c r="G165" s="211"/>
      <c r="H165" s="211"/>
      <c r="I165" s="211"/>
      <c r="K165" s="131">
        <v>856.14</v>
      </c>
      <c r="N165" s="130"/>
      <c r="R165" s="132"/>
      <c r="T165" s="133"/>
      <c r="AA165" s="134"/>
      <c r="AT165" s="130" t="s">
        <v>158</v>
      </c>
      <c r="AU165" s="130" t="s">
        <v>103</v>
      </c>
      <c r="AV165" s="130" t="s">
        <v>103</v>
      </c>
      <c r="AW165" s="130" t="s">
        <v>113</v>
      </c>
      <c r="AX165" s="130" t="s">
        <v>82</v>
      </c>
      <c r="AY165" s="130" t="s">
        <v>151</v>
      </c>
    </row>
    <row r="166" spans="2:51" s="6" customFormat="1" ht="27" customHeight="1">
      <c r="B166" s="136"/>
      <c r="E166" s="137"/>
      <c r="F166" s="208" t="s">
        <v>213</v>
      </c>
      <c r="G166" s="209"/>
      <c r="H166" s="209"/>
      <c r="I166" s="209"/>
      <c r="K166" s="137"/>
      <c r="N166" s="137"/>
      <c r="R166" s="138"/>
      <c r="T166" s="139"/>
      <c r="AA166" s="140"/>
      <c r="AT166" s="137" t="s">
        <v>158</v>
      </c>
      <c r="AU166" s="137" t="s">
        <v>103</v>
      </c>
      <c r="AV166" s="137" t="s">
        <v>21</v>
      </c>
      <c r="AW166" s="137" t="s">
        <v>113</v>
      </c>
      <c r="AX166" s="137" t="s">
        <v>82</v>
      </c>
      <c r="AY166" s="137" t="s">
        <v>151</v>
      </c>
    </row>
    <row r="167" spans="2:51" s="6" customFormat="1" ht="15.75" customHeight="1">
      <c r="B167" s="129"/>
      <c r="E167" s="130"/>
      <c r="F167" s="210" t="s">
        <v>214</v>
      </c>
      <c r="G167" s="211"/>
      <c r="H167" s="211"/>
      <c r="I167" s="211"/>
      <c r="K167" s="131">
        <v>35.32</v>
      </c>
      <c r="N167" s="130"/>
      <c r="R167" s="132"/>
      <c r="T167" s="133"/>
      <c r="AA167" s="134"/>
      <c r="AT167" s="130" t="s">
        <v>158</v>
      </c>
      <c r="AU167" s="130" t="s">
        <v>103</v>
      </c>
      <c r="AV167" s="130" t="s">
        <v>103</v>
      </c>
      <c r="AW167" s="130" t="s">
        <v>113</v>
      </c>
      <c r="AX167" s="130" t="s">
        <v>82</v>
      </c>
      <c r="AY167" s="130" t="s">
        <v>151</v>
      </c>
    </row>
    <row r="168" spans="2:64" s="6" customFormat="1" ht="27" customHeight="1">
      <c r="B168" s="22"/>
      <c r="C168" s="141" t="s">
        <v>215</v>
      </c>
      <c r="D168" s="141" t="s">
        <v>183</v>
      </c>
      <c r="E168" s="142" t="s">
        <v>194</v>
      </c>
      <c r="F168" s="217" t="s">
        <v>195</v>
      </c>
      <c r="G168" s="218"/>
      <c r="H168" s="218"/>
      <c r="I168" s="218"/>
      <c r="J168" s="143" t="s">
        <v>196</v>
      </c>
      <c r="K168" s="144">
        <v>179.789</v>
      </c>
      <c r="L168" s="219">
        <v>0</v>
      </c>
      <c r="M168" s="218"/>
      <c r="N168" s="220">
        <f>ROUND($L$168*$K$168,2)</f>
        <v>0</v>
      </c>
      <c r="O168" s="213"/>
      <c r="P168" s="213"/>
      <c r="Q168" s="213"/>
      <c r="R168" s="23"/>
      <c r="T168" s="126"/>
      <c r="U168" s="29" t="s">
        <v>47</v>
      </c>
      <c r="V168" s="127">
        <v>0</v>
      </c>
      <c r="W168" s="127">
        <f>$V$168*$K$168</f>
        <v>0</v>
      </c>
      <c r="X168" s="127">
        <v>1</v>
      </c>
      <c r="Y168" s="127">
        <f>$X$168*$K$168</f>
        <v>179.789</v>
      </c>
      <c r="Z168" s="127">
        <v>0</v>
      </c>
      <c r="AA168" s="128">
        <f>$Z$168*$K$168</f>
        <v>0</v>
      </c>
      <c r="AR168" s="6" t="s">
        <v>182</v>
      </c>
      <c r="AT168" s="6" t="s">
        <v>183</v>
      </c>
      <c r="AU168" s="6" t="s">
        <v>103</v>
      </c>
      <c r="AY168" s="6" t="s">
        <v>151</v>
      </c>
      <c r="BE168" s="82">
        <f>IF($U$168="základní",$N$168,0)</f>
        <v>0</v>
      </c>
      <c r="BF168" s="82">
        <f>IF($U$168="snížená",$N$168,0)</f>
        <v>0</v>
      </c>
      <c r="BG168" s="82">
        <f>IF($U$168="zákl. přenesená",$N$168,0)</f>
        <v>0</v>
      </c>
      <c r="BH168" s="82">
        <f>IF($U$168="sníž. přenesená",$N$168,0)</f>
        <v>0</v>
      </c>
      <c r="BI168" s="82">
        <f>IF($U$168="nulová",$N$168,0)</f>
        <v>0</v>
      </c>
      <c r="BJ168" s="6" t="s">
        <v>21</v>
      </c>
      <c r="BK168" s="82">
        <f>ROUND($L$168*$K$168,2)</f>
        <v>0</v>
      </c>
      <c r="BL168" s="6" t="s">
        <v>156</v>
      </c>
    </row>
    <row r="169" spans="2:47" s="6" customFormat="1" ht="44.25" customHeight="1">
      <c r="B169" s="22"/>
      <c r="F169" s="216" t="s">
        <v>216</v>
      </c>
      <c r="G169" s="173"/>
      <c r="H169" s="173"/>
      <c r="I169" s="173"/>
      <c r="R169" s="23"/>
      <c r="T169" s="57"/>
      <c r="AA169" s="58"/>
      <c r="AT169" s="6" t="s">
        <v>198</v>
      </c>
      <c r="AU169" s="6" t="s">
        <v>103</v>
      </c>
    </row>
    <row r="170" spans="2:51" s="6" customFormat="1" ht="15.75" customHeight="1">
      <c r="B170" s="136"/>
      <c r="E170" s="137"/>
      <c r="F170" s="208" t="s">
        <v>211</v>
      </c>
      <c r="G170" s="209"/>
      <c r="H170" s="209"/>
      <c r="I170" s="209"/>
      <c r="K170" s="137"/>
      <c r="N170" s="137"/>
      <c r="R170" s="138"/>
      <c r="T170" s="139"/>
      <c r="AA170" s="140"/>
      <c r="AT170" s="137" t="s">
        <v>158</v>
      </c>
      <c r="AU170" s="137" t="s">
        <v>103</v>
      </c>
      <c r="AV170" s="137" t="s">
        <v>21</v>
      </c>
      <c r="AW170" s="137" t="s">
        <v>113</v>
      </c>
      <c r="AX170" s="137" t="s">
        <v>82</v>
      </c>
      <c r="AY170" s="137" t="s">
        <v>151</v>
      </c>
    </row>
    <row r="171" spans="2:51" s="6" customFormat="1" ht="15.75" customHeight="1">
      <c r="B171" s="129"/>
      <c r="E171" s="130"/>
      <c r="F171" s="210" t="s">
        <v>212</v>
      </c>
      <c r="G171" s="211"/>
      <c r="H171" s="211"/>
      <c r="I171" s="211"/>
      <c r="K171" s="131">
        <v>856.14</v>
      </c>
      <c r="N171" s="130"/>
      <c r="R171" s="132"/>
      <c r="T171" s="133"/>
      <c r="AA171" s="134"/>
      <c r="AT171" s="130" t="s">
        <v>158</v>
      </c>
      <c r="AU171" s="130" t="s">
        <v>103</v>
      </c>
      <c r="AV171" s="130" t="s">
        <v>103</v>
      </c>
      <c r="AW171" s="130" t="s">
        <v>113</v>
      </c>
      <c r="AX171" s="130" t="s">
        <v>82</v>
      </c>
      <c r="AY171" s="130" t="s">
        <v>151</v>
      </c>
    </row>
    <row r="172" spans="2:64" s="6" customFormat="1" ht="15.75" customHeight="1">
      <c r="B172" s="22"/>
      <c r="C172" s="122" t="s">
        <v>217</v>
      </c>
      <c r="D172" s="122" t="s">
        <v>152</v>
      </c>
      <c r="E172" s="123" t="s">
        <v>218</v>
      </c>
      <c r="F172" s="212" t="s">
        <v>219</v>
      </c>
      <c r="G172" s="213"/>
      <c r="H172" s="213"/>
      <c r="I172" s="213"/>
      <c r="J172" s="124" t="s">
        <v>155</v>
      </c>
      <c r="K172" s="125">
        <v>891.46</v>
      </c>
      <c r="L172" s="214">
        <v>0</v>
      </c>
      <c r="M172" s="213"/>
      <c r="N172" s="215">
        <f>ROUND($L$172*$K$172,2)</f>
        <v>0</v>
      </c>
      <c r="O172" s="213"/>
      <c r="P172" s="213"/>
      <c r="Q172" s="213"/>
      <c r="R172" s="23"/>
      <c r="T172" s="126"/>
      <c r="U172" s="29" t="s">
        <v>47</v>
      </c>
      <c r="V172" s="127">
        <v>0.02</v>
      </c>
      <c r="W172" s="127">
        <f>$V$172*$K$172</f>
        <v>17.8292</v>
      </c>
      <c r="X172" s="127">
        <v>0.06185</v>
      </c>
      <c r="Y172" s="127">
        <f>$X$172*$K$172</f>
        <v>55.136801000000006</v>
      </c>
      <c r="Z172" s="127">
        <v>0</v>
      </c>
      <c r="AA172" s="128">
        <f>$Z$172*$K$172</f>
        <v>0</v>
      </c>
      <c r="AR172" s="6" t="s">
        <v>156</v>
      </c>
      <c r="AT172" s="6" t="s">
        <v>152</v>
      </c>
      <c r="AU172" s="6" t="s">
        <v>103</v>
      </c>
      <c r="AY172" s="6" t="s">
        <v>151</v>
      </c>
      <c r="BE172" s="82">
        <f>IF($U$172="základní",$N$172,0)</f>
        <v>0</v>
      </c>
      <c r="BF172" s="82">
        <f>IF($U$172="snížená",$N$172,0)</f>
        <v>0</v>
      </c>
      <c r="BG172" s="82">
        <f>IF($U$172="zákl. přenesená",$N$172,0)</f>
        <v>0</v>
      </c>
      <c r="BH172" s="82">
        <f>IF($U$172="sníž. přenesená",$N$172,0)</f>
        <v>0</v>
      </c>
      <c r="BI172" s="82">
        <f>IF($U$172="nulová",$N$172,0)</f>
        <v>0</v>
      </c>
      <c r="BJ172" s="6" t="s">
        <v>21</v>
      </c>
      <c r="BK172" s="82">
        <f>ROUND($L$172*$K$172,2)</f>
        <v>0</v>
      </c>
      <c r="BL172" s="6" t="s">
        <v>156</v>
      </c>
    </row>
    <row r="173" spans="2:64" s="6" customFormat="1" ht="15.75" customHeight="1">
      <c r="B173" s="22"/>
      <c r="C173" s="122" t="s">
        <v>220</v>
      </c>
      <c r="D173" s="122" t="s">
        <v>152</v>
      </c>
      <c r="E173" s="123" t="s">
        <v>221</v>
      </c>
      <c r="F173" s="212" t="s">
        <v>222</v>
      </c>
      <c r="G173" s="213"/>
      <c r="H173" s="213"/>
      <c r="I173" s="213"/>
      <c r="J173" s="124" t="s">
        <v>155</v>
      </c>
      <c r="K173" s="125">
        <v>856.14</v>
      </c>
      <c r="L173" s="214">
        <v>0</v>
      </c>
      <c r="M173" s="213"/>
      <c r="N173" s="215">
        <f>ROUND($L$173*$K$173,2)</f>
        <v>0</v>
      </c>
      <c r="O173" s="213"/>
      <c r="P173" s="213"/>
      <c r="Q173" s="213"/>
      <c r="R173" s="23"/>
      <c r="T173" s="126"/>
      <c r="U173" s="29" t="s">
        <v>47</v>
      </c>
      <c r="V173" s="127">
        <v>0.026</v>
      </c>
      <c r="W173" s="127">
        <f>$V$173*$K$173</f>
        <v>22.259639999999997</v>
      </c>
      <c r="X173" s="127">
        <v>0.27994</v>
      </c>
      <c r="Y173" s="127">
        <f>$X$173*$K$173</f>
        <v>239.66783160000003</v>
      </c>
      <c r="Z173" s="127">
        <v>0</v>
      </c>
      <c r="AA173" s="128">
        <f>$Z$173*$K$173</f>
        <v>0</v>
      </c>
      <c r="AR173" s="6" t="s">
        <v>156</v>
      </c>
      <c r="AT173" s="6" t="s">
        <v>152</v>
      </c>
      <c r="AU173" s="6" t="s">
        <v>103</v>
      </c>
      <c r="AY173" s="6" t="s">
        <v>151</v>
      </c>
      <c r="BE173" s="82">
        <f>IF($U$173="základní",$N$173,0)</f>
        <v>0</v>
      </c>
      <c r="BF173" s="82">
        <f>IF($U$173="snížená",$N$173,0)</f>
        <v>0</v>
      </c>
      <c r="BG173" s="82">
        <f>IF($U$173="zákl. přenesená",$N$173,0)</f>
        <v>0</v>
      </c>
      <c r="BH173" s="82">
        <f>IF($U$173="sníž. přenesená",$N$173,0)</f>
        <v>0</v>
      </c>
      <c r="BI173" s="82">
        <f>IF($U$173="nulová",$N$173,0)</f>
        <v>0</v>
      </c>
      <c r="BJ173" s="6" t="s">
        <v>21</v>
      </c>
      <c r="BK173" s="82">
        <f>ROUND($L$173*$K$173,2)</f>
        <v>0</v>
      </c>
      <c r="BL173" s="6" t="s">
        <v>156</v>
      </c>
    </row>
    <row r="174" spans="2:51" s="6" customFormat="1" ht="15.75" customHeight="1">
      <c r="B174" s="136"/>
      <c r="E174" s="137"/>
      <c r="F174" s="208" t="s">
        <v>211</v>
      </c>
      <c r="G174" s="209"/>
      <c r="H174" s="209"/>
      <c r="I174" s="209"/>
      <c r="K174" s="137"/>
      <c r="N174" s="137"/>
      <c r="R174" s="138"/>
      <c r="T174" s="139"/>
      <c r="AA174" s="140"/>
      <c r="AT174" s="137" t="s">
        <v>158</v>
      </c>
      <c r="AU174" s="137" t="s">
        <v>103</v>
      </c>
      <c r="AV174" s="137" t="s">
        <v>21</v>
      </c>
      <c r="AW174" s="137" t="s">
        <v>113</v>
      </c>
      <c r="AX174" s="137" t="s">
        <v>82</v>
      </c>
      <c r="AY174" s="137" t="s">
        <v>151</v>
      </c>
    </row>
    <row r="175" spans="2:51" s="6" customFormat="1" ht="15.75" customHeight="1">
      <c r="B175" s="129"/>
      <c r="E175" s="130"/>
      <c r="F175" s="210" t="s">
        <v>212</v>
      </c>
      <c r="G175" s="211"/>
      <c r="H175" s="211"/>
      <c r="I175" s="211"/>
      <c r="K175" s="131">
        <v>856.14</v>
      </c>
      <c r="N175" s="130"/>
      <c r="R175" s="132"/>
      <c r="T175" s="133"/>
      <c r="AA175" s="134"/>
      <c r="AT175" s="130" t="s">
        <v>158</v>
      </c>
      <c r="AU175" s="130" t="s">
        <v>103</v>
      </c>
      <c r="AV175" s="130" t="s">
        <v>103</v>
      </c>
      <c r="AW175" s="130" t="s">
        <v>113</v>
      </c>
      <c r="AX175" s="130" t="s">
        <v>82</v>
      </c>
      <c r="AY175" s="130" t="s">
        <v>151</v>
      </c>
    </row>
    <row r="176" spans="2:64" s="6" customFormat="1" ht="27" customHeight="1">
      <c r="B176" s="22"/>
      <c r="C176" s="122" t="s">
        <v>223</v>
      </c>
      <c r="D176" s="122" t="s">
        <v>152</v>
      </c>
      <c r="E176" s="123" t="s">
        <v>209</v>
      </c>
      <c r="F176" s="212" t="s">
        <v>210</v>
      </c>
      <c r="G176" s="213"/>
      <c r="H176" s="213"/>
      <c r="I176" s="213"/>
      <c r="J176" s="124" t="s">
        <v>155</v>
      </c>
      <c r="K176" s="125">
        <v>856.14</v>
      </c>
      <c r="L176" s="214">
        <v>0</v>
      </c>
      <c r="M176" s="213"/>
      <c r="N176" s="215">
        <f>ROUND($L$176*$K$176,2)</f>
        <v>0</v>
      </c>
      <c r="O176" s="213"/>
      <c r="P176" s="213"/>
      <c r="Q176" s="213"/>
      <c r="R176" s="23"/>
      <c r="T176" s="126"/>
      <c r="U176" s="29" t="s">
        <v>47</v>
      </c>
      <c r="V176" s="127">
        <v>0.08</v>
      </c>
      <c r="W176" s="127">
        <f>$V$176*$K$176</f>
        <v>68.4912</v>
      </c>
      <c r="X176" s="127">
        <v>0.00069</v>
      </c>
      <c r="Y176" s="127">
        <f>$X$176*$K$176</f>
        <v>0.5907366</v>
      </c>
      <c r="Z176" s="127">
        <v>0</v>
      </c>
      <c r="AA176" s="128">
        <f>$Z$176*$K$176</f>
        <v>0</v>
      </c>
      <c r="AR176" s="6" t="s">
        <v>156</v>
      </c>
      <c r="AT176" s="6" t="s">
        <v>152</v>
      </c>
      <c r="AU176" s="6" t="s">
        <v>103</v>
      </c>
      <c r="AY176" s="6" t="s">
        <v>151</v>
      </c>
      <c r="BE176" s="82">
        <f>IF($U$176="základní",$N$176,0)</f>
        <v>0</v>
      </c>
      <c r="BF176" s="82">
        <f>IF($U$176="snížená",$N$176,0)</f>
        <v>0</v>
      </c>
      <c r="BG176" s="82">
        <f>IF($U$176="zákl. přenesená",$N$176,0)</f>
        <v>0</v>
      </c>
      <c r="BH176" s="82">
        <f>IF($U$176="sníž. přenesená",$N$176,0)</f>
        <v>0</v>
      </c>
      <c r="BI176" s="82">
        <f>IF($U$176="nulová",$N$176,0)</f>
        <v>0</v>
      </c>
      <c r="BJ176" s="6" t="s">
        <v>21</v>
      </c>
      <c r="BK176" s="82">
        <f>ROUND($L$176*$K$176,2)</f>
        <v>0</v>
      </c>
      <c r="BL176" s="6" t="s">
        <v>156</v>
      </c>
    </row>
    <row r="177" spans="2:63" s="113" customFormat="1" ht="30.75" customHeight="1">
      <c r="B177" s="114"/>
      <c r="D177" s="135" t="s">
        <v>118</v>
      </c>
      <c r="N177" s="206">
        <f>$BK$177</f>
        <v>0</v>
      </c>
      <c r="O177" s="207"/>
      <c r="P177" s="207"/>
      <c r="Q177" s="207"/>
      <c r="R177" s="117"/>
      <c r="T177" s="118"/>
      <c r="W177" s="119">
        <f>SUM($W$178:$W$186)</f>
        <v>96.25875</v>
      </c>
      <c r="Y177" s="119">
        <f>SUM($Y$178:$Y$186)</f>
        <v>51.9966825</v>
      </c>
      <c r="AA177" s="120">
        <f>SUM($AA$178:$AA$186)</f>
        <v>0</v>
      </c>
      <c r="AR177" s="116" t="s">
        <v>21</v>
      </c>
      <c r="AT177" s="116" t="s">
        <v>81</v>
      </c>
      <c r="AU177" s="116" t="s">
        <v>21</v>
      </c>
      <c r="AY177" s="116" t="s">
        <v>151</v>
      </c>
      <c r="BK177" s="121">
        <f>SUM($BK$178:$BK$186)</f>
        <v>0</v>
      </c>
    </row>
    <row r="178" spans="2:64" s="6" customFormat="1" ht="39" customHeight="1">
      <c r="B178" s="22"/>
      <c r="C178" s="122" t="s">
        <v>224</v>
      </c>
      <c r="D178" s="122" t="s">
        <v>152</v>
      </c>
      <c r="E178" s="123" t="s">
        <v>225</v>
      </c>
      <c r="F178" s="212" t="s">
        <v>226</v>
      </c>
      <c r="G178" s="213"/>
      <c r="H178" s="213"/>
      <c r="I178" s="213"/>
      <c r="J178" s="124" t="s">
        <v>155</v>
      </c>
      <c r="K178" s="125">
        <v>99.75</v>
      </c>
      <c r="L178" s="214">
        <v>0</v>
      </c>
      <c r="M178" s="213"/>
      <c r="N178" s="215">
        <f>ROUND($L$178*$K$178,2)</f>
        <v>0</v>
      </c>
      <c r="O178" s="213"/>
      <c r="P178" s="213"/>
      <c r="Q178" s="213"/>
      <c r="R178" s="23"/>
      <c r="T178" s="126"/>
      <c r="U178" s="29" t="s">
        <v>47</v>
      </c>
      <c r="V178" s="127">
        <v>0.765</v>
      </c>
      <c r="W178" s="127">
        <f>$V$178*$K$178</f>
        <v>76.30875</v>
      </c>
      <c r="X178" s="127">
        <v>0.1461</v>
      </c>
      <c r="Y178" s="127">
        <f>$X$178*$K$178</f>
        <v>14.573475</v>
      </c>
      <c r="Z178" s="127">
        <v>0</v>
      </c>
      <c r="AA178" s="128">
        <f>$Z$178*$K$178</f>
        <v>0</v>
      </c>
      <c r="AR178" s="6" t="s">
        <v>156</v>
      </c>
      <c r="AT178" s="6" t="s">
        <v>152</v>
      </c>
      <c r="AU178" s="6" t="s">
        <v>103</v>
      </c>
      <c r="AY178" s="6" t="s">
        <v>151</v>
      </c>
      <c r="BE178" s="82">
        <f>IF($U$178="základní",$N$178,0)</f>
        <v>0</v>
      </c>
      <c r="BF178" s="82">
        <f>IF($U$178="snížená",$N$178,0)</f>
        <v>0</v>
      </c>
      <c r="BG178" s="82">
        <f>IF($U$178="zákl. přenesená",$N$178,0)</f>
        <v>0</v>
      </c>
      <c r="BH178" s="82">
        <f>IF($U$178="sníž. přenesená",$N$178,0)</f>
        <v>0</v>
      </c>
      <c r="BI178" s="82">
        <f>IF($U$178="nulová",$N$178,0)</f>
        <v>0</v>
      </c>
      <c r="BJ178" s="6" t="s">
        <v>21</v>
      </c>
      <c r="BK178" s="82">
        <f>ROUND($L$178*$K$178,2)</f>
        <v>0</v>
      </c>
      <c r="BL178" s="6" t="s">
        <v>156</v>
      </c>
    </row>
    <row r="179" spans="2:51" s="6" customFormat="1" ht="27" customHeight="1">
      <c r="B179" s="136"/>
      <c r="E179" s="137"/>
      <c r="F179" s="208" t="s">
        <v>227</v>
      </c>
      <c r="G179" s="209"/>
      <c r="H179" s="209"/>
      <c r="I179" s="209"/>
      <c r="K179" s="137"/>
      <c r="N179" s="137"/>
      <c r="R179" s="138"/>
      <c r="T179" s="139"/>
      <c r="AA179" s="140"/>
      <c r="AT179" s="137" t="s">
        <v>158</v>
      </c>
      <c r="AU179" s="137" t="s">
        <v>103</v>
      </c>
      <c r="AV179" s="137" t="s">
        <v>21</v>
      </c>
      <c r="AW179" s="137" t="s">
        <v>113</v>
      </c>
      <c r="AX179" s="137" t="s">
        <v>82</v>
      </c>
      <c r="AY179" s="137" t="s">
        <v>151</v>
      </c>
    </row>
    <row r="180" spans="2:51" s="6" customFormat="1" ht="15.75" customHeight="1">
      <c r="B180" s="129"/>
      <c r="E180" s="130"/>
      <c r="F180" s="210" t="s">
        <v>228</v>
      </c>
      <c r="G180" s="211"/>
      <c r="H180" s="211"/>
      <c r="I180" s="211"/>
      <c r="K180" s="131">
        <v>37.56</v>
      </c>
      <c r="N180" s="130"/>
      <c r="R180" s="132"/>
      <c r="T180" s="133"/>
      <c r="AA180" s="134"/>
      <c r="AT180" s="130" t="s">
        <v>158</v>
      </c>
      <c r="AU180" s="130" t="s">
        <v>103</v>
      </c>
      <c r="AV180" s="130" t="s">
        <v>103</v>
      </c>
      <c r="AW180" s="130" t="s">
        <v>113</v>
      </c>
      <c r="AX180" s="130" t="s">
        <v>82</v>
      </c>
      <c r="AY180" s="130" t="s">
        <v>151</v>
      </c>
    </row>
    <row r="181" spans="2:51" s="6" customFormat="1" ht="27" customHeight="1">
      <c r="B181" s="136"/>
      <c r="E181" s="137"/>
      <c r="F181" s="208" t="s">
        <v>229</v>
      </c>
      <c r="G181" s="209"/>
      <c r="H181" s="209"/>
      <c r="I181" s="209"/>
      <c r="K181" s="137"/>
      <c r="N181" s="137"/>
      <c r="R181" s="138"/>
      <c r="T181" s="139"/>
      <c r="AA181" s="140"/>
      <c r="AT181" s="137" t="s">
        <v>158</v>
      </c>
      <c r="AU181" s="137" t="s">
        <v>103</v>
      </c>
      <c r="AV181" s="137" t="s">
        <v>21</v>
      </c>
      <c r="AW181" s="137" t="s">
        <v>113</v>
      </c>
      <c r="AX181" s="137" t="s">
        <v>82</v>
      </c>
      <c r="AY181" s="137" t="s">
        <v>151</v>
      </c>
    </row>
    <row r="182" spans="2:51" s="6" customFormat="1" ht="15.75" customHeight="1">
      <c r="B182" s="129"/>
      <c r="E182" s="130"/>
      <c r="F182" s="210" t="s">
        <v>230</v>
      </c>
      <c r="G182" s="211"/>
      <c r="H182" s="211"/>
      <c r="I182" s="211"/>
      <c r="K182" s="131">
        <v>62.19</v>
      </c>
      <c r="N182" s="130"/>
      <c r="R182" s="132"/>
      <c r="T182" s="133"/>
      <c r="AA182" s="134"/>
      <c r="AT182" s="130" t="s">
        <v>158</v>
      </c>
      <c r="AU182" s="130" t="s">
        <v>103</v>
      </c>
      <c r="AV182" s="130" t="s">
        <v>103</v>
      </c>
      <c r="AW182" s="130" t="s">
        <v>113</v>
      </c>
      <c r="AX182" s="130" t="s">
        <v>82</v>
      </c>
      <c r="AY182" s="130" t="s">
        <v>151</v>
      </c>
    </row>
    <row r="183" spans="2:64" s="6" customFormat="1" ht="27" customHeight="1">
      <c r="B183" s="22"/>
      <c r="C183" s="141" t="s">
        <v>7</v>
      </c>
      <c r="D183" s="141" t="s">
        <v>183</v>
      </c>
      <c r="E183" s="142" t="s">
        <v>231</v>
      </c>
      <c r="F183" s="217" t="s">
        <v>232</v>
      </c>
      <c r="G183" s="218"/>
      <c r="H183" s="218"/>
      <c r="I183" s="218"/>
      <c r="J183" s="143" t="s">
        <v>155</v>
      </c>
      <c r="K183" s="144">
        <v>104.738</v>
      </c>
      <c r="L183" s="219">
        <v>0</v>
      </c>
      <c r="M183" s="218"/>
      <c r="N183" s="220">
        <f>ROUND($L$183*$K$183,2)</f>
        <v>0</v>
      </c>
      <c r="O183" s="213"/>
      <c r="P183" s="213"/>
      <c r="Q183" s="213"/>
      <c r="R183" s="23"/>
      <c r="T183" s="126"/>
      <c r="U183" s="29" t="s">
        <v>47</v>
      </c>
      <c r="V183" s="127">
        <v>0</v>
      </c>
      <c r="W183" s="127">
        <f>$V$183*$K$183</f>
        <v>0</v>
      </c>
      <c r="X183" s="127">
        <v>0</v>
      </c>
      <c r="Y183" s="127">
        <f>$X$183*$K$183</f>
        <v>0</v>
      </c>
      <c r="Z183" s="127">
        <v>0</v>
      </c>
      <c r="AA183" s="128">
        <f>$Z$183*$K$183</f>
        <v>0</v>
      </c>
      <c r="AR183" s="6" t="s">
        <v>182</v>
      </c>
      <c r="AT183" s="6" t="s">
        <v>183</v>
      </c>
      <c r="AU183" s="6" t="s">
        <v>103</v>
      </c>
      <c r="AY183" s="6" t="s">
        <v>151</v>
      </c>
      <c r="BE183" s="82">
        <f>IF($U$183="základní",$N$183,0)</f>
        <v>0</v>
      </c>
      <c r="BF183" s="82">
        <f>IF($U$183="snížená",$N$183,0)</f>
        <v>0</v>
      </c>
      <c r="BG183" s="82">
        <f>IF($U$183="zákl. přenesená",$N$183,0)</f>
        <v>0</v>
      </c>
      <c r="BH183" s="82">
        <f>IF($U$183="sníž. přenesená",$N$183,0)</f>
        <v>0</v>
      </c>
      <c r="BI183" s="82">
        <f>IF($U$183="nulová",$N$183,0)</f>
        <v>0</v>
      </c>
      <c r="BJ183" s="6" t="s">
        <v>21</v>
      </c>
      <c r="BK183" s="82">
        <f>ROUND($L$183*$K$183,2)</f>
        <v>0</v>
      </c>
      <c r="BL183" s="6" t="s">
        <v>156</v>
      </c>
    </row>
    <row r="184" spans="2:64" s="6" customFormat="1" ht="27" customHeight="1">
      <c r="B184" s="22"/>
      <c r="C184" s="122" t="s">
        <v>233</v>
      </c>
      <c r="D184" s="122" t="s">
        <v>152</v>
      </c>
      <c r="E184" s="123" t="s">
        <v>234</v>
      </c>
      <c r="F184" s="212" t="s">
        <v>235</v>
      </c>
      <c r="G184" s="213"/>
      <c r="H184" s="213"/>
      <c r="I184" s="213"/>
      <c r="J184" s="124" t="s">
        <v>155</v>
      </c>
      <c r="K184" s="125">
        <v>99.75</v>
      </c>
      <c r="L184" s="214">
        <v>0</v>
      </c>
      <c r="M184" s="213"/>
      <c r="N184" s="215">
        <f>ROUND($L$184*$K$184,2)</f>
        <v>0</v>
      </c>
      <c r="O184" s="213"/>
      <c r="P184" s="213"/>
      <c r="Q184" s="213"/>
      <c r="R184" s="23"/>
      <c r="T184" s="126"/>
      <c r="U184" s="29" t="s">
        <v>47</v>
      </c>
      <c r="V184" s="127">
        <v>0.094</v>
      </c>
      <c r="W184" s="127">
        <f>$V$184*$K$184</f>
        <v>9.3765</v>
      </c>
      <c r="X184" s="127">
        <v>0.09454</v>
      </c>
      <c r="Y184" s="127">
        <f>$X$184*$K$184</f>
        <v>9.430365</v>
      </c>
      <c r="Z184" s="127">
        <v>0</v>
      </c>
      <c r="AA184" s="128">
        <f>$Z$184*$K$184</f>
        <v>0</v>
      </c>
      <c r="AR184" s="6" t="s">
        <v>156</v>
      </c>
      <c r="AT184" s="6" t="s">
        <v>152</v>
      </c>
      <c r="AU184" s="6" t="s">
        <v>103</v>
      </c>
      <c r="AY184" s="6" t="s">
        <v>151</v>
      </c>
      <c r="BE184" s="82">
        <f>IF($U$184="základní",$N$184,0)</f>
        <v>0</v>
      </c>
      <c r="BF184" s="82">
        <f>IF($U$184="snížená",$N$184,0)</f>
        <v>0</v>
      </c>
      <c r="BG184" s="82">
        <f>IF($U$184="zákl. přenesená",$N$184,0)</f>
        <v>0</v>
      </c>
      <c r="BH184" s="82">
        <f>IF($U$184="sníž. přenesená",$N$184,0)</f>
        <v>0</v>
      </c>
      <c r="BI184" s="82">
        <f>IF($U$184="nulová",$N$184,0)</f>
        <v>0</v>
      </c>
      <c r="BJ184" s="6" t="s">
        <v>21</v>
      </c>
      <c r="BK184" s="82">
        <f>ROUND($L$184*$K$184,2)</f>
        <v>0</v>
      </c>
      <c r="BL184" s="6" t="s">
        <v>156</v>
      </c>
    </row>
    <row r="185" spans="2:64" s="6" customFormat="1" ht="15.75" customHeight="1">
      <c r="B185" s="22"/>
      <c r="C185" s="122" t="s">
        <v>236</v>
      </c>
      <c r="D185" s="122" t="s">
        <v>152</v>
      </c>
      <c r="E185" s="123" t="s">
        <v>221</v>
      </c>
      <c r="F185" s="212" t="s">
        <v>222</v>
      </c>
      <c r="G185" s="213"/>
      <c r="H185" s="213"/>
      <c r="I185" s="213"/>
      <c r="J185" s="124" t="s">
        <v>155</v>
      </c>
      <c r="K185" s="125">
        <v>99.75</v>
      </c>
      <c r="L185" s="214">
        <v>0</v>
      </c>
      <c r="M185" s="213"/>
      <c r="N185" s="215">
        <f>ROUND($L$185*$K$185,2)</f>
        <v>0</v>
      </c>
      <c r="O185" s="213"/>
      <c r="P185" s="213"/>
      <c r="Q185" s="213"/>
      <c r="R185" s="23"/>
      <c r="T185" s="126"/>
      <c r="U185" s="29" t="s">
        <v>47</v>
      </c>
      <c r="V185" s="127">
        <v>0.026</v>
      </c>
      <c r="W185" s="127">
        <f>$V$185*$K$185</f>
        <v>2.5934999999999997</v>
      </c>
      <c r="X185" s="127">
        <v>0.27994</v>
      </c>
      <c r="Y185" s="127">
        <f>$X$185*$K$185</f>
        <v>27.924015</v>
      </c>
      <c r="Z185" s="127">
        <v>0</v>
      </c>
      <c r="AA185" s="128">
        <f>$Z$185*$K$185</f>
        <v>0</v>
      </c>
      <c r="AR185" s="6" t="s">
        <v>156</v>
      </c>
      <c r="AT185" s="6" t="s">
        <v>152</v>
      </c>
      <c r="AU185" s="6" t="s">
        <v>103</v>
      </c>
      <c r="AY185" s="6" t="s">
        <v>151</v>
      </c>
      <c r="BE185" s="82">
        <f>IF($U$185="základní",$N$185,0)</f>
        <v>0</v>
      </c>
      <c r="BF185" s="82">
        <f>IF($U$185="snížená",$N$185,0)</f>
        <v>0</v>
      </c>
      <c r="BG185" s="82">
        <f>IF($U$185="zákl. přenesená",$N$185,0)</f>
        <v>0</v>
      </c>
      <c r="BH185" s="82">
        <f>IF($U$185="sníž. přenesená",$N$185,0)</f>
        <v>0</v>
      </c>
      <c r="BI185" s="82">
        <f>IF($U$185="nulová",$N$185,0)</f>
        <v>0</v>
      </c>
      <c r="BJ185" s="6" t="s">
        <v>21</v>
      </c>
      <c r="BK185" s="82">
        <f>ROUND($L$185*$K$185,2)</f>
        <v>0</v>
      </c>
      <c r="BL185" s="6" t="s">
        <v>156</v>
      </c>
    </row>
    <row r="186" spans="2:64" s="6" customFormat="1" ht="27" customHeight="1">
      <c r="B186" s="22"/>
      <c r="C186" s="122" t="s">
        <v>237</v>
      </c>
      <c r="D186" s="122" t="s">
        <v>152</v>
      </c>
      <c r="E186" s="123" t="s">
        <v>209</v>
      </c>
      <c r="F186" s="212" t="s">
        <v>210</v>
      </c>
      <c r="G186" s="213"/>
      <c r="H186" s="213"/>
      <c r="I186" s="213"/>
      <c r="J186" s="124" t="s">
        <v>155</v>
      </c>
      <c r="K186" s="125">
        <v>99.75</v>
      </c>
      <c r="L186" s="214">
        <v>0</v>
      </c>
      <c r="M186" s="213"/>
      <c r="N186" s="215">
        <f>ROUND($L$186*$K$186,2)</f>
        <v>0</v>
      </c>
      <c r="O186" s="213"/>
      <c r="P186" s="213"/>
      <c r="Q186" s="213"/>
      <c r="R186" s="23"/>
      <c r="T186" s="126"/>
      <c r="U186" s="29" t="s">
        <v>47</v>
      </c>
      <c r="V186" s="127">
        <v>0.08</v>
      </c>
      <c r="W186" s="127">
        <f>$V$186*$K$186</f>
        <v>7.98</v>
      </c>
      <c r="X186" s="127">
        <v>0.00069</v>
      </c>
      <c r="Y186" s="127">
        <f>$X$186*$K$186</f>
        <v>0.0688275</v>
      </c>
      <c r="Z186" s="127">
        <v>0</v>
      </c>
      <c r="AA186" s="128">
        <f>$Z$186*$K$186</f>
        <v>0</v>
      </c>
      <c r="AR186" s="6" t="s">
        <v>156</v>
      </c>
      <c r="AT186" s="6" t="s">
        <v>152</v>
      </c>
      <c r="AU186" s="6" t="s">
        <v>103</v>
      </c>
      <c r="AY186" s="6" t="s">
        <v>151</v>
      </c>
      <c r="BE186" s="82">
        <f>IF($U$186="základní",$N$186,0)</f>
        <v>0</v>
      </c>
      <c r="BF186" s="82">
        <f>IF($U$186="snížená",$N$186,0)</f>
        <v>0</v>
      </c>
      <c r="BG186" s="82">
        <f>IF($U$186="zákl. přenesená",$N$186,0)</f>
        <v>0</v>
      </c>
      <c r="BH186" s="82">
        <f>IF($U$186="sníž. přenesená",$N$186,0)</f>
        <v>0</v>
      </c>
      <c r="BI186" s="82">
        <f>IF($U$186="nulová",$N$186,0)</f>
        <v>0</v>
      </c>
      <c r="BJ186" s="6" t="s">
        <v>21</v>
      </c>
      <c r="BK186" s="82">
        <f>ROUND($L$186*$K$186,2)</f>
        <v>0</v>
      </c>
      <c r="BL186" s="6" t="s">
        <v>156</v>
      </c>
    </row>
    <row r="187" spans="2:63" s="113" customFormat="1" ht="30.75" customHeight="1">
      <c r="B187" s="114"/>
      <c r="D187" s="135" t="s">
        <v>119</v>
      </c>
      <c r="N187" s="206">
        <f>$BK$187</f>
        <v>0</v>
      </c>
      <c r="O187" s="207"/>
      <c r="P187" s="207"/>
      <c r="Q187" s="207"/>
      <c r="R187" s="117"/>
      <c r="T187" s="118"/>
      <c r="W187" s="119">
        <f>SUM($W$188:$W$196)</f>
        <v>73.99556000000001</v>
      </c>
      <c r="Y187" s="119">
        <f>SUM($Y$188:$Y$196)</f>
        <v>39.9691917</v>
      </c>
      <c r="AA187" s="120">
        <f>SUM($AA$188:$AA$196)</f>
        <v>0</v>
      </c>
      <c r="AR187" s="116" t="s">
        <v>21</v>
      </c>
      <c r="AT187" s="116" t="s">
        <v>81</v>
      </c>
      <c r="AU187" s="116" t="s">
        <v>21</v>
      </c>
      <c r="AY187" s="116" t="s">
        <v>151</v>
      </c>
      <c r="BK187" s="121">
        <f>SUM($BK$188:$BK$196)</f>
        <v>0</v>
      </c>
    </row>
    <row r="188" spans="2:64" s="6" customFormat="1" ht="27" customHeight="1">
      <c r="B188" s="22"/>
      <c r="C188" s="122" t="s">
        <v>238</v>
      </c>
      <c r="D188" s="122" t="s">
        <v>152</v>
      </c>
      <c r="E188" s="123" t="s">
        <v>239</v>
      </c>
      <c r="F188" s="212" t="s">
        <v>240</v>
      </c>
      <c r="G188" s="213"/>
      <c r="H188" s="213"/>
      <c r="I188" s="213"/>
      <c r="J188" s="124" t="s">
        <v>155</v>
      </c>
      <c r="K188" s="125">
        <v>64.01</v>
      </c>
      <c r="L188" s="214">
        <v>0</v>
      </c>
      <c r="M188" s="213"/>
      <c r="N188" s="215">
        <f>ROUND($L$188*$K$188,2)</f>
        <v>0</v>
      </c>
      <c r="O188" s="213"/>
      <c r="P188" s="213"/>
      <c r="Q188" s="213"/>
      <c r="R188" s="23"/>
      <c r="T188" s="126"/>
      <c r="U188" s="29" t="s">
        <v>47</v>
      </c>
      <c r="V188" s="127">
        <v>0.956</v>
      </c>
      <c r="W188" s="127">
        <f>$V$188*$K$188</f>
        <v>61.193560000000005</v>
      </c>
      <c r="X188" s="127">
        <v>0.1075</v>
      </c>
      <c r="Y188" s="127">
        <f>$X$188*$K$188</f>
        <v>6.881075</v>
      </c>
      <c r="Z188" s="127">
        <v>0</v>
      </c>
      <c r="AA188" s="128">
        <f>$Z$188*$K$188</f>
        <v>0</v>
      </c>
      <c r="AR188" s="6" t="s">
        <v>156</v>
      </c>
      <c r="AT188" s="6" t="s">
        <v>152</v>
      </c>
      <c r="AU188" s="6" t="s">
        <v>103</v>
      </c>
      <c r="AY188" s="6" t="s">
        <v>151</v>
      </c>
      <c r="BE188" s="82">
        <f>IF($U$188="základní",$N$188,0)</f>
        <v>0</v>
      </c>
      <c r="BF188" s="82">
        <f>IF($U$188="snížená",$N$188,0)</f>
        <v>0</v>
      </c>
      <c r="BG188" s="82">
        <f>IF($U$188="zákl. přenesená",$N$188,0)</f>
        <v>0</v>
      </c>
      <c r="BH188" s="82">
        <f>IF($U$188="sníž. přenesená",$N$188,0)</f>
        <v>0</v>
      </c>
      <c r="BI188" s="82">
        <f>IF($U$188="nulová",$N$188,0)</f>
        <v>0</v>
      </c>
      <c r="BJ188" s="6" t="s">
        <v>21</v>
      </c>
      <c r="BK188" s="82">
        <f>ROUND($L$188*$K$188,2)</f>
        <v>0</v>
      </c>
      <c r="BL188" s="6" t="s">
        <v>156</v>
      </c>
    </row>
    <row r="189" spans="2:51" s="6" customFormat="1" ht="27" customHeight="1">
      <c r="B189" s="136"/>
      <c r="E189" s="137"/>
      <c r="F189" s="208" t="s">
        <v>241</v>
      </c>
      <c r="G189" s="209"/>
      <c r="H189" s="209"/>
      <c r="I189" s="209"/>
      <c r="K189" s="137"/>
      <c r="N189" s="137"/>
      <c r="R189" s="138"/>
      <c r="T189" s="139"/>
      <c r="AA189" s="140"/>
      <c r="AT189" s="137" t="s">
        <v>158</v>
      </c>
      <c r="AU189" s="137" t="s">
        <v>103</v>
      </c>
      <c r="AV189" s="137" t="s">
        <v>21</v>
      </c>
      <c r="AW189" s="137" t="s">
        <v>113</v>
      </c>
      <c r="AX189" s="137" t="s">
        <v>82</v>
      </c>
      <c r="AY189" s="137" t="s">
        <v>151</v>
      </c>
    </row>
    <row r="190" spans="2:51" s="6" customFormat="1" ht="15.75" customHeight="1">
      <c r="B190" s="129"/>
      <c r="E190" s="130"/>
      <c r="F190" s="210" t="s">
        <v>242</v>
      </c>
      <c r="G190" s="211"/>
      <c r="H190" s="211"/>
      <c r="I190" s="211"/>
      <c r="K190" s="131">
        <v>28</v>
      </c>
      <c r="N190" s="130"/>
      <c r="R190" s="132"/>
      <c r="T190" s="133"/>
      <c r="AA190" s="134"/>
      <c r="AT190" s="130" t="s">
        <v>158</v>
      </c>
      <c r="AU190" s="130" t="s">
        <v>103</v>
      </c>
      <c r="AV190" s="130" t="s">
        <v>103</v>
      </c>
      <c r="AW190" s="130" t="s">
        <v>113</v>
      </c>
      <c r="AX190" s="130" t="s">
        <v>82</v>
      </c>
      <c r="AY190" s="130" t="s">
        <v>151</v>
      </c>
    </row>
    <row r="191" spans="2:51" s="6" customFormat="1" ht="27" customHeight="1">
      <c r="B191" s="136"/>
      <c r="E191" s="137"/>
      <c r="F191" s="208" t="s">
        <v>243</v>
      </c>
      <c r="G191" s="209"/>
      <c r="H191" s="209"/>
      <c r="I191" s="209"/>
      <c r="K191" s="137"/>
      <c r="N191" s="137"/>
      <c r="R191" s="138"/>
      <c r="T191" s="139"/>
      <c r="AA191" s="140"/>
      <c r="AT191" s="137" t="s">
        <v>158</v>
      </c>
      <c r="AU191" s="137" t="s">
        <v>103</v>
      </c>
      <c r="AV191" s="137" t="s">
        <v>21</v>
      </c>
      <c r="AW191" s="137" t="s">
        <v>113</v>
      </c>
      <c r="AX191" s="137" t="s">
        <v>82</v>
      </c>
      <c r="AY191" s="137" t="s">
        <v>151</v>
      </c>
    </row>
    <row r="192" spans="2:51" s="6" customFormat="1" ht="15.75" customHeight="1">
      <c r="B192" s="129"/>
      <c r="E192" s="130"/>
      <c r="F192" s="210" t="s">
        <v>244</v>
      </c>
      <c r="G192" s="211"/>
      <c r="H192" s="211"/>
      <c r="I192" s="211"/>
      <c r="K192" s="131">
        <v>36.01</v>
      </c>
      <c r="N192" s="130"/>
      <c r="R192" s="132"/>
      <c r="T192" s="133"/>
      <c r="AA192" s="134"/>
      <c r="AT192" s="130" t="s">
        <v>158</v>
      </c>
      <c r="AU192" s="130" t="s">
        <v>103</v>
      </c>
      <c r="AV192" s="130" t="s">
        <v>103</v>
      </c>
      <c r="AW192" s="130" t="s">
        <v>113</v>
      </c>
      <c r="AX192" s="130" t="s">
        <v>82</v>
      </c>
      <c r="AY192" s="130" t="s">
        <v>151</v>
      </c>
    </row>
    <row r="193" spans="2:64" s="6" customFormat="1" ht="15.75" customHeight="1">
      <c r="B193" s="22"/>
      <c r="C193" s="141" t="s">
        <v>245</v>
      </c>
      <c r="D193" s="141" t="s">
        <v>183</v>
      </c>
      <c r="E193" s="142" t="s">
        <v>246</v>
      </c>
      <c r="F193" s="217" t="s">
        <v>247</v>
      </c>
      <c r="G193" s="218"/>
      <c r="H193" s="218"/>
      <c r="I193" s="218"/>
      <c r="J193" s="143" t="s">
        <v>155</v>
      </c>
      <c r="K193" s="144">
        <v>67.211</v>
      </c>
      <c r="L193" s="219">
        <v>0</v>
      </c>
      <c r="M193" s="218"/>
      <c r="N193" s="220">
        <f>ROUND($L$193*$K$193,2)</f>
        <v>0</v>
      </c>
      <c r="O193" s="213"/>
      <c r="P193" s="213"/>
      <c r="Q193" s="213"/>
      <c r="R193" s="23"/>
      <c r="T193" s="126"/>
      <c r="U193" s="29" t="s">
        <v>47</v>
      </c>
      <c r="V193" s="127">
        <v>0</v>
      </c>
      <c r="W193" s="127">
        <f>$V$193*$K$193</f>
        <v>0</v>
      </c>
      <c r="X193" s="127">
        <v>0.135</v>
      </c>
      <c r="Y193" s="127">
        <f>$X$193*$K$193</f>
        <v>9.073485</v>
      </c>
      <c r="Z193" s="127">
        <v>0</v>
      </c>
      <c r="AA193" s="128">
        <f>$Z$193*$K$193</f>
        <v>0</v>
      </c>
      <c r="AR193" s="6" t="s">
        <v>182</v>
      </c>
      <c r="AT193" s="6" t="s">
        <v>183</v>
      </c>
      <c r="AU193" s="6" t="s">
        <v>103</v>
      </c>
      <c r="AY193" s="6" t="s">
        <v>151</v>
      </c>
      <c r="BE193" s="82">
        <f>IF($U$193="základní",$N$193,0)</f>
        <v>0</v>
      </c>
      <c r="BF193" s="82">
        <f>IF($U$193="snížená",$N$193,0)</f>
        <v>0</v>
      </c>
      <c r="BG193" s="82">
        <f>IF($U$193="zákl. přenesená",$N$193,0)</f>
        <v>0</v>
      </c>
      <c r="BH193" s="82">
        <f>IF($U$193="sníž. přenesená",$N$193,0)</f>
        <v>0</v>
      </c>
      <c r="BI193" s="82">
        <f>IF($U$193="nulová",$N$193,0)</f>
        <v>0</v>
      </c>
      <c r="BJ193" s="6" t="s">
        <v>21</v>
      </c>
      <c r="BK193" s="82">
        <f>ROUND($L$193*$K$193,2)</f>
        <v>0</v>
      </c>
      <c r="BL193" s="6" t="s">
        <v>156</v>
      </c>
    </row>
    <row r="194" spans="2:64" s="6" customFormat="1" ht="27" customHeight="1">
      <c r="B194" s="22"/>
      <c r="C194" s="122" t="s">
        <v>248</v>
      </c>
      <c r="D194" s="122" t="s">
        <v>152</v>
      </c>
      <c r="E194" s="123" t="s">
        <v>234</v>
      </c>
      <c r="F194" s="212" t="s">
        <v>235</v>
      </c>
      <c r="G194" s="213"/>
      <c r="H194" s="213"/>
      <c r="I194" s="213"/>
      <c r="J194" s="124" t="s">
        <v>155</v>
      </c>
      <c r="K194" s="125">
        <v>64.01</v>
      </c>
      <c r="L194" s="214">
        <v>0</v>
      </c>
      <c r="M194" s="213"/>
      <c r="N194" s="215">
        <f>ROUND($L$194*$K$194,2)</f>
        <v>0</v>
      </c>
      <c r="O194" s="213"/>
      <c r="P194" s="213"/>
      <c r="Q194" s="213"/>
      <c r="R194" s="23"/>
      <c r="T194" s="126"/>
      <c r="U194" s="29" t="s">
        <v>47</v>
      </c>
      <c r="V194" s="127">
        <v>0.094</v>
      </c>
      <c r="W194" s="127">
        <f>$V$194*$K$194</f>
        <v>6.016940000000001</v>
      </c>
      <c r="X194" s="127">
        <v>0.09454</v>
      </c>
      <c r="Y194" s="127">
        <f>$X$194*$K$194</f>
        <v>6.051505400000001</v>
      </c>
      <c r="Z194" s="127">
        <v>0</v>
      </c>
      <c r="AA194" s="128">
        <f>$Z$194*$K$194</f>
        <v>0</v>
      </c>
      <c r="AR194" s="6" t="s">
        <v>156</v>
      </c>
      <c r="AT194" s="6" t="s">
        <v>152</v>
      </c>
      <c r="AU194" s="6" t="s">
        <v>103</v>
      </c>
      <c r="AY194" s="6" t="s">
        <v>151</v>
      </c>
      <c r="BE194" s="82">
        <f>IF($U$194="základní",$N$194,0)</f>
        <v>0</v>
      </c>
      <c r="BF194" s="82">
        <f>IF($U$194="snížená",$N$194,0)</f>
        <v>0</v>
      </c>
      <c r="BG194" s="82">
        <f>IF($U$194="zákl. přenesená",$N$194,0)</f>
        <v>0</v>
      </c>
      <c r="BH194" s="82">
        <f>IF($U$194="sníž. přenesená",$N$194,0)</f>
        <v>0</v>
      </c>
      <c r="BI194" s="82">
        <f>IF($U$194="nulová",$N$194,0)</f>
        <v>0</v>
      </c>
      <c r="BJ194" s="6" t="s">
        <v>21</v>
      </c>
      <c r="BK194" s="82">
        <f>ROUND($L$194*$K$194,2)</f>
        <v>0</v>
      </c>
      <c r="BL194" s="6" t="s">
        <v>156</v>
      </c>
    </row>
    <row r="195" spans="2:64" s="6" customFormat="1" ht="15.75" customHeight="1">
      <c r="B195" s="22"/>
      <c r="C195" s="122" t="s">
        <v>242</v>
      </c>
      <c r="D195" s="122" t="s">
        <v>152</v>
      </c>
      <c r="E195" s="123" t="s">
        <v>221</v>
      </c>
      <c r="F195" s="212" t="s">
        <v>222</v>
      </c>
      <c r="G195" s="213"/>
      <c r="H195" s="213"/>
      <c r="I195" s="213"/>
      <c r="J195" s="124" t="s">
        <v>155</v>
      </c>
      <c r="K195" s="125">
        <v>64.01</v>
      </c>
      <c r="L195" s="214">
        <v>0</v>
      </c>
      <c r="M195" s="213"/>
      <c r="N195" s="215">
        <f>ROUND($L$195*$K$195,2)</f>
        <v>0</v>
      </c>
      <c r="O195" s="213"/>
      <c r="P195" s="213"/>
      <c r="Q195" s="213"/>
      <c r="R195" s="23"/>
      <c r="T195" s="126"/>
      <c r="U195" s="29" t="s">
        <v>47</v>
      </c>
      <c r="V195" s="127">
        <v>0.026</v>
      </c>
      <c r="W195" s="127">
        <f>$V$195*$K$195</f>
        <v>1.66426</v>
      </c>
      <c r="X195" s="127">
        <v>0.27994</v>
      </c>
      <c r="Y195" s="127">
        <f>$X$195*$K$195</f>
        <v>17.918959400000002</v>
      </c>
      <c r="Z195" s="127">
        <v>0</v>
      </c>
      <c r="AA195" s="128">
        <f>$Z$195*$K$195</f>
        <v>0</v>
      </c>
      <c r="AR195" s="6" t="s">
        <v>156</v>
      </c>
      <c r="AT195" s="6" t="s">
        <v>152</v>
      </c>
      <c r="AU195" s="6" t="s">
        <v>103</v>
      </c>
      <c r="AY195" s="6" t="s">
        <v>151</v>
      </c>
      <c r="BE195" s="82">
        <f>IF($U$195="základní",$N$195,0)</f>
        <v>0</v>
      </c>
      <c r="BF195" s="82">
        <f>IF($U$195="snížená",$N$195,0)</f>
        <v>0</v>
      </c>
      <c r="BG195" s="82">
        <f>IF($U$195="zákl. přenesená",$N$195,0)</f>
        <v>0</v>
      </c>
      <c r="BH195" s="82">
        <f>IF($U$195="sníž. přenesená",$N$195,0)</f>
        <v>0</v>
      </c>
      <c r="BI195" s="82">
        <f>IF($U$195="nulová",$N$195,0)</f>
        <v>0</v>
      </c>
      <c r="BJ195" s="6" t="s">
        <v>21</v>
      </c>
      <c r="BK195" s="82">
        <f>ROUND($L$195*$K$195,2)</f>
        <v>0</v>
      </c>
      <c r="BL195" s="6" t="s">
        <v>156</v>
      </c>
    </row>
    <row r="196" spans="2:64" s="6" customFormat="1" ht="27" customHeight="1">
      <c r="B196" s="22"/>
      <c r="C196" s="122" t="s">
        <v>249</v>
      </c>
      <c r="D196" s="122" t="s">
        <v>152</v>
      </c>
      <c r="E196" s="123" t="s">
        <v>209</v>
      </c>
      <c r="F196" s="212" t="s">
        <v>210</v>
      </c>
      <c r="G196" s="213"/>
      <c r="H196" s="213"/>
      <c r="I196" s="213"/>
      <c r="J196" s="124" t="s">
        <v>155</v>
      </c>
      <c r="K196" s="125">
        <v>64.01</v>
      </c>
      <c r="L196" s="214">
        <v>0</v>
      </c>
      <c r="M196" s="213"/>
      <c r="N196" s="215">
        <f>ROUND($L$196*$K$196,2)</f>
        <v>0</v>
      </c>
      <c r="O196" s="213"/>
      <c r="P196" s="213"/>
      <c r="Q196" s="213"/>
      <c r="R196" s="23"/>
      <c r="T196" s="126"/>
      <c r="U196" s="29" t="s">
        <v>47</v>
      </c>
      <c r="V196" s="127">
        <v>0.08</v>
      </c>
      <c r="W196" s="127">
        <f>$V$196*$K$196</f>
        <v>5.120800000000001</v>
      </c>
      <c r="X196" s="127">
        <v>0.00069</v>
      </c>
      <c r="Y196" s="127">
        <f>$X$196*$K$196</f>
        <v>0.0441669</v>
      </c>
      <c r="Z196" s="127">
        <v>0</v>
      </c>
      <c r="AA196" s="128">
        <f>$Z$196*$K$196</f>
        <v>0</v>
      </c>
      <c r="AR196" s="6" t="s">
        <v>156</v>
      </c>
      <c r="AT196" s="6" t="s">
        <v>152</v>
      </c>
      <c r="AU196" s="6" t="s">
        <v>103</v>
      </c>
      <c r="AY196" s="6" t="s">
        <v>151</v>
      </c>
      <c r="BE196" s="82">
        <f>IF($U$196="základní",$N$196,0)</f>
        <v>0</v>
      </c>
      <c r="BF196" s="82">
        <f>IF($U$196="snížená",$N$196,0)</f>
        <v>0</v>
      </c>
      <c r="BG196" s="82">
        <f>IF($U$196="zákl. přenesená",$N$196,0)</f>
        <v>0</v>
      </c>
      <c r="BH196" s="82">
        <f>IF($U$196="sníž. přenesená",$N$196,0)</f>
        <v>0</v>
      </c>
      <c r="BI196" s="82">
        <f>IF($U$196="nulová",$N$196,0)</f>
        <v>0</v>
      </c>
      <c r="BJ196" s="6" t="s">
        <v>21</v>
      </c>
      <c r="BK196" s="82">
        <f>ROUND($L$196*$K$196,2)</f>
        <v>0</v>
      </c>
      <c r="BL196" s="6" t="s">
        <v>156</v>
      </c>
    </row>
    <row r="197" spans="2:63" s="113" customFormat="1" ht="30.75" customHeight="1">
      <c r="B197" s="114"/>
      <c r="D197" s="135" t="s">
        <v>120</v>
      </c>
      <c r="N197" s="206">
        <f>$BK$197</f>
        <v>0</v>
      </c>
      <c r="O197" s="207"/>
      <c r="P197" s="207"/>
      <c r="Q197" s="207"/>
      <c r="R197" s="117"/>
      <c r="T197" s="118"/>
      <c r="W197" s="119">
        <f>SUM($W$198:$W$201)</f>
        <v>7.050999999999998</v>
      </c>
      <c r="Y197" s="119">
        <f>SUM($Y$198:$Y$201)</f>
        <v>13.098514499999999</v>
      </c>
      <c r="AA197" s="120">
        <f>SUM($AA$198:$AA$201)</f>
        <v>0</v>
      </c>
      <c r="AR197" s="116" t="s">
        <v>21</v>
      </c>
      <c r="AT197" s="116" t="s">
        <v>81</v>
      </c>
      <c r="AU197" s="116" t="s">
        <v>21</v>
      </c>
      <c r="AY197" s="116" t="s">
        <v>151</v>
      </c>
      <c r="BK197" s="121">
        <f>SUM($BK$198:$BK$201)</f>
        <v>0</v>
      </c>
    </row>
    <row r="198" spans="2:64" s="6" customFormat="1" ht="27" customHeight="1">
      <c r="B198" s="22"/>
      <c r="C198" s="122" t="s">
        <v>250</v>
      </c>
      <c r="D198" s="122" t="s">
        <v>152</v>
      </c>
      <c r="E198" s="123" t="s">
        <v>251</v>
      </c>
      <c r="F198" s="212" t="s">
        <v>252</v>
      </c>
      <c r="G198" s="213"/>
      <c r="H198" s="213"/>
      <c r="I198" s="213"/>
      <c r="J198" s="124" t="s">
        <v>155</v>
      </c>
      <c r="K198" s="125">
        <v>32.05</v>
      </c>
      <c r="L198" s="214">
        <v>0</v>
      </c>
      <c r="M198" s="213"/>
      <c r="N198" s="215">
        <f>ROUND($L$198*$K$198,2)</f>
        <v>0</v>
      </c>
      <c r="O198" s="213"/>
      <c r="P198" s="213"/>
      <c r="Q198" s="213"/>
      <c r="R198" s="23"/>
      <c r="T198" s="126"/>
      <c r="U198" s="29" t="s">
        <v>47</v>
      </c>
      <c r="V198" s="127">
        <v>0.037</v>
      </c>
      <c r="W198" s="127">
        <f>$V$198*$K$198</f>
        <v>1.1858499999999998</v>
      </c>
      <c r="X198" s="127">
        <v>0.408</v>
      </c>
      <c r="Y198" s="127">
        <f>$X$198*$K$198</f>
        <v>13.076399999999998</v>
      </c>
      <c r="Z198" s="127">
        <v>0</v>
      </c>
      <c r="AA198" s="128">
        <f>$Z$198*$K$198</f>
        <v>0</v>
      </c>
      <c r="AR198" s="6" t="s">
        <v>156</v>
      </c>
      <c r="AT198" s="6" t="s">
        <v>152</v>
      </c>
      <c r="AU198" s="6" t="s">
        <v>103</v>
      </c>
      <c r="AY198" s="6" t="s">
        <v>151</v>
      </c>
      <c r="BE198" s="82">
        <f>IF($U$198="základní",$N$198,0)</f>
        <v>0</v>
      </c>
      <c r="BF198" s="82">
        <f>IF($U$198="snížená",$N$198,0)</f>
        <v>0</v>
      </c>
      <c r="BG198" s="82">
        <f>IF($U$198="zákl. přenesená",$N$198,0)</f>
        <v>0</v>
      </c>
      <c r="BH198" s="82">
        <f>IF($U$198="sníž. přenesená",$N$198,0)</f>
        <v>0</v>
      </c>
      <c r="BI198" s="82">
        <f>IF($U$198="nulová",$N$198,0)</f>
        <v>0</v>
      </c>
      <c r="BJ198" s="6" t="s">
        <v>21</v>
      </c>
      <c r="BK198" s="82">
        <f>ROUND($L$198*$K$198,2)</f>
        <v>0</v>
      </c>
      <c r="BL198" s="6" t="s">
        <v>156</v>
      </c>
    </row>
    <row r="199" spans="2:64" s="6" customFormat="1" ht="27" customHeight="1">
      <c r="B199" s="22"/>
      <c r="C199" s="122" t="s">
        <v>253</v>
      </c>
      <c r="D199" s="122" t="s">
        <v>152</v>
      </c>
      <c r="E199" s="123" t="s">
        <v>167</v>
      </c>
      <c r="F199" s="212" t="s">
        <v>168</v>
      </c>
      <c r="G199" s="213"/>
      <c r="H199" s="213"/>
      <c r="I199" s="213"/>
      <c r="J199" s="124" t="s">
        <v>155</v>
      </c>
      <c r="K199" s="125">
        <v>32.05</v>
      </c>
      <c r="L199" s="214">
        <v>0</v>
      </c>
      <c r="M199" s="213"/>
      <c r="N199" s="215">
        <f>ROUND($L$199*$K$199,2)</f>
        <v>0</v>
      </c>
      <c r="O199" s="213"/>
      <c r="P199" s="213"/>
      <c r="Q199" s="213"/>
      <c r="R199" s="23"/>
      <c r="T199" s="126"/>
      <c r="U199" s="29" t="s">
        <v>47</v>
      </c>
      <c r="V199" s="127">
        <v>0.09</v>
      </c>
      <c r="W199" s="127">
        <f>$V$199*$K$199</f>
        <v>2.8844999999999996</v>
      </c>
      <c r="X199" s="127">
        <v>0</v>
      </c>
      <c r="Y199" s="127">
        <f>$X$199*$K$199</f>
        <v>0</v>
      </c>
      <c r="Z199" s="127">
        <v>0</v>
      </c>
      <c r="AA199" s="128">
        <f>$Z$199*$K$199</f>
        <v>0</v>
      </c>
      <c r="AR199" s="6" t="s">
        <v>156</v>
      </c>
      <c r="AT199" s="6" t="s">
        <v>152</v>
      </c>
      <c r="AU199" s="6" t="s">
        <v>103</v>
      </c>
      <c r="AY199" s="6" t="s">
        <v>151</v>
      </c>
      <c r="BE199" s="82">
        <f>IF($U$199="základní",$N$199,0)</f>
        <v>0</v>
      </c>
      <c r="BF199" s="82">
        <f>IF($U$199="snížená",$N$199,0)</f>
        <v>0</v>
      </c>
      <c r="BG199" s="82">
        <f>IF($U$199="zákl. přenesená",$N$199,0)</f>
        <v>0</v>
      </c>
      <c r="BH199" s="82">
        <f>IF($U$199="sníž. přenesená",$N$199,0)</f>
        <v>0</v>
      </c>
      <c r="BI199" s="82">
        <f>IF($U$199="nulová",$N$199,0)</f>
        <v>0</v>
      </c>
      <c r="BJ199" s="6" t="s">
        <v>21</v>
      </c>
      <c r="BK199" s="82">
        <f>ROUND($L$199*$K$199,2)</f>
        <v>0</v>
      </c>
      <c r="BL199" s="6" t="s">
        <v>156</v>
      </c>
    </row>
    <row r="200" spans="2:64" s="6" customFormat="1" ht="15.75" customHeight="1">
      <c r="B200" s="22"/>
      <c r="C200" s="122" t="s">
        <v>254</v>
      </c>
      <c r="D200" s="122" t="s">
        <v>152</v>
      </c>
      <c r="E200" s="123" t="s">
        <v>171</v>
      </c>
      <c r="F200" s="212" t="s">
        <v>172</v>
      </c>
      <c r="G200" s="213"/>
      <c r="H200" s="213"/>
      <c r="I200" s="213"/>
      <c r="J200" s="124" t="s">
        <v>155</v>
      </c>
      <c r="K200" s="125">
        <v>32.05</v>
      </c>
      <c r="L200" s="214">
        <v>0</v>
      </c>
      <c r="M200" s="213"/>
      <c r="N200" s="215">
        <f>ROUND($L$200*$K$200,2)</f>
        <v>0</v>
      </c>
      <c r="O200" s="213"/>
      <c r="P200" s="213"/>
      <c r="Q200" s="213"/>
      <c r="R200" s="23"/>
      <c r="T200" s="126"/>
      <c r="U200" s="29" t="s">
        <v>47</v>
      </c>
      <c r="V200" s="127">
        <v>0.013</v>
      </c>
      <c r="W200" s="127">
        <f>$V$200*$K$200</f>
        <v>0.41664999999999996</v>
      </c>
      <c r="X200" s="127">
        <v>0</v>
      </c>
      <c r="Y200" s="127">
        <f>$X$200*$K$200</f>
        <v>0</v>
      </c>
      <c r="Z200" s="127">
        <v>0</v>
      </c>
      <c r="AA200" s="128">
        <f>$Z$200*$K$200</f>
        <v>0</v>
      </c>
      <c r="AR200" s="6" t="s">
        <v>156</v>
      </c>
      <c r="AT200" s="6" t="s">
        <v>152</v>
      </c>
      <c r="AU200" s="6" t="s">
        <v>103</v>
      </c>
      <c r="AY200" s="6" t="s">
        <v>151</v>
      </c>
      <c r="BE200" s="82">
        <f>IF($U$200="základní",$N$200,0)</f>
        <v>0</v>
      </c>
      <c r="BF200" s="82">
        <f>IF($U$200="snížená",$N$200,0)</f>
        <v>0</v>
      </c>
      <c r="BG200" s="82">
        <f>IF($U$200="zákl. přenesená",$N$200,0)</f>
        <v>0</v>
      </c>
      <c r="BH200" s="82">
        <f>IF($U$200="sníž. přenesená",$N$200,0)</f>
        <v>0</v>
      </c>
      <c r="BI200" s="82">
        <f>IF($U$200="nulová",$N$200,0)</f>
        <v>0</v>
      </c>
      <c r="BJ200" s="6" t="s">
        <v>21</v>
      </c>
      <c r="BK200" s="82">
        <f>ROUND($L$200*$K$200,2)</f>
        <v>0</v>
      </c>
      <c r="BL200" s="6" t="s">
        <v>156</v>
      </c>
    </row>
    <row r="201" spans="2:64" s="6" customFormat="1" ht="27" customHeight="1">
      <c r="B201" s="22"/>
      <c r="C201" s="122" t="s">
        <v>255</v>
      </c>
      <c r="D201" s="122" t="s">
        <v>152</v>
      </c>
      <c r="E201" s="123" t="s">
        <v>209</v>
      </c>
      <c r="F201" s="212" t="s">
        <v>210</v>
      </c>
      <c r="G201" s="213"/>
      <c r="H201" s="213"/>
      <c r="I201" s="213"/>
      <c r="J201" s="124" t="s">
        <v>155</v>
      </c>
      <c r="K201" s="125">
        <v>32.05</v>
      </c>
      <c r="L201" s="214">
        <v>0</v>
      </c>
      <c r="M201" s="213"/>
      <c r="N201" s="215">
        <f>ROUND($L$201*$K$201,2)</f>
        <v>0</v>
      </c>
      <c r="O201" s="213"/>
      <c r="P201" s="213"/>
      <c r="Q201" s="213"/>
      <c r="R201" s="23"/>
      <c r="T201" s="126"/>
      <c r="U201" s="29" t="s">
        <v>47</v>
      </c>
      <c r="V201" s="127">
        <v>0.08</v>
      </c>
      <c r="W201" s="127">
        <f>$V$201*$K$201</f>
        <v>2.5639999999999996</v>
      </c>
      <c r="X201" s="127">
        <v>0.00069</v>
      </c>
      <c r="Y201" s="127">
        <f>$X$201*$K$201</f>
        <v>0.022114499999999995</v>
      </c>
      <c r="Z201" s="127">
        <v>0</v>
      </c>
      <c r="AA201" s="128">
        <f>$Z$201*$K$201</f>
        <v>0</v>
      </c>
      <c r="AR201" s="6" t="s">
        <v>156</v>
      </c>
      <c r="AT201" s="6" t="s">
        <v>152</v>
      </c>
      <c r="AU201" s="6" t="s">
        <v>103</v>
      </c>
      <c r="AY201" s="6" t="s">
        <v>151</v>
      </c>
      <c r="BE201" s="82">
        <f>IF($U$201="základní",$N$201,0)</f>
        <v>0</v>
      </c>
      <c r="BF201" s="82">
        <f>IF($U$201="snížená",$N$201,0)</f>
        <v>0</v>
      </c>
      <c r="BG201" s="82">
        <f>IF($U$201="zákl. přenesená",$N$201,0)</f>
        <v>0</v>
      </c>
      <c r="BH201" s="82">
        <f>IF($U$201="sníž. přenesená",$N$201,0)</f>
        <v>0</v>
      </c>
      <c r="BI201" s="82">
        <f>IF($U$201="nulová",$N$201,0)</f>
        <v>0</v>
      </c>
      <c r="BJ201" s="6" t="s">
        <v>21</v>
      </c>
      <c r="BK201" s="82">
        <f>ROUND($L$201*$K$201,2)</f>
        <v>0</v>
      </c>
      <c r="BL201" s="6" t="s">
        <v>156</v>
      </c>
    </row>
    <row r="202" spans="2:63" s="113" customFormat="1" ht="30.75" customHeight="1">
      <c r="B202" s="114"/>
      <c r="D202" s="135" t="s">
        <v>121</v>
      </c>
      <c r="N202" s="206">
        <f>$BK$202</f>
        <v>0</v>
      </c>
      <c r="O202" s="207"/>
      <c r="P202" s="207"/>
      <c r="Q202" s="207"/>
      <c r="R202" s="117"/>
      <c r="T202" s="118"/>
      <c r="W202" s="119">
        <f>SUM($W$203:$W$208)</f>
        <v>5.14818</v>
      </c>
      <c r="Y202" s="119">
        <f>SUM($Y$203:$Y$208)</f>
        <v>5.9148414</v>
      </c>
      <c r="AA202" s="120">
        <f>SUM($AA$203:$AA$208)</f>
        <v>0</v>
      </c>
      <c r="AR202" s="116" t="s">
        <v>21</v>
      </c>
      <c r="AT202" s="116" t="s">
        <v>81</v>
      </c>
      <c r="AU202" s="116" t="s">
        <v>21</v>
      </c>
      <c r="AY202" s="116" t="s">
        <v>151</v>
      </c>
      <c r="BK202" s="121">
        <f>SUM($BK$203:$BK$208)</f>
        <v>0</v>
      </c>
    </row>
    <row r="203" spans="2:64" s="6" customFormat="1" ht="27" customHeight="1">
      <c r="B203" s="22"/>
      <c r="C203" s="122" t="s">
        <v>256</v>
      </c>
      <c r="D203" s="122" t="s">
        <v>152</v>
      </c>
      <c r="E203" s="123" t="s">
        <v>257</v>
      </c>
      <c r="F203" s="212" t="s">
        <v>258</v>
      </c>
      <c r="G203" s="213"/>
      <c r="H203" s="213"/>
      <c r="I203" s="213"/>
      <c r="J203" s="124" t="s">
        <v>155</v>
      </c>
      <c r="K203" s="125">
        <v>15.46</v>
      </c>
      <c r="L203" s="214">
        <v>0</v>
      </c>
      <c r="M203" s="213"/>
      <c r="N203" s="215">
        <f>ROUND($L$203*$K$203,2)</f>
        <v>0</v>
      </c>
      <c r="O203" s="213"/>
      <c r="P203" s="213"/>
      <c r="Q203" s="213"/>
      <c r="R203" s="23"/>
      <c r="T203" s="126"/>
      <c r="U203" s="29" t="s">
        <v>47</v>
      </c>
      <c r="V203" s="127">
        <v>0.215</v>
      </c>
      <c r="W203" s="127">
        <f>$V$203*$K$203</f>
        <v>3.3239</v>
      </c>
      <c r="X203" s="127">
        <v>0.0979</v>
      </c>
      <c r="Y203" s="127">
        <f>$X$203*$K$203</f>
        <v>1.5135340000000002</v>
      </c>
      <c r="Z203" s="127">
        <v>0</v>
      </c>
      <c r="AA203" s="128">
        <f>$Z$203*$K$203</f>
        <v>0</v>
      </c>
      <c r="AR203" s="6" t="s">
        <v>156</v>
      </c>
      <c r="AT203" s="6" t="s">
        <v>152</v>
      </c>
      <c r="AU203" s="6" t="s">
        <v>103</v>
      </c>
      <c r="AY203" s="6" t="s">
        <v>151</v>
      </c>
      <c r="BE203" s="82">
        <f>IF($U$203="základní",$N$203,0)</f>
        <v>0</v>
      </c>
      <c r="BF203" s="82">
        <f>IF($U$203="snížená",$N$203,0)</f>
        <v>0</v>
      </c>
      <c r="BG203" s="82">
        <f>IF($U$203="zákl. přenesená",$N$203,0)</f>
        <v>0</v>
      </c>
      <c r="BH203" s="82">
        <f>IF($U$203="sníž. přenesená",$N$203,0)</f>
        <v>0</v>
      </c>
      <c r="BI203" s="82">
        <f>IF($U$203="nulová",$N$203,0)</f>
        <v>0</v>
      </c>
      <c r="BJ203" s="6" t="s">
        <v>21</v>
      </c>
      <c r="BK203" s="82">
        <f>ROUND($L$203*$K$203,2)</f>
        <v>0</v>
      </c>
      <c r="BL203" s="6" t="s">
        <v>156</v>
      </c>
    </row>
    <row r="204" spans="2:51" s="6" customFormat="1" ht="15.75" customHeight="1">
      <c r="B204" s="136"/>
      <c r="E204" s="137"/>
      <c r="F204" s="208" t="s">
        <v>259</v>
      </c>
      <c r="G204" s="209"/>
      <c r="H204" s="209"/>
      <c r="I204" s="209"/>
      <c r="K204" s="137"/>
      <c r="N204" s="137"/>
      <c r="R204" s="138"/>
      <c r="T204" s="139"/>
      <c r="AA204" s="140"/>
      <c r="AT204" s="137" t="s">
        <v>158</v>
      </c>
      <c r="AU204" s="137" t="s">
        <v>103</v>
      </c>
      <c r="AV204" s="137" t="s">
        <v>21</v>
      </c>
      <c r="AW204" s="137" t="s">
        <v>113</v>
      </c>
      <c r="AX204" s="137" t="s">
        <v>82</v>
      </c>
      <c r="AY204" s="137" t="s">
        <v>151</v>
      </c>
    </row>
    <row r="205" spans="2:51" s="6" customFormat="1" ht="15.75" customHeight="1">
      <c r="B205" s="129"/>
      <c r="E205" s="130"/>
      <c r="F205" s="210" t="s">
        <v>260</v>
      </c>
      <c r="G205" s="211"/>
      <c r="H205" s="211"/>
      <c r="I205" s="211"/>
      <c r="K205" s="131">
        <v>15.46</v>
      </c>
      <c r="N205" s="130"/>
      <c r="R205" s="132"/>
      <c r="T205" s="133"/>
      <c r="AA205" s="134"/>
      <c r="AT205" s="130" t="s">
        <v>158</v>
      </c>
      <c r="AU205" s="130" t="s">
        <v>103</v>
      </c>
      <c r="AV205" s="130" t="s">
        <v>103</v>
      </c>
      <c r="AW205" s="130" t="s">
        <v>113</v>
      </c>
      <c r="AX205" s="130" t="s">
        <v>82</v>
      </c>
      <c r="AY205" s="130" t="s">
        <v>151</v>
      </c>
    </row>
    <row r="206" spans="2:64" s="6" customFormat="1" ht="27" customHeight="1">
      <c r="B206" s="22"/>
      <c r="C206" s="122" t="s">
        <v>261</v>
      </c>
      <c r="D206" s="122" t="s">
        <v>152</v>
      </c>
      <c r="E206" s="123" t="s">
        <v>262</v>
      </c>
      <c r="F206" s="212" t="s">
        <v>263</v>
      </c>
      <c r="G206" s="213"/>
      <c r="H206" s="213"/>
      <c r="I206" s="213"/>
      <c r="J206" s="124" t="s">
        <v>155</v>
      </c>
      <c r="K206" s="125">
        <v>15.46</v>
      </c>
      <c r="L206" s="214">
        <v>0</v>
      </c>
      <c r="M206" s="213"/>
      <c r="N206" s="215">
        <f>ROUND($L$206*$K$206,2)</f>
        <v>0</v>
      </c>
      <c r="O206" s="213"/>
      <c r="P206" s="213"/>
      <c r="Q206" s="213"/>
      <c r="R206" s="23"/>
      <c r="T206" s="126"/>
      <c r="U206" s="29" t="s">
        <v>47</v>
      </c>
      <c r="V206" s="127">
        <v>0.012</v>
      </c>
      <c r="W206" s="127">
        <f>$V$206*$K$206</f>
        <v>0.18552000000000002</v>
      </c>
      <c r="X206" s="127">
        <v>0.00406</v>
      </c>
      <c r="Y206" s="127">
        <f>$X$206*$K$206</f>
        <v>0.0627676</v>
      </c>
      <c r="Z206" s="127">
        <v>0</v>
      </c>
      <c r="AA206" s="128">
        <f>$Z$206*$K$206</f>
        <v>0</v>
      </c>
      <c r="AR206" s="6" t="s">
        <v>156</v>
      </c>
      <c r="AT206" s="6" t="s">
        <v>152</v>
      </c>
      <c r="AU206" s="6" t="s">
        <v>103</v>
      </c>
      <c r="AY206" s="6" t="s">
        <v>151</v>
      </c>
      <c r="BE206" s="82">
        <f>IF($U$206="základní",$N$206,0)</f>
        <v>0</v>
      </c>
      <c r="BF206" s="82">
        <f>IF($U$206="snížená",$N$206,0)</f>
        <v>0</v>
      </c>
      <c r="BG206" s="82">
        <f>IF($U$206="zákl. přenesená",$N$206,0)</f>
        <v>0</v>
      </c>
      <c r="BH206" s="82">
        <f>IF($U$206="sníž. přenesená",$N$206,0)</f>
        <v>0</v>
      </c>
      <c r="BI206" s="82">
        <f>IF($U$206="nulová",$N$206,0)</f>
        <v>0</v>
      </c>
      <c r="BJ206" s="6" t="s">
        <v>21</v>
      </c>
      <c r="BK206" s="82">
        <f>ROUND($L$206*$K$206,2)</f>
        <v>0</v>
      </c>
      <c r="BL206" s="6" t="s">
        <v>156</v>
      </c>
    </row>
    <row r="207" spans="2:64" s="6" customFormat="1" ht="15.75" customHeight="1">
      <c r="B207" s="22"/>
      <c r="C207" s="122" t="s">
        <v>264</v>
      </c>
      <c r="D207" s="122" t="s">
        <v>152</v>
      </c>
      <c r="E207" s="123" t="s">
        <v>221</v>
      </c>
      <c r="F207" s="212" t="s">
        <v>222</v>
      </c>
      <c r="G207" s="213"/>
      <c r="H207" s="213"/>
      <c r="I207" s="213"/>
      <c r="J207" s="124" t="s">
        <v>155</v>
      </c>
      <c r="K207" s="125">
        <v>15.46</v>
      </c>
      <c r="L207" s="214">
        <v>0</v>
      </c>
      <c r="M207" s="213"/>
      <c r="N207" s="215">
        <f>ROUND($L$207*$K$207,2)</f>
        <v>0</v>
      </c>
      <c r="O207" s="213"/>
      <c r="P207" s="213"/>
      <c r="Q207" s="213"/>
      <c r="R207" s="23"/>
      <c r="T207" s="126"/>
      <c r="U207" s="29" t="s">
        <v>47</v>
      </c>
      <c r="V207" s="127">
        <v>0.026</v>
      </c>
      <c r="W207" s="127">
        <f>$V$207*$K$207</f>
        <v>0.40196</v>
      </c>
      <c r="X207" s="127">
        <v>0.27994</v>
      </c>
      <c r="Y207" s="127">
        <f>$X$207*$K$207</f>
        <v>4.3278724</v>
      </c>
      <c r="Z207" s="127">
        <v>0</v>
      </c>
      <c r="AA207" s="128">
        <f>$Z$207*$K$207</f>
        <v>0</v>
      </c>
      <c r="AR207" s="6" t="s">
        <v>156</v>
      </c>
      <c r="AT207" s="6" t="s">
        <v>152</v>
      </c>
      <c r="AU207" s="6" t="s">
        <v>103</v>
      </c>
      <c r="AY207" s="6" t="s">
        <v>151</v>
      </c>
      <c r="BE207" s="82">
        <f>IF($U$207="základní",$N$207,0)</f>
        <v>0</v>
      </c>
      <c r="BF207" s="82">
        <f>IF($U$207="snížená",$N$207,0)</f>
        <v>0</v>
      </c>
      <c r="BG207" s="82">
        <f>IF($U$207="zákl. přenesená",$N$207,0)</f>
        <v>0</v>
      </c>
      <c r="BH207" s="82">
        <f>IF($U$207="sníž. přenesená",$N$207,0)</f>
        <v>0</v>
      </c>
      <c r="BI207" s="82">
        <f>IF($U$207="nulová",$N$207,0)</f>
        <v>0</v>
      </c>
      <c r="BJ207" s="6" t="s">
        <v>21</v>
      </c>
      <c r="BK207" s="82">
        <f>ROUND($L$207*$K$207,2)</f>
        <v>0</v>
      </c>
      <c r="BL207" s="6" t="s">
        <v>156</v>
      </c>
    </row>
    <row r="208" spans="2:64" s="6" customFormat="1" ht="27" customHeight="1">
      <c r="B208" s="22"/>
      <c r="C208" s="122" t="s">
        <v>265</v>
      </c>
      <c r="D208" s="122" t="s">
        <v>152</v>
      </c>
      <c r="E208" s="123" t="s">
        <v>209</v>
      </c>
      <c r="F208" s="212" t="s">
        <v>210</v>
      </c>
      <c r="G208" s="213"/>
      <c r="H208" s="213"/>
      <c r="I208" s="213"/>
      <c r="J208" s="124" t="s">
        <v>155</v>
      </c>
      <c r="K208" s="125">
        <v>15.46</v>
      </c>
      <c r="L208" s="214">
        <v>0</v>
      </c>
      <c r="M208" s="213"/>
      <c r="N208" s="215">
        <f>ROUND($L$208*$K$208,2)</f>
        <v>0</v>
      </c>
      <c r="O208" s="213"/>
      <c r="P208" s="213"/>
      <c r="Q208" s="213"/>
      <c r="R208" s="23"/>
      <c r="T208" s="126"/>
      <c r="U208" s="29" t="s">
        <v>47</v>
      </c>
      <c r="V208" s="127">
        <v>0.08</v>
      </c>
      <c r="W208" s="127">
        <f>$V$208*$K$208</f>
        <v>1.2368000000000001</v>
      </c>
      <c r="X208" s="127">
        <v>0.00069</v>
      </c>
      <c r="Y208" s="127">
        <f>$X$208*$K$208</f>
        <v>0.0106674</v>
      </c>
      <c r="Z208" s="127">
        <v>0</v>
      </c>
      <c r="AA208" s="128">
        <f>$Z$208*$K$208</f>
        <v>0</v>
      </c>
      <c r="AR208" s="6" t="s">
        <v>156</v>
      </c>
      <c r="AT208" s="6" t="s">
        <v>152</v>
      </c>
      <c r="AU208" s="6" t="s">
        <v>103</v>
      </c>
      <c r="AY208" s="6" t="s">
        <v>151</v>
      </c>
      <c r="BE208" s="82">
        <f>IF($U$208="základní",$N$208,0)</f>
        <v>0</v>
      </c>
      <c r="BF208" s="82">
        <f>IF($U$208="snížená",$N$208,0)</f>
        <v>0</v>
      </c>
      <c r="BG208" s="82">
        <f>IF($U$208="zákl. přenesená",$N$208,0)</f>
        <v>0</v>
      </c>
      <c r="BH208" s="82">
        <f>IF($U$208="sníž. přenesená",$N$208,0)</f>
        <v>0</v>
      </c>
      <c r="BI208" s="82">
        <f>IF($U$208="nulová",$N$208,0)</f>
        <v>0</v>
      </c>
      <c r="BJ208" s="6" t="s">
        <v>21</v>
      </c>
      <c r="BK208" s="82">
        <f>ROUND($L$208*$K$208,2)</f>
        <v>0</v>
      </c>
      <c r="BL208" s="6" t="s">
        <v>156</v>
      </c>
    </row>
    <row r="209" spans="2:63" s="113" customFormat="1" ht="30.75" customHeight="1">
      <c r="B209" s="114"/>
      <c r="D209" s="135" t="s">
        <v>122</v>
      </c>
      <c r="N209" s="206">
        <f>$BK$209</f>
        <v>0</v>
      </c>
      <c r="O209" s="207"/>
      <c r="P209" s="207"/>
      <c r="Q209" s="207"/>
      <c r="R209" s="117"/>
      <c r="T209" s="118"/>
      <c r="W209" s="119">
        <f>SUM($W$210:$W$252)</f>
        <v>322.294176</v>
      </c>
      <c r="Y209" s="119">
        <f>SUM($Y$210:$Y$252)</f>
        <v>454.00703252999995</v>
      </c>
      <c r="AA209" s="120">
        <f>SUM($AA$210:$AA$252)</f>
        <v>0</v>
      </c>
      <c r="AR209" s="116" t="s">
        <v>21</v>
      </c>
      <c r="AT209" s="116" t="s">
        <v>81</v>
      </c>
      <c r="AU209" s="116" t="s">
        <v>21</v>
      </c>
      <c r="AY209" s="116" t="s">
        <v>151</v>
      </c>
      <c r="BK209" s="121">
        <f>SUM($BK$210:$BK$252)</f>
        <v>0</v>
      </c>
    </row>
    <row r="210" spans="2:64" s="6" customFormat="1" ht="39" customHeight="1">
      <c r="B210" s="22"/>
      <c r="C210" s="122" t="s">
        <v>266</v>
      </c>
      <c r="D210" s="122" t="s">
        <v>152</v>
      </c>
      <c r="E210" s="123" t="s">
        <v>267</v>
      </c>
      <c r="F210" s="212" t="s">
        <v>268</v>
      </c>
      <c r="G210" s="213"/>
      <c r="H210" s="213"/>
      <c r="I210" s="213"/>
      <c r="J210" s="124" t="s">
        <v>269</v>
      </c>
      <c r="K210" s="125">
        <v>174.55</v>
      </c>
      <c r="L210" s="214">
        <v>0</v>
      </c>
      <c r="M210" s="213"/>
      <c r="N210" s="215">
        <f>ROUND($L$210*$K$210,2)</f>
        <v>0</v>
      </c>
      <c r="O210" s="213"/>
      <c r="P210" s="213"/>
      <c r="Q210" s="213"/>
      <c r="R210" s="23"/>
      <c r="T210" s="126"/>
      <c r="U210" s="29" t="s">
        <v>47</v>
      </c>
      <c r="V210" s="127">
        <v>0.216</v>
      </c>
      <c r="W210" s="127">
        <f>$V$210*$K$210</f>
        <v>37.7028</v>
      </c>
      <c r="X210" s="127">
        <v>0.1295</v>
      </c>
      <c r="Y210" s="127">
        <f>$X$210*$K$210</f>
        <v>22.604225000000003</v>
      </c>
      <c r="Z210" s="127">
        <v>0</v>
      </c>
      <c r="AA210" s="128">
        <f>$Z$210*$K$210</f>
        <v>0</v>
      </c>
      <c r="AR210" s="6" t="s">
        <v>156</v>
      </c>
      <c r="AT210" s="6" t="s">
        <v>152</v>
      </c>
      <c r="AU210" s="6" t="s">
        <v>103</v>
      </c>
      <c r="AY210" s="6" t="s">
        <v>151</v>
      </c>
      <c r="BE210" s="82">
        <f>IF($U$210="základní",$N$210,0)</f>
        <v>0</v>
      </c>
      <c r="BF210" s="82">
        <f>IF($U$210="snížená",$N$210,0)</f>
        <v>0</v>
      </c>
      <c r="BG210" s="82">
        <f>IF($U$210="zákl. přenesená",$N$210,0)</f>
        <v>0</v>
      </c>
      <c r="BH210" s="82">
        <f>IF($U$210="sníž. přenesená",$N$210,0)</f>
        <v>0</v>
      </c>
      <c r="BI210" s="82">
        <f>IF($U$210="nulová",$N$210,0)</f>
        <v>0</v>
      </c>
      <c r="BJ210" s="6" t="s">
        <v>21</v>
      </c>
      <c r="BK210" s="82">
        <f>ROUND($L$210*$K$210,2)</f>
        <v>0</v>
      </c>
      <c r="BL210" s="6" t="s">
        <v>156</v>
      </c>
    </row>
    <row r="211" spans="2:64" s="6" customFormat="1" ht="27" customHeight="1">
      <c r="B211" s="22"/>
      <c r="C211" s="141" t="s">
        <v>270</v>
      </c>
      <c r="D211" s="141" t="s">
        <v>183</v>
      </c>
      <c r="E211" s="142" t="s">
        <v>271</v>
      </c>
      <c r="F211" s="217" t="s">
        <v>272</v>
      </c>
      <c r="G211" s="218"/>
      <c r="H211" s="218"/>
      <c r="I211" s="218"/>
      <c r="J211" s="143" t="s">
        <v>273</v>
      </c>
      <c r="K211" s="144">
        <v>140.406</v>
      </c>
      <c r="L211" s="219">
        <v>0</v>
      </c>
      <c r="M211" s="218"/>
      <c r="N211" s="220">
        <f>ROUND($L$211*$K$211,2)</f>
        <v>0</v>
      </c>
      <c r="O211" s="213"/>
      <c r="P211" s="213"/>
      <c r="Q211" s="213"/>
      <c r="R211" s="23"/>
      <c r="T211" s="126"/>
      <c r="U211" s="29" t="s">
        <v>47</v>
      </c>
      <c r="V211" s="127">
        <v>0</v>
      </c>
      <c r="W211" s="127">
        <f>$V$211*$K$211</f>
        <v>0</v>
      </c>
      <c r="X211" s="127">
        <v>0.085</v>
      </c>
      <c r="Y211" s="127">
        <f>$X$211*$K$211</f>
        <v>11.934510000000001</v>
      </c>
      <c r="Z211" s="127">
        <v>0</v>
      </c>
      <c r="AA211" s="128">
        <f>$Z$211*$K$211</f>
        <v>0</v>
      </c>
      <c r="AR211" s="6" t="s">
        <v>182</v>
      </c>
      <c r="AT211" s="6" t="s">
        <v>183</v>
      </c>
      <c r="AU211" s="6" t="s">
        <v>103</v>
      </c>
      <c r="AY211" s="6" t="s">
        <v>151</v>
      </c>
      <c r="BE211" s="82">
        <f>IF($U$211="základní",$N$211,0)</f>
        <v>0</v>
      </c>
      <c r="BF211" s="82">
        <f>IF($U$211="snížená",$N$211,0)</f>
        <v>0</v>
      </c>
      <c r="BG211" s="82">
        <f>IF($U$211="zákl. přenesená",$N$211,0)</f>
        <v>0</v>
      </c>
      <c r="BH211" s="82">
        <f>IF($U$211="sníž. přenesená",$N$211,0)</f>
        <v>0</v>
      </c>
      <c r="BI211" s="82">
        <f>IF($U$211="nulová",$N$211,0)</f>
        <v>0</v>
      </c>
      <c r="BJ211" s="6" t="s">
        <v>21</v>
      </c>
      <c r="BK211" s="82">
        <f>ROUND($L$211*$K$211,2)</f>
        <v>0</v>
      </c>
      <c r="BL211" s="6" t="s">
        <v>156</v>
      </c>
    </row>
    <row r="212" spans="2:51" s="6" customFormat="1" ht="15.75" customHeight="1">
      <c r="B212" s="136"/>
      <c r="E212" s="137"/>
      <c r="F212" s="208" t="s">
        <v>274</v>
      </c>
      <c r="G212" s="209"/>
      <c r="H212" s="209"/>
      <c r="I212" s="209"/>
      <c r="K212" s="137"/>
      <c r="N212" s="137"/>
      <c r="R212" s="138"/>
      <c r="T212" s="139"/>
      <c r="AA212" s="140"/>
      <c r="AT212" s="137" t="s">
        <v>158</v>
      </c>
      <c r="AU212" s="137" t="s">
        <v>103</v>
      </c>
      <c r="AV212" s="137" t="s">
        <v>21</v>
      </c>
      <c r="AW212" s="137" t="s">
        <v>113</v>
      </c>
      <c r="AX212" s="137" t="s">
        <v>82</v>
      </c>
      <c r="AY212" s="137" t="s">
        <v>151</v>
      </c>
    </row>
    <row r="213" spans="2:51" s="6" customFormat="1" ht="27" customHeight="1">
      <c r="B213" s="129"/>
      <c r="E213" s="130"/>
      <c r="F213" s="210" t="s">
        <v>275</v>
      </c>
      <c r="G213" s="211"/>
      <c r="H213" s="211"/>
      <c r="I213" s="211"/>
      <c r="K213" s="131">
        <v>133.72</v>
      </c>
      <c r="N213" s="130"/>
      <c r="R213" s="132"/>
      <c r="T213" s="133"/>
      <c r="AA213" s="134"/>
      <c r="AT213" s="130" t="s">
        <v>158</v>
      </c>
      <c r="AU213" s="130" t="s">
        <v>103</v>
      </c>
      <c r="AV213" s="130" t="s">
        <v>103</v>
      </c>
      <c r="AW213" s="130" t="s">
        <v>113</v>
      </c>
      <c r="AX213" s="130" t="s">
        <v>82</v>
      </c>
      <c r="AY213" s="130" t="s">
        <v>151</v>
      </c>
    </row>
    <row r="214" spans="2:64" s="6" customFormat="1" ht="27" customHeight="1">
      <c r="B214" s="22"/>
      <c r="C214" s="141" t="s">
        <v>276</v>
      </c>
      <c r="D214" s="141" t="s">
        <v>183</v>
      </c>
      <c r="E214" s="142" t="s">
        <v>277</v>
      </c>
      <c r="F214" s="217" t="s">
        <v>278</v>
      </c>
      <c r="G214" s="218"/>
      <c r="H214" s="218"/>
      <c r="I214" s="218"/>
      <c r="J214" s="143" t="s">
        <v>273</v>
      </c>
      <c r="K214" s="144">
        <v>32.372</v>
      </c>
      <c r="L214" s="219">
        <v>0</v>
      </c>
      <c r="M214" s="218"/>
      <c r="N214" s="220">
        <f>ROUND($L$214*$K$214,2)</f>
        <v>0</v>
      </c>
      <c r="O214" s="213"/>
      <c r="P214" s="213"/>
      <c r="Q214" s="213"/>
      <c r="R214" s="23"/>
      <c r="T214" s="126"/>
      <c r="U214" s="29" t="s">
        <v>47</v>
      </c>
      <c r="V214" s="127">
        <v>0</v>
      </c>
      <c r="W214" s="127">
        <f>$V$214*$K$214</f>
        <v>0</v>
      </c>
      <c r="X214" s="127">
        <v>0.0483</v>
      </c>
      <c r="Y214" s="127">
        <f>$X$214*$K$214</f>
        <v>1.5635676</v>
      </c>
      <c r="Z214" s="127">
        <v>0</v>
      </c>
      <c r="AA214" s="128">
        <f>$Z$214*$K$214</f>
        <v>0</v>
      </c>
      <c r="AR214" s="6" t="s">
        <v>182</v>
      </c>
      <c r="AT214" s="6" t="s">
        <v>183</v>
      </c>
      <c r="AU214" s="6" t="s">
        <v>103</v>
      </c>
      <c r="AY214" s="6" t="s">
        <v>151</v>
      </c>
      <c r="BE214" s="82">
        <f>IF($U$214="základní",$N$214,0)</f>
        <v>0</v>
      </c>
      <c r="BF214" s="82">
        <f>IF($U$214="snížená",$N$214,0)</f>
        <v>0</v>
      </c>
      <c r="BG214" s="82">
        <f>IF($U$214="zákl. přenesená",$N$214,0)</f>
        <v>0</v>
      </c>
      <c r="BH214" s="82">
        <f>IF($U$214="sníž. přenesená",$N$214,0)</f>
        <v>0</v>
      </c>
      <c r="BI214" s="82">
        <f>IF($U$214="nulová",$N$214,0)</f>
        <v>0</v>
      </c>
      <c r="BJ214" s="6" t="s">
        <v>21</v>
      </c>
      <c r="BK214" s="82">
        <f>ROUND($L$214*$K$214,2)</f>
        <v>0</v>
      </c>
      <c r="BL214" s="6" t="s">
        <v>156</v>
      </c>
    </row>
    <row r="215" spans="2:51" s="6" customFormat="1" ht="15.75" customHeight="1">
      <c r="B215" s="136"/>
      <c r="E215" s="137"/>
      <c r="F215" s="208" t="s">
        <v>279</v>
      </c>
      <c r="G215" s="209"/>
      <c r="H215" s="209"/>
      <c r="I215" s="209"/>
      <c r="K215" s="137"/>
      <c r="N215" s="137"/>
      <c r="R215" s="138"/>
      <c r="T215" s="139"/>
      <c r="AA215" s="140"/>
      <c r="AT215" s="137" t="s">
        <v>158</v>
      </c>
      <c r="AU215" s="137" t="s">
        <v>103</v>
      </c>
      <c r="AV215" s="137" t="s">
        <v>21</v>
      </c>
      <c r="AW215" s="137" t="s">
        <v>113</v>
      </c>
      <c r="AX215" s="137" t="s">
        <v>82</v>
      </c>
      <c r="AY215" s="137" t="s">
        <v>151</v>
      </c>
    </row>
    <row r="216" spans="2:51" s="6" customFormat="1" ht="15.75" customHeight="1">
      <c r="B216" s="129"/>
      <c r="E216" s="130"/>
      <c r="F216" s="210" t="s">
        <v>280</v>
      </c>
      <c r="G216" s="211"/>
      <c r="H216" s="211"/>
      <c r="I216" s="211"/>
      <c r="K216" s="131">
        <v>30.83</v>
      </c>
      <c r="N216" s="130"/>
      <c r="R216" s="132"/>
      <c r="T216" s="133"/>
      <c r="AA216" s="134"/>
      <c r="AT216" s="130" t="s">
        <v>158</v>
      </c>
      <c r="AU216" s="130" t="s">
        <v>103</v>
      </c>
      <c r="AV216" s="130" t="s">
        <v>103</v>
      </c>
      <c r="AW216" s="130" t="s">
        <v>113</v>
      </c>
      <c r="AX216" s="130" t="s">
        <v>82</v>
      </c>
      <c r="AY216" s="130" t="s">
        <v>151</v>
      </c>
    </row>
    <row r="217" spans="2:64" s="6" customFormat="1" ht="15.75" customHeight="1">
      <c r="B217" s="22"/>
      <c r="C217" s="141" t="s">
        <v>281</v>
      </c>
      <c r="D217" s="141" t="s">
        <v>183</v>
      </c>
      <c r="E217" s="142" t="s">
        <v>282</v>
      </c>
      <c r="F217" s="217" t="s">
        <v>283</v>
      </c>
      <c r="G217" s="218"/>
      <c r="H217" s="218"/>
      <c r="I217" s="218"/>
      <c r="J217" s="143" t="s">
        <v>273</v>
      </c>
      <c r="K217" s="144">
        <v>10.5</v>
      </c>
      <c r="L217" s="219">
        <v>0</v>
      </c>
      <c r="M217" s="218"/>
      <c r="N217" s="220">
        <f>ROUND($L$217*$K$217,2)</f>
        <v>0</v>
      </c>
      <c r="O217" s="213"/>
      <c r="P217" s="213"/>
      <c r="Q217" s="213"/>
      <c r="R217" s="23"/>
      <c r="T217" s="126"/>
      <c r="U217" s="29" t="s">
        <v>47</v>
      </c>
      <c r="V217" s="127">
        <v>0</v>
      </c>
      <c r="W217" s="127">
        <f>$V$217*$K$217</f>
        <v>0</v>
      </c>
      <c r="X217" s="127">
        <v>0.227</v>
      </c>
      <c r="Y217" s="127">
        <f>$X$217*$K$217</f>
        <v>2.3835</v>
      </c>
      <c r="Z217" s="127">
        <v>0</v>
      </c>
      <c r="AA217" s="128">
        <f>$Z$217*$K$217</f>
        <v>0</v>
      </c>
      <c r="AR217" s="6" t="s">
        <v>182</v>
      </c>
      <c r="AT217" s="6" t="s">
        <v>183</v>
      </c>
      <c r="AU217" s="6" t="s">
        <v>103</v>
      </c>
      <c r="AY217" s="6" t="s">
        <v>151</v>
      </c>
      <c r="BE217" s="82">
        <f>IF($U$217="základní",$N$217,0)</f>
        <v>0</v>
      </c>
      <c r="BF217" s="82">
        <f>IF($U$217="snížená",$N$217,0)</f>
        <v>0</v>
      </c>
      <c r="BG217" s="82">
        <f>IF($U$217="zákl. přenesená",$N$217,0)</f>
        <v>0</v>
      </c>
      <c r="BH217" s="82">
        <f>IF($U$217="sníž. přenesená",$N$217,0)</f>
        <v>0</v>
      </c>
      <c r="BI217" s="82">
        <f>IF($U$217="nulová",$N$217,0)</f>
        <v>0</v>
      </c>
      <c r="BJ217" s="6" t="s">
        <v>21</v>
      </c>
      <c r="BK217" s="82">
        <f>ROUND($L$217*$K$217,2)</f>
        <v>0</v>
      </c>
      <c r="BL217" s="6" t="s">
        <v>156</v>
      </c>
    </row>
    <row r="218" spans="2:51" s="6" customFormat="1" ht="15.75" customHeight="1">
      <c r="B218" s="136"/>
      <c r="E218" s="137"/>
      <c r="F218" s="208" t="s">
        <v>284</v>
      </c>
      <c r="G218" s="209"/>
      <c r="H218" s="209"/>
      <c r="I218" s="209"/>
      <c r="K218" s="137"/>
      <c r="N218" s="137"/>
      <c r="R218" s="138"/>
      <c r="T218" s="139"/>
      <c r="AA218" s="140"/>
      <c r="AT218" s="137" t="s">
        <v>158</v>
      </c>
      <c r="AU218" s="137" t="s">
        <v>103</v>
      </c>
      <c r="AV218" s="137" t="s">
        <v>21</v>
      </c>
      <c r="AW218" s="137" t="s">
        <v>113</v>
      </c>
      <c r="AX218" s="137" t="s">
        <v>82</v>
      </c>
      <c r="AY218" s="137" t="s">
        <v>151</v>
      </c>
    </row>
    <row r="219" spans="2:51" s="6" customFormat="1" ht="15.75" customHeight="1">
      <c r="B219" s="129"/>
      <c r="E219" s="130"/>
      <c r="F219" s="210" t="s">
        <v>26</v>
      </c>
      <c r="G219" s="211"/>
      <c r="H219" s="211"/>
      <c r="I219" s="211"/>
      <c r="K219" s="131">
        <v>10</v>
      </c>
      <c r="N219" s="130"/>
      <c r="R219" s="132"/>
      <c r="T219" s="133"/>
      <c r="AA219" s="134"/>
      <c r="AT219" s="130" t="s">
        <v>158</v>
      </c>
      <c r="AU219" s="130" t="s">
        <v>103</v>
      </c>
      <c r="AV219" s="130" t="s">
        <v>103</v>
      </c>
      <c r="AW219" s="130" t="s">
        <v>113</v>
      </c>
      <c r="AX219" s="130" t="s">
        <v>82</v>
      </c>
      <c r="AY219" s="130" t="s">
        <v>151</v>
      </c>
    </row>
    <row r="220" spans="2:64" s="6" customFormat="1" ht="27" customHeight="1">
      <c r="B220" s="22"/>
      <c r="C220" s="122" t="s">
        <v>285</v>
      </c>
      <c r="D220" s="122" t="s">
        <v>152</v>
      </c>
      <c r="E220" s="123" t="s">
        <v>286</v>
      </c>
      <c r="F220" s="212" t="s">
        <v>287</v>
      </c>
      <c r="G220" s="213"/>
      <c r="H220" s="213"/>
      <c r="I220" s="213"/>
      <c r="J220" s="124" t="s">
        <v>269</v>
      </c>
      <c r="K220" s="125">
        <v>845.609</v>
      </c>
      <c r="L220" s="214">
        <v>0</v>
      </c>
      <c r="M220" s="213"/>
      <c r="N220" s="215">
        <f>ROUND($L$220*$K$220,2)</f>
        <v>0</v>
      </c>
      <c r="O220" s="213"/>
      <c r="P220" s="213"/>
      <c r="Q220" s="213"/>
      <c r="R220" s="23"/>
      <c r="T220" s="126"/>
      <c r="U220" s="29" t="s">
        <v>47</v>
      </c>
      <c r="V220" s="127">
        <v>0.234</v>
      </c>
      <c r="W220" s="127">
        <f>$V$220*$K$220</f>
        <v>197.87250600000002</v>
      </c>
      <c r="X220" s="127">
        <v>0.14067</v>
      </c>
      <c r="Y220" s="127">
        <f>$X$220*$K$220</f>
        <v>118.95181803</v>
      </c>
      <c r="Z220" s="127">
        <v>0</v>
      </c>
      <c r="AA220" s="128">
        <f>$Z$220*$K$220</f>
        <v>0</v>
      </c>
      <c r="AR220" s="6" t="s">
        <v>156</v>
      </c>
      <c r="AT220" s="6" t="s">
        <v>152</v>
      </c>
      <c r="AU220" s="6" t="s">
        <v>103</v>
      </c>
      <c r="AY220" s="6" t="s">
        <v>151</v>
      </c>
      <c r="BE220" s="82">
        <f>IF($U$220="základní",$N$220,0)</f>
        <v>0</v>
      </c>
      <c r="BF220" s="82">
        <f>IF($U$220="snížená",$N$220,0)</f>
        <v>0</v>
      </c>
      <c r="BG220" s="82">
        <f>IF($U$220="zákl. přenesená",$N$220,0)</f>
        <v>0</v>
      </c>
      <c r="BH220" s="82">
        <f>IF($U$220="sníž. přenesená",$N$220,0)</f>
        <v>0</v>
      </c>
      <c r="BI220" s="82">
        <f>IF($U$220="nulová",$N$220,0)</f>
        <v>0</v>
      </c>
      <c r="BJ220" s="6" t="s">
        <v>21</v>
      </c>
      <c r="BK220" s="82">
        <f>ROUND($L$220*$K$220,2)</f>
        <v>0</v>
      </c>
      <c r="BL220" s="6" t="s">
        <v>156</v>
      </c>
    </row>
    <row r="221" spans="2:64" s="6" customFormat="1" ht="15.75" customHeight="1">
      <c r="B221" s="22"/>
      <c r="C221" s="141" t="s">
        <v>288</v>
      </c>
      <c r="D221" s="141" t="s">
        <v>183</v>
      </c>
      <c r="E221" s="142" t="s">
        <v>289</v>
      </c>
      <c r="F221" s="217" t="s">
        <v>290</v>
      </c>
      <c r="G221" s="218"/>
      <c r="H221" s="218"/>
      <c r="I221" s="218"/>
      <c r="J221" s="143" t="s">
        <v>269</v>
      </c>
      <c r="K221" s="144">
        <v>677.216</v>
      </c>
      <c r="L221" s="219">
        <v>0</v>
      </c>
      <c r="M221" s="218"/>
      <c r="N221" s="220">
        <f>ROUND($L$221*$K$221,2)</f>
        <v>0</v>
      </c>
      <c r="O221" s="213"/>
      <c r="P221" s="213"/>
      <c r="Q221" s="213"/>
      <c r="R221" s="23"/>
      <c r="T221" s="126"/>
      <c r="U221" s="29" t="s">
        <v>47</v>
      </c>
      <c r="V221" s="127">
        <v>0</v>
      </c>
      <c r="W221" s="127">
        <f>$V$221*$K$221</f>
        <v>0</v>
      </c>
      <c r="X221" s="127">
        <v>0.207</v>
      </c>
      <c r="Y221" s="127">
        <f>$X$221*$K$221</f>
        <v>140.18371199999999</v>
      </c>
      <c r="Z221" s="127">
        <v>0</v>
      </c>
      <c r="AA221" s="128">
        <f>$Z$221*$K$221</f>
        <v>0</v>
      </c>
      <c r="AR221" s="6" t="s">
        <v>182</v>
      </c>
      <c r="AT221" s="6" t="s">
        <v>183</v>
      </c>
      <c r="AU221" s="6" t="s">
        <v>103</v>
      </c>
      <c r="AY221" s="6" t="s">
        <v>151</v>
      </c>
      <c r="BE221" s="82">
        <f>IF($U$221="základní",$N$221,0)</f>
        <v>0</v>
      </c>
      <c r="BF221" s="82">
        <f>IF($U$221="snížená",$N$221,0)</f>
        <v>0</v>
      </c>
      <c r="BG221" s="82">
        <f>IF($U$221="zákl. přenesená",$N$221,0)</f>
        <v>0</v>
      </c>
      <c r="BH221" s="82">
        <f>IF($U$221="sníž. přenesená",$N$221,0)</f>
        <v>0</v>
      </c>
      <c r="BI221" s="82">
        <f>IF($U$221="nulová",$N$221,0)</f>
        <v>0</v>
      </c>
      <c r="BJ221" s="6" t="s">
        <v>21</v>
      </c>
      <c r="BK221" s="82">
        <f>ROUND($L$221*$K$221,2)</f>
        <v>0</v>
      </c>
      <c r="BL221" s="6" t="s">
        <v>156</v>
      </c>
    </row>
    <row r="222" spans="2:51" s="6" customFormat="1" ht="15.75" customHeight="1">
      <c r="B222" s="136"/>
      <c r="E222" s="137"/>
      <c r="F222" s="208" t="s">
        <v>291</v>
      </c>
      <c r="G222" s="209"/>
      <c r="H222" s="209"/>
      <c r="I222" s="209"/>
      <c r="K222" s="137"/>
      <c r="N222" s="137"/>
      <c r="R222" s="138"/>
      <c r="T222" s="139"/>
      <c r="AA222" s="140"/>
      <c r="AT222" s="137" t="s">
        <v>158</v>
      </c>
      <c r="AU222" s="137" t="s">
        <v>103</v>
      </c>
      <c r="AV222" s="137" t="s">
        <v>21</v>
      </c>
      <c r="AW222" s="137" t="s">
        <v>113</v>
      </c>
      <c r="AX222" s="137" t="s">
        <v>82</v>
      </c>
      <c r="AY222" s="137" t="s">
        <v>151</v>
      </c>
    </row>
    <row r="223" spans="2:51" s="6" customFormat="1" ht="39" customHeight="1">
      <c r="B223" s="129"/>
      <c r="E223" s="130"/>
      <c r="F223" s="210" t="s">
        <v>292</v>
      </c>
      <c r="G223" s="211"/>
      <c r="H223" s="211"/>
      <c r="I223" s="211"/>
      <c r="K223" s="131">
        <v>139.69</v>
      </c>
      <c r="N223" s="130"/>
      <c r="R223" s="132"/>
      <c r="T223" s="133"/>
      <c r="AA223" s="134"/>
      <c r="AT223" s="130" t="s">
        <v>158</v>
      </c>
      <c r="AU223" s="130" t="s">
        <v>103</v>
      </c>
      <c r="AV223" s="130" t="s">
        <v>103</v>
      </c>
      <c r="AW223" s="130" t="s">
        <v>113</v>
      </c>
      <c r="AX223" s="130" t="s">
        <v>82</v>
      </c>
      <c r="AY223" s="130" t="s">
        <v>151</v>
      </c>
    </row>
    <row r="224" spans="2:51" s="6" customFormat="1" ht="39" customHeight="1">
      <c r="B224" s="129"/>
      <c r="E224" s="130"/>
      <c r="F224" s="210" t="s">
        <v>293</v>
      </c>
      <c r="G224" s="211"/>
      <c r="H224" s="211"/>
      <c r="I224" s="211"/>
      <c r="K224" s="131">
        <v>89.955</v>
      </c>
      <c r="N224" s="130"/>
      <c r="R224" s="132"/>
      <c r="T224" s="133"/>
      <c r="AA224" s="134"/>
      <c r="AT224" s="130" t="s">
        <v>158</v>
      </c>
      <c r="AU224" s="130" t="s">
        <v>103</v>
      </c>
      <c r="AV224" s="130" t="s">
        <v>103</v>
      </c>
      <c r="AW224" s="130" t="s">
        <v>113</v>
      </c>
      <c r="AX224" s="130" t="s">
        <v>82</v>
      </c>
      <c r="AY224" s="130" t="s">
        <v>151</v>
      </c>
    </row>
    <row r="225" spans="2:51" s="6" customFormat="1" ht="39" customHeight="1">
      <c r="B225" s="129"/>
      <c r="E225" s="130"/>
      <c r="F225" s="210" t="s">
        <v>294</v>
      </c>
      <c r="G225" s="211"/>
      <c r="H225" s="211"/>
      <c r="I225" s="211"/>
      <c r="K225" s="131">
        <v>148.284</v>
      </c>
      <c r="N225" s="130"/>
      <c r="R225" s="132"/>
      <c r="T225" s="133"/>
      <c r="AA225" s="134"/>
      <c r="AT225" s="130" t="s">
        <v>158</v>
      </c>
      <c r="AU225" s="130" t="s">
        <v>103</v>
      </c>
      <c r="AV225" s="130" t="s">
        <v>103</v>
      </c>
      <c r="AW225" s="130" t="s">
        <v>113</v>
      </c>
      <c r="AX225" s="130" t="s">
        <v>82</v>
      </c>
      <c r="AY225" s="130" t="s">
        <v>151</v>
      </c>
    </row>
    <row r="226" spans="2:51" s="6" customFormat="1" ht="39" customHeight="1">
      <c r="B226" s="129"/>
      <c r="E226" s="130"/>
      <c r="F226" s="210" t="s">
        <v>295</v>
      </c>
      <c r="G226" s="211"/>
      <c r="H226" s="211"/>
      <c r="I226" s="211"/>
      <c r="K226" s="131">
        <v>168.066</v>
      </c>
      <c r="N226" s="130"/>
      <c r="R226" s="132"/>
      <c r="T226" s="133"/>
      <c r="AA226" s="134"/>
      <c r="AT226" s="130" t="s">
        <v>158</v>
      </c>
      <c r="AU226" s="130" t="s">
        <v>103</v>
      </c>
      <c r="AV226" s="130" t="s">
        <v>103</v>
      </c>
      <c r="AW226" s="130" t="s">
        <v>113</v>
      </c>
      <c r="AX226" s="130" t="s">
        <v>82</v>
      </c>
      <c r="AY226" s="130" t="s">
        <v>151</v>
      </c>
    </row>
    <row r="227" spans="2:51" s="6" customFormat="1" ht="15.75" customHeight="1">
      <c r="B227" s="129"/>
      <c r="E227" s="130"/>
      <c r="F227" s="210" t="s">
        <v>296</v>
      </c>
      <c r="G227" s="211"/>
      <c r="H227" s="211"/>
      <c r="I227" s="211"/>
      <c r="K227" s="131">
        <v>98.973</v>
      </c>
      <c r="N227" s="130"/>
      <c r="R227" s="132"/>
      <c r="T227" s="133"/>
      <c r="AA227" s="134"/>
      <c r="AT227" s="130" t="s">
        <v>158</v>
      </c>
      <c r="AU227" s="130" t="s">
        <v>103</v>
      </c>
      <c r="AV227" s="130" t="s">
        <v>103</v>
      </c>
      <c r="AW227" s="130" t="s">
        <v>113</v>
      </c>
      <c r="AX227" s="130" t="s">
        <v>82</v>
      </c>
      <c r="AY227" s="130" t="s">
        <v>151</v>
      </c>
    </row>
    <row r="228" spans="2:64" s="6" customFormat="1" ht="27" customHeight="1">
      <c r="B228" s="22"/>
      <c r="C228" s="141" t="s">
        <v>297</v>
      </c>
      <c r="D228" s="141" t="s">
        <v>183</v>
      </c>
      <c r="E228" s="142" t="s">
        <v>298</v>
      </c>
      <c r="F228" s="217" t="s">
        <v>299</v>
      </c>
      <c r="G228" s="218"/>
      <c r="H228" s="218"/>
      <c r="I228" s="218"/>
      <c r="J228" s="143" t="s">
        <v>269</v>
      </c>
      <c r="K228" s="144">
        <v>73.617</v>
      </c>
      <c r="L228" s="219">
        <v>0</v>
      </c>
      <c r="M228" s="218"/>
      <c r="N228" s="220">
        <f>ROUND($L$228*$K$228,2)</f>
        <v>0</v>
      </c>
      <c r="O228" s="213"/>
      <c r="P228" s="213"/>
      <c r="Q228" s="213"/>
      <c r="R228" s="23"/>
      <c r="T228" s="126"/>
      <c r="U228" s="29" t="s">
        <v>47</v>
      </c>
      <c r="V228" s="127">
        <v>0</v>
      </c>
      <c r="W228" s="127">
        <f>$V$228*$K$228</f>
        <v>0</v>
      </c>
      <c r="X228" s="127">
        <v>0.2</v>
      </c>
      <c r="Y228" s="127">
        <f>$X$228*$K$228</f>
        <v>14.723400000000002</v>
      </c>
      <c r="Z228" s="127">
        <v>0</v>
      </c>
      <c r="AA228" s="128">
        <f>$Z$228*$K$228</f>
        <v>0</v>
      </c>
      <c r="AR228" s="6" t="s">
        <v>182</v>
      </c>
      <c r="AT228" s="6" t="s">
        <v>183</v>
      </c>
      <c r="AU228" s="6" t="s">
        <v>103</v>
      </c>
      <c r="AY228" s="6" t="s">
        <v>151</v>
      </c>
      <c r="BE228" s="82">
        <f>IF($U$228="základní",$N$228,0)</f>
        <v>0</v>
      </c>
      <c r="BF228" s="82">
        <f>IF($U$228="snížená",$N$228,0)</f>
        <v>0</v>
      </c>
      <c r="BG228" s="82">
        <f>IF($U$228="zákl. přenesená",$N$228,0)</f>
        <v>0</v>
      </c>
      <c r="BH228" s="82">
        <f>IF($U$228="sníž. přenesená",$N$228,0)</f>
        <v>0</v>
      </c>
      <c r="BI228" s="82">
        <f>IF($U$228="nulová",$N$228,0)</f>
        <v>0</v>
      </c>
      <c r="BJ228" s="6" t="s">
        <v>21</v>
      </c>
      <c r="BK228" s="82">
        <f>ROUND($L$228*$K$228,2)</f>
        <v>0</v>
      </c>
      <c r="BL228" s="6" t="s">
        <v>156</v>
      </c>
    </row>
    <row r="229" spans="2:51" s="6" customFormat="1" ht="27" customHeight="1">
      <c r="B229" s="136"/>
      <c r="E229" s="137"/>
      <c r="F229" s="208" t="s">
        <v>300</v>
      </c>
      <c r="G229" s="209"/>
      <c r="H229" s="209"/>
      <c r="I229" s="209"/>
      <c r="K229" s="137"/>
      <c r="N229" s="137"/>
      <c r="R229" s="138"/>
      <c r="T229" s="139"/>
      <c r="AA229" s="140"/>
      <c r="AT229" s="137" t="s">
        <v>158</v>
      </c>
      <c r="AU229" s="137" t="s">
        <v>103</v>
      </c>
      <c r="AV229" s="137" t="s">
        <v>21</v>
      </c>
      <c r="AW229" s="137" t="s">
        <v>113</v>
      </c>
      <c r="AX229" s="137" t="s">
        <v>82</v>
      </c>
      <c r="AY229" s="137" t="s">
        <v>151</v>
      </c>
    </row>
    <row r="230" spans="2:51" s="6" customFormat="1" ht="39" customHeight="1">
      <c r="B230" s="129"/>
      <c r="E230" s="130"/>
      <c r="F230" s="210" t="s">
        <v>301</v>
      </c>
      <c r="G230" s="211"/>
      <c r="H230" s="211"/>
      <c r="I230" s="211"/>
      <c r="K230" s="131">
        <v>13.969</v>
      </c>
      <c r="N230" s="130"/>
      <c r="R230" s="132"/>
      <c r="T230" s="133"/>
      <c r="AA230" s="134"/>
      <c r="AT230" s="130" t="s">
        <v>158</v>
      </c>
      <c r="AU230" s="130" t="s">
        <v>103</v>
      </c>
      <c r="AV230" s="130" t="s">
        <v>103</v>
      </c>
      <c r="AW230" s="130" t="s">
        <v>113</v>
      </c>
      <c r="AX230" s="130" t="s">
        <v>82</v>
      </c>
      <c r="AY230" s="130" t="s">
        <v>151</v>
      </c>
    </row>
    <row r="231" spans="2:51" s="6" customFormat="1" ht="39" customHeight="1">
      <c r="B231" s="129"/>
      <c r="E231" s="130"/>
      <c r="F231" s="210" t="s">
        <v>302</v>
      </c>
      <c r="G231" s="211"/>
      <c r="H231" s="211"/>
      <c r="I231" s="211"/>
      <c r="K231" s="131">
        <v>9.995</v>
      </c>
      <c r="N231" s="130"/>
      <c r="R231" s="132"/>
      <c r="T231" s="133"/>
      <c r="AA231" s="134"/>
      <c r="AT231" s="130" t="s">
        <v>158</v>
      </c>
      <c r="AU231" s="130" t="s">
        <v>103</v>
      </c>
      <c r="AV231" s="130" t="s">
        <v>103</v>
      </c>
      <c r="AW231" s="130" t="s">
        <v>113</v>
      </c>
      <c r="AX231" s="130" t="s">
        <v>82</v>
      </c>
      <c r="AY231" s="130" t="s">
        <v>151</v>
      </c>
    </row>
    <row r="232" spans="2:51" s="6" customFormat="1" ht="39" customHeight="1">
      <c r="B232" s="129"/>
      <c r="E232" s="130"/>
      <c r="F232" s="210" t="s">
        <v>303</v>
      </c>
      <c r="G232" s="211"/>
      <c r="H232" s="211"/>
      <c r="I232" s="211"/>
      <c r="K232" s="131">
        <v>16.476</v>
      </c>
      <c r="N232" s="130"/>
      <c r="R232" s="132"/>
      <c r="T232" s="133"/>
      <c r="AA232" s="134"/>
      <c r="AT232" s="130" t="s">
        <v>158</v>
      </c>
      <c r="AU232" s="130" t="s">
        <v>103</v>
      </c>
      <c r="AV232" s="130" t="s">
        <v>103</v>
      </c>
      <c r="AW232" s="130" t="s">
        <v>113</v>
      </c>
      <c r="AX232" s="130" t="s">
        <v>82</v>
      </c>
      <c r="AY232" s="130" t="s">
        <v>151</v>
      </c>
    </row>
    <row r="233" spans="2:51" s="6" customFormat="1" ht="39" customHeight="1">
      <c r="B233" s="129"/>
      <c r="E233" s="130"/>
      <c r="F233" s="210" t="s">
        <v>304</v>
      </c>
      <c r="G233" s="211"/>
      <c r="H233" s="211"/>
      <c r="I233" s="211"/>
      <c r="K233" s="131">
        <v>18.674</v>
      </c>
      <c r="N233" s="130"/>
      <c r="R233" s="132"/>
      <c r="T233" s="133"/>
      <c r="AA233" s="134"/>
      <c r="AT233" s="130" t="s">
        <v>158</v>
      </c>
      <c r="AU233" s="130" t="s">
        <v>103</v>
      </c>
      <c r="AV233" s="130" t="s">
        <v>103</v>
      </c>
      <c r="AW233" s="130" t="s">
        <v>113</v>
      </c>
      <c r="AX233" s="130" t="s">
        <v>82</v>
      </c>
      <c r="AY233" s="130" t="s">
        <v>151</v>
      </c>
    </row>
    <row r="234" spans="2:51" s="6" customFormat="1" ht="15.75" customHeight="1">
      <c r="B234" s="129"/>
      <c r="E234" s="130"/>
      <c r="F234" s="210" t="s">
        <v>305</v>
      </c>
      <c r="G234" s="211"/>
      <c r="H234" s="211"/>
      <c r="I234" s="211"/>
      <c r="K234" s="131">
        <v>10.997</v>
      </c>
      <c r="N234" s="130"/>
      <c r="R234" s="132"/>
      <c r="T234" s="133"/>
      <c r="AA234" s="134"/>
      <c r="AT234" s="130" t="s">
        <v>158</v>
      </c>
      <c r="AU234" s="130" t="s">
        <v>103</v>
      </c>
      <c r="AV234" s="130" t="s">
        <v>103</v>
      </c>
      <c r="AW234" s="130" t="s">
        <v>113</v>
      </c>
      <c r="AX234" s="130" t="s">
        <v>82</v>
      </c>
      <c r="AY234" s="130" t="s">
        <v>151</v>
      </c>
    </row>
    <row r="235" spans="2:64" s="6" customFormat="1" ht="27" customHeight="1">
      <c r="B235" s="22"/>
      <c r="C235" s="141" t="s">
        <v>306</v>
      </c>
      <c r="D235" s="141" t="s">
        <v>183</v>
      </c>
      <c r="E235" s="142" t="s">
        <v>307</v>
      </c>
      <c r="F235" s="217" t="s">
        <v>308</v>
      </c>
      <c r="G235" s="218"/>
      <c r="H235" s="218"/>
      <c r="I235" s="218"/>
      <c r="J235" s="143" t="s">
        <v>269</v>
      </c>
      <c r="K235" s="144">
        <v>137.057</v>
      </c>
      <c r="L235" s="219">
        <v>0</v>
      </c>
      <c r="M235" s="218"/>
      <c r="N235" s="220">
        <f>ROUND($L$235*$K$235,2)</f>
        <v>0</v>
      </c>
      <c r="O235" s="213"/>
      <c r="P235" s="213"/>
      <c r="Q235" s="213"/>
      <c r="R235" s="23"/>
      <c r="T235" s="126"/>
      <c r="U235" s="29" t="s">
        <v>47</v>
      </c>
      <c r="V235" s="127">
        <v>0</v>
      </c>
      <c r="W235" s="127">
        <f>$V$235*$K$235</f>
        <v>0</v>
      </c>
      <c r="X235" s="127">
        <v>0.08</v>
      </c>
      <c r="Y235" s="127">
        <f>$X$235*$K$235</f>
        <v>10.964559999999999</v>
      </c>
      <c r="Z235" s="127">
        <v>0</v>
      </c>
      <c r="AA235" s="128">
        <f>$Z$235*$K$235</f>
        <v>0</v>
      </c>
      <c r="AR235" s="6" t="s">
        <v>182</v>
      </c>
      <c r="AT235" s="6" t="s">
        <v>183</v>
      </c>
      <c r="AU235" s="6" t="s">
        <v>103</v>
      </c>
      <c r="AY235" s="6" t="s">
        <v>151</v>
      </c>
      <c r="BE235" s="82">
        <f>IF($U$235="základní",$N$235,0)</f>
        <v>0</v>
      </c>
      <c r="BF235" s="82">
        <f>IF($U$235="snížená",$N$235,0)</f>
        <v>0</v>
      </c>
      <c r="BG235" s="82">
        <f>IF($U$235="zákl. přenesená",$N$235,0)</f>
        <v>0</v>
      </c>
      <c r="BH235" s="82">
        <f>IF($U$235="sníž. přenesená",$N$235,0)</f>
        <v>0</v>
      </c>
      <c r="BI235" s="82">
        <f>IF($U$235="nulová",$N$235,0)</f>
        <v>0</v>
      </c>
      <c r="BJ235" s="6" t="s">
        <v>21</v>
      </c>
      <c r="BK235" s="82">
        <f>ROUND($L$235*$K$235,2)</f>
        <v>0</v>
      </c>
      <c r="BL235" s="6" t="s">
        <v>156</v>
      </c>
    </row>
    <row r="236" spans="2:51" s="6" customFormat="1" ht="15.75" customHeight="1">
      <c r="B236" s="136"/>
      <c r="E236" s="137"/>
      <c r="F236" s="208" t="s">
        <v>309</v>
      </c>
      <c r="G236" s="209"/>
      <c r="H236" s="209"/>
      <c r="I236" s="209"/>
      <c r="K236" s="137"/>
      <c r="N236" s="137"/>
      <c r="R236" s="138"/>
      <c r="T236" s="139"/>
      <c r="AA236" s="140"/>
      <c r="AT236" s="137" t="s">
        <v>158</v>
      </c>
      <c r="AU236" s="137" t="s">
        <v>103</v>
      </c>
      <c r="AV236" s="137" t="s">
        <v>21</v>
      </c>
      <c r="AW236" s="137" t="s">
        <v>113</v>
      </c>
      <c r="AX236" s="137" t="s">
        <v>82</v>
      </c>
      <c r="AY236" s="137" t="s">
        <v>151</v>
      </c>
    </row>
    <row r="237" spans="2:51" s="6" customFormat="1" ht="27" customHeight="1">
      <c r="B237" s="129"/>
      <c r="E237" s="130"/>
      <c r="F237" s="210" t="s">
        <v>310</v>
      </c>
      <c r="G237" s="211"/>
      <c r="H237" s="211"/>
      <c r="I237" s="211"/>
      <c r="K237" s="131">
        <v>44.4</v>
      </c>
      <c r="N237" s="130"/>
      <c r="R237" s="132"/>
      <c r="T237" s="133"/>
      <c r="AA237" s="134"/>
      <c r="AT237" s="130" t="s">
        <v>158</v>
      </c>
      <c r="AU237" s="130" t="s">
        <v>103</v>
      </c>
      <c r="AV237" s="130" t="s">
        <v>103</v>
      </c>
      <c r="AW237" s="130" t="s">
        <v>113</v>
      </c>
      <c r="AX237" s="130" t="s">
        <v>82</v>
      </c>
      <c r="AY237" s="130" t="s">
        <v>151</v>
      </c>
    </row>
    <row r="238" spans="2:51" s="6" customFormat="1" ht="39" customHeight="1">
      <c r="B238" s="129"/>
      <c r="E238" s="130"/>
      <c r="F238" s="210" t="s">
        <v>311</v>
      </c>
      <c r="G238" s="211"/>
      <c r="H238" s="211"/>
      <c r="I238" s="211"/>
      <c r="K238" s="131">
        <v>86.13</v>
      </c>
      <c r="N238" s="130"/>
      <c r="R238" s="132"/>
      <c r="T238" s="133"/>
      <c r="AA238" s="134"/>
      <c r="AT238" s="130" t="s">
        <v>158</v>
      </c>
      <c r="AU238" s="130" t="s">
        <v>103</v>
      </c>
      <c r="AV238" s="130" t="s">
        <v>103</v>
      </c>
      <c r="AW238" s="130" t="s">
        <v>113</v>
      </c>
      <c r="AX238" s="130" t="s">
        <v>82</v>
      </c>
      <c r="AY238" s="130" t="s">
        <v>151</v>
      </c>
    </row>
    <row r="239" spans="2:64" s="6" customFormat="1" ht="27" customHeight="1">
      <c r="B239" s="22"/>
      <c r="C239" s="122" t="s">
        <v>312</v>
      </c>
      <c r="D239" s="122" t="s">
        <v>152</v>
      </c>
      <c r="E239" s="123" t="s">
        <v>313</v>
      </c>
      <c r="F239" s="212" t="s">
        <v>314</v>
      </c>
      <c r="G239" s="213"/>
      <c r="H239" s="213"/>
      <c r="I239" s="213"/>
      <c r="J239" s="124" t="s">
        <v>269</v>
      </c>
      <c r="K239" s="125">
        <v>52.56</v>
      </c>
      <c r="L239" s="214">
        <v>0</v>
      </c>
      <c r="M239" s="213"/>
      <c r="N239" s="215">
        <f>ROUND($L$239*$K$239,2)</f>
        <v>0</v>
      </c>
      <c r="O239" s="213"/>
      <c r="P239" s="213"/>
      <c r="Q239" s="213"/>
      <c r="R239" s="23"/>
      <c r="T239" s="126"/>
      <c r="U239" s="29" t="s">
        <v>47</v>
      </c>
      <c r="V239" s="127">
        <v>0.14</v>
      </c>
      <c r="W239" s="127">
        <f>$V$239*$K$239</f>
        <v>7.358400000000001</v>
      </c>
      <c r="X239" s="127">
        <v>0.10095</v>
      </c>
      <c r="Y239" s="127">
        <f>$X$239*$K$239</f>
        <v>5.305932</v>
      </c>
      <c r="Z239" s="127">
        <v>0</v>
      </c>
      <c r="AA239" s="128">
        <f>$Z$239*$K$239</f>
        <v>0</v>
      </c>
      <c r="AR239" s="6" t="s">
        <v>156</v>
      </c>
      <c r="AT239" s="6" t="s">
        <v>152</v>
      </c>
      <c r="AU239" s="6" t="s">
        <v>103</v>
      </c>
      <c r="AY239" s="6" t="s">
        <v>151</v>
      </c>
      <c r="BE239" s="82">
        <f>IF($U$239="základní",$N$239,0)</f>
        <v>0</v>
      </c>
      <c r="BF239" s="82">
        <f>IF($U$239="snížená",$N$239,0)</f>
        <v>0</v>
      </c>
      <c r="BG239" s="82">
        <f>IF($U$239="zákl. přenesená",$N$239,0)</f>
        <v>0</v>
      </c>
      <c r="BH239" s="82">
        <f>IF($U$239="sníž. přenesená",$N$239,0)</f>
        <v>0</v>
      </c>
      <c r="BI239" s="82">
        <f>IF($U$239="nulová",$N$239,0)</f>
        <v>0</v>
      </c>
      <c r="BJ239" s="6" t="s">
        <v>21</v>
      </c>
      <c r="BK239" s="82">
        <f>ROUND($L$239*$K$239,2)</f>
        <v>0</v>
      </c>
      <c r="BL239" s="6" t="s">
        <v>156</v>
      </c>
    </row>
    <row r="240" spans="2:51" s="6" customFormat="1" ht="15.75" customHeight="1">
      <c r="B240" s="136"/>
      <c r="E240" s="137"/>
      <c r="F240" s="208" t="s">
        <v>315</v>
      </c>
      <c r="G240" s="209"/>
      <c r="H240" s="209"/>
      <c r="I240" s="209"/>
      <c r="K240" s="137"/>
      <c r="N240" s="137"/>
      <c r="R240" s="138"/>
      <c r="T240" s="139"/>
      <c r="AA240" s="140"/>
      <c r="AT240" s="137" t="s">
        <v>158</v>
      </c>
      <c r="AU240" s="137" t="s">
        <v>103</v>
      </c>
      <c r="AV240" s="137" t="s">
        <v>21</v>
      </c>
      <c r="AW240" s="137" t="s">
        <v>113</v>
      </c>
      <c r="AX240" s="137" t="s">
        <v>82</v>
      </c>
      <c r="AY240" s="137" t="s">
        <v>151</v>
      </c>
    </row>
    <row r="241" spans="2:51" s="6" customFormat="1" ht="15.75" customHeight="1">
      <c r="B241" s="129"/>
      <c r="E241" s="130"/>
      <c r="F241" s="210" t="s">
        <v>316</v>
      </c>
      <c r="G241" s="211"/>
      <c r="H241" s="211"/>
      <c r="I241" s="211"/>
      <c r="K241" s="131">
        <v>52.56</v>
      </c>
      <c r="N241" s="130"/>
      <c r="R241" s="132"/>
      <c r="T241" s="133"/>
      <c r="AA241" s="134"/>
      <c r="AT241" s="130" t="s">
        <v>158</v>
      </c>
      <c r="AU241" s="130" t="s">
        <v>103</v>
      </c>
      <c r="AV241" s="130" t="s">
        <v>103</v>
      </c>
      <c r="AW241" s="130" t="s">
        <v>113</v>
      </c>
      <c r="AX241" s="130" t="s">
        <v>82</v>
      </c>
      <c r="AY241" s="130" t="s">
        <v>151</v>
      </c>
    </row>
    <row r="242" spans="2:64" s="6" customFormat="1" ht="27" customHeight="1">
      <c r="B242" s="22"/>
      <c r="C242" s="141" t="s">
        <v>317</v>
      </c>
      <c r="D242" s="141" t="s">
        <v>183</v>
      </c>
      <c r="E242" s="142" t="s">
        <v>318</v>
      </c>
      <c r="F242" s="217" t="s">
        <v>319</v>
      </c>
      <c r="G242" s="218"/>
      <c r="H242" s="218"/>
      <c r="I242" s="218"/>
      <c r="J242" s="143" t="s">
        <v>273</v>
      </c>
      <c r="K242" s="144">
        <v>110.376</v>
      </c>
      <c r="L242" s="219">
        <v>0</v>
      </c>
      <c r="M242" s="218"/>
      <c r="N242" s="220">
        <f>ROUND($L$242*$K$242,2)</f>
        <v>0</v>
      </c>
      <c r="O242" s="213"/>
      <c r="P242" s="213"/>
      <c r="Q242" s="213"/>
      <c r="R242" s="23"/>
      <c r="T242" s="126"/>
      <c r="U242" s="29" t="s">
        <v>47</v>
      </c>
      <c r="V242" s="127">
        <v>0</v>
      </c>
      <c r="W242" s="127">
        <f>$V$242*$K$242</f>
        <v>0</v>
      </c>
      <c r="X242" s="127">
        <v>0.011</v>
      </c>
      <c r="Y242" s="127">
        <f>$X$242*$K$242</f>
        <v>1.2141359999999999</v>
      </c>
      <c r="Z242" s="127">
        <v>0</v>
      </c>
      <c r="AA242" s="128">
        <f>$Z$242*$K$242</f>
        <v>0</v>
      </c>
      <c r="AR242" s="6" t="s">
        <v>182</v>
      </c>
      <c r="AT242" s="6" t="s">
        <v>183</v>
      </c>
      <c r="AU242" s="6" t="s">
        <v>103</v>
      </c>
      <c r="AY242" s="6" t="s">
        <v>151</v>
      </c>
      <c r="BE242" s="82">
        <f>IF($U$242="základní",$N$242,0)</f>
        <v>0</v>
      </c>
      <c r="BF242" s="82">
        <f>IF($U$242="snížená",$N$242,0)</f>
        <v>0</v>
      </c>
      <c r="BG242" s="82">
        <f>IF($U$242="zákl. přenesená",$N$242,0)</f>
        <v>0</v>
      </c>
      <c r="BH242" s="82">
        <f>IF($U$242="sníž. přenesená",$N$242,0)</f>
        <v>0</v>
      </c>
      <c r="BI242" s="82">
        <f>IF($U$242="nulová",$N$242,0)</f>
        <v>0</v>
      </c>
      <c r="BJ242" s="6" t="s">
        <v>21</v>
      </c>
      <c r="BK242" s="82">
        <f>ROUND($L$242*$K$242,2)</f>
        <v>0</v>
      </c>
      <c r="BL242" s="6" t="s">
        <v>156</v>
      </c>
    </row>
    <row r="243" spans="2:47" s="6" customFormat="1" ht="18.75" customHeight="1">
      <c r="B243" s="22"/>
      <c r="F243" s="216" t="s">
        <v>320</v>
      </c>
      <c r="G243" s="173"/>
      <c r="H243" s="173"/>
      <c r="I243" s="173"/>
      <c r="R243" s="23"/>
      <c r="T243" s="57"/>
      <c r="AA243" s="58"/>
      <c r="AT243" s="6" t="s">
        <v>198</v>
      </c>
      <c r="AU243" s="6" t="s">
        <v>103</v>
      </c>
    </row>
    <row r="244" spans="2:64" s="6" customFormat="1" ht="27" customHeight="1">
      <c r="B244" s="22"/>
      <c r="C244" s="122" t="s">
        <v>321</v>
      </c>
      <c r="D244" s="122" t="s">
        <v>152</v>
      </c>
      <c r="E244" s="123" t="s">
        <v>322</v>
      </c>
      <c r="F244" s="212" t="s">
        <v>323</v>
      </c>
      <c r="G244" s="213"/>
      <c r="H244" s="213"/>
      <c r="I244" s="213"/>
      <c r="J244" s="124" t="s">
        <v>163</v>
      </c>
      <c r="K244" s="125">
        <v>55.035</v>
      </c>
      <c r="L244" s="214">
        <v>0</v>
      </c>
      <c r="M244" s="213"/>
      <c r="N244" s="215">
        <f>ROUND($L$244*$K$244,2)</f>
        <v>0</v>
      </c>
      <c r="O244" s="213"/>
      <c r="P244" s="213"/>
      <c r="Q244" s="213"/>
      <c r="R244" s="23"/>
      <c r="T244" s="126"/>
      <c r="U244" s="29" t="s">
        <v>47</v>
      </c>
      <c r="V244" s="127">
        <v>1.442</v>
      </c>
      <c r="W244" s="127">
        <f>$V$244*$K$244</f>
        <v>79.36046999999999</v>
      </c>
      <c r="X244" s="127">
        <v>2.25634</v>
      </c>
      <c r="Y244" s="127">
        <f>$X$244*$K$244</f>
        <v>124.17767189999998</v>
      </c>
      <c r="Z244" s="127">
        <v>0</v>
      </c>
      <c r="AA244" s="128">
        <f>$Z$244*$K$244</f>
        <v>0</v>
      </c>
      <c r="AR244" s="6" t="s">
        <v>156</v>
      </c>
      <c r="AT244" s="6" t="s">
        <v>152</v>
      </c>
      <c r="AU244" s="6" t="s">
        <v>103</v>
      </c>
      <c r="AY244" s="6" t="s">
        <v>151</v>
      </c>
      <c r="BE244" s="82">
        <f>IF($U$244="základní",$N$244,0)</f>
        <v>0</v>
      </c>
      <c r="BF244" s="82">
        <f>IF($U$244="snížená",$N$244,0)</f>
        <v>0</v>
      </c>
      <c r="BG244" s="82">
        <f>IF($U$244="zákl. přenesená",$N$244,0)</f>
        <v>0</v>
      </c>
      <c r="BH244" s="82">
        <f>IF($U$244="sníž. přenesená",$N$244,0)</f>
        <v>0</v>
      </c>
      <c r="BI244" s="82">
        <f>IF($U$244="nulová",$N$244,0)</f>
        <v>0</v>
      </c>
      <c r="BJ244" s="6" t="s">
        <v>21</v>
      </c>
      <c r="BK244" s="82">
        <f>ROUND($L$244*$K$244,2)</f>
        <v>0</v>
      </c>
      <c r="BL244" s="6" t="s">
        <v>156</v>
      </c>
    </row>
    <row r="245" spans="2:51" s="6" customFormat="1" ht="15.75" customHeight="1">
      <c r="B245" s="136"/>
      <c r="E245" s="137"/>
      <c r="F245" s="208" t="s">
        <v>324</v>
      </c>
      <c r="G245" s="209"/>
      <c r="H245" s="209"/>
      <c r="I245" s="209"/>
      <c r="K245" s="137"/>
      <c r="N245" s="137"/>
      <c r="R245" s="138"/>
      <c r="T245" s="139"/>
      <c r="AA245" s="140"/>
      <c r="AT245" s="137" t="s">
        <v>158</v>
      </c>
      <c r="AU245" s="137" t="s">
        <v>103</v>
      </c>
      <c r="AV245" s="137" t="s">
        <v>21</v>
      </c>
      <c r="AW245" s="137" t="s">
        <v>113</v>
      </c>
      <c r="AX245" s="137" t="s">
        <v>82</v>
      </c>
      <c r="AY245" s="137" t="s">
        <v>151</v>
      </c>
    </row>
    <row r="246" spans="2:51" s="6" customFormat="1" ht="15.75" customHeight="1">
      <c r="B246" s="129"/>
      <c r="E246" s="130"/>
      <c r="F246" s="210" t="s">
        <v>325</v>
      </c>
      <c r="G246" s="211"/>
      <c r="H246" s="211"/>
      <c r="I246" s="211"/>
      <c r="K246" s="131">
        <v>7.036</v>
      </c>
      <c r="N246" s="130"/>
      <c r="R246" s="132"/>
      <c r="T246" s="133"/>
      <c r="AA246" s="134"/>
      <c r="AT246" s="130" t="s">
        <v>158</v>
      </c>
      <c r="AU246" s="130" t="s">
        <v>103</v>
      </c>
      <c r="AV246" s="130" t="s">
        <v>103</v>
      </c>
      <c r="AW246" s="130" t="s">
        <v>113</v>
      </c>
      <c r="AX246" s="130" t="s">
        <v>82</v>
      </c>
      <c r="AY246" s="130" t="s">
        <v>151</v>
      </c>
    </row>
    <row r="247" spans="2:51" s="6" customFormat="1" ht="15.75" customHeight="1">
      <c r="B247" s="136"/>
      <c r="E247" s="137"/>
      <c r="F247" s="208" t="s">
        <v>326</v>
      </c>
      <c r="G247" s="209"/>
      <c r="H247" s="209"/>
      <c r="I247" s="209"/>
      <c r="K247" s="137"/>
      <c r="N247" s="137"/>
      <c r="R247" s="138"/>
      <c r="T247" s="139"/>
      <c r="AA247" s="140"/>
      <c r="AT247" s="137" t="s">
        <v>158</v>
      </c>
      <c r="AU247" s="137" t="s">
        <v>103</v>
      </c>
      <c r="AV247" s="137" t="s">
        <v>21</v>
      </c>
      <c r="AW247" s="137" t="s">
        <v>113</v>
      </c>
      <c r="AX247" s="137" t="s">
        <v>82</v>
      </c>
      <c r="AY247" s="137" t="s">
        <v>151</v>
      </c>
    </row>
    <row r="248" spans="2:51" s="6" customFormat="1" ht="15.75" customHeight="1">
      <c r="B248" s="129"/>
      <c r="E248" s="130"/>
      <c r="F248" s="210" t="s">
        <v>327</v>
      </c>
      <c r="G248" s="211"/>
      <c r="H248" s="211"/>
      <c r="I248" s="211"/>
      <c r="K248" s="131">
        <v>42.287</v>
      </c>
      <c r="N248" s="130"/>
      <c r="R248" s="132"/>
      <c r="T248" s="133"/>
      <c r="AA248" s="134"/>
      <c r="AT248" s="130" t="s">
        <v>158</v>
      </c>
      <c r="AU248" s="130" t="s">
        <v>103</v>
      </c>
      <c r="AV248" s="130" t="s">
        <v>103</v>
      </c>
      <c r="AW248" s="130" t="s">
        <v>113</v>
      </c>
      <c r="AX248" s="130" t="s">
        <v>82</v>
      </c>
      <c r="AY248" s="130" t="s">
        <v>151</v>
      </c>
    </row>
    <row r="249" spans="2:51" s="6" customFormat="1" ht="15.75" customHeight="1">
      <c r="B249" s="136"/>
      <c r="E249" s="137"/>
      <c r="F249" s="208" t="s">
        <v>328</v>
      </c>
      <c r="G249" s="209"/>
      <c r="H249" s="209"/>
      <c r="I249" s="209"/>
      <c r="K249" s="137"/>
      <c r="N249" s="137"/>
      <c r="R249" s="138"/>
      <c r="T249" s="139"/>
      <c r="AA249" s="140"/>
      <c r="AT249" s="137" t="s">
        <v>158</v>
      </c>
      <c r="AU249" s="137" t="s">
        <v>103</v>
      </c>
      <c r="AV249" s="137" t="s">
        <v>21</v>
      </c>
      <c r="AW249" s="137" t="s">
        <v>113</v>
      </c>
      <c r="AX249" s="137" t="s">
        <v>82</v>
      </c>
      <c r="AY249" s="137" t="s">
        <v>151</v>
      </c>
    </row>
    <row r="250" spans="2:51" s="6" customFormat="1" ht="15.75" customHeight="1">
      <c r="B250" s="129"/>
      <c r="E250" s="130"/>
      <c r="F250" s="210" t="s">
        <v>329</v>
      </c>
      <c r="G250" s="211"/>
      <c r="H250" s="211"/>
      <c r="I250" s="211"/>
      <c r="K250" s="131">
        <v>4.398</v>
      </c>
      <c r="N250" s="130"/>
      <c r="R250" s="132"/>
      <c r="T250" s="133"/>
      <c r="AA250" s="134"/>
      <c r="AT250" s="130" t="s">
        <v>158</v>
      </c>
      <c r="AU250" s="130" t="s">
        <v>103</v>
      </c>
      <c r="AV250" s="130" t="s">
        <v>103</v>
      </c>
      <c r="AW250" s="130" t="s">
        <v>113</v>
      </c>
      <c r="AX250" s="130" t="s">
        <v>82</v>
      </c>
      <c r="AY250" s="130" t="s">
        <v>151</v>
      </c>
    </row>
    <row r="251" spans="2:51" s="6" customFormat="1" ht="15.75" customHeight="1">
      <c r="B251" s="136"/>
      <c r="E251" s="137"/>
      <c r="F251" s="208" t="s">
        <v>330</v>
      </c>
      <c r="G251" s="209"/>
      <c r="H251" s="209"/>
      <c r="I251" s="209"/>
      <c r="K251" s="137"/>
      <c r="N251" s="137"/>
      <c r="R251" s="138"/>
      <c r="T251" s="139"/>
      <c r="AA251" s="140"/>
      <c r="AT251" s="137" t="s">
        <v>158</v>
      </c>
      <c r="AU251" s="137" t="s">
        <v>103</v>
      </c>
      <c r="AV251" s="137" t="s">
        <v>21</v>
      </c>
      <c r="AW251" s="137" t="s">
        <v>113</v>
      </c>
      <c r="AX251" s="137" t="s">
        <v>82</v>
      </c>
      <c r="AY251" s="137" t="s">
        <v>151</v>
      </c>
    </row>
    <row r="252" spans="2:51" s="6" customFormat="1" ht="15.75" customHeight="1">
      <c r="B252" s="129"/>
      <c r="E252" s="130"/>
      <c r="F252" s="210" t="s">
        <v>331</v>
      </c>
      <c r="G252" s="211"/>
      <c r="H252" s="211"/>
      <c r="I252" s="211"/>
      <c r="K252" s="131">
        <v>1.314</v>
      </c>
      <c r="N252" s="130"/>
      <c r="R252" s="132"/>
      <c r="T252" s="133"/>
      <c r="AA252" s="134"/>
      <c r="AT252" s="130" t="s">
        <v>158</v>
      </c>
      <c r="AU252" s="130" t="s">
        <v>103</v>
      </c>
      <c r="AV252" s="130" t="s">
        <v>103</v>
      </c>
      <c r="AW252" s="130" t="s">
        <v>113</v>
      </c>
      <c r="AX252" s="130" t="s">
        <v>82</v>
      </c>
      <c r="AY252" s="130" t="s">
        <v>151</v>
      </c>
    </row>
    <row r="253" spans="2:63" s="113" customFormat="1" ht="30.75" customHeight="1">
      <c r="B253" s="114"/>
      <c r="D253" s="135" t="s">
        <v>123</v>
      </c>
      <c r="N253" s="206">
        <f>$BK$253</f>
        <v>0</v>
      </c>
      <c r="O253" s="207"/>
      <c r="P253" s="207"/>
      <c r="Q253" s="207"/>
      <c r="R253" s="117"/>
      <c r="T253" s="118"/>
      <c r="W253" s="119">
        <f>SUM($W$254:$W$257)</f>
        <v>57.057</v>
      </c>
      <c r="Y253" s="119">
        <f>SUM($Y$254:$Y$257)</f>
        <v>0.5301</v>
      </c>
      <c r="AA253" s="120">
        <f>SUM($AA$254:$AA$257)</f>
        <v>0</v>
      </c>
      <c r="AR253" s="116" t="s">
        <v>21</v>
      </c>
      <c r="AT253" s="116" t="s">
        <v>81</v>
      </c>
      <c r="AU253" s="116" t="s">
        <v>21</v>
      </c>
      <c r="AY253" s="116" t="s">
        <v>151</v>
      </c>
      <c r="BK253" s="121">
        <f>SUM($BK$254:$BK$257)</f>
        <v>0</v>
      </c>
    </row>
    <row r="254" spans="2:64" s="6" customFormat="1" ht="27" customHeight="1">
      <c r="B254" s="22"/>
      <c r="C254" s="122" t="s">
        <v>332</v>
      </c>
      <c r="D254" s="122" t="s">
        <v>152</v>
      </c>
      <c r="E254" s="123" t="s">
        <v>333</v>
      </c>
      <c r="F254" s="212" t="s">
        <v>334</v>
      </c>
      <c r="G254" s="213"/>
      <c r="H254" s="213"/>
      <c r="I254" s="213"/>
      <c r="J254" s="124" t="s">
        <v>273</v>
      </c>
      <c r="K254" s="125">
        <v>19</v>
      </c>
      <c r="L254" s="214">
        <v>0</v>
      </c>
      <c r="M254" s="213"/>
      <c r="N254" s="215">
        <f>ROUND($L$254*$K$254,2)</f>
        <v>0</v>
      </c>
      <c r="O254" s="213"/>
      <c r="P254" s="213"/>
      <c r="Q254" s="213"/>
      <c r="R254" s="23"/>
      <c r="T254" s="126"/>
      <c r="U254" s="29" t="s">
        <v>47</v>
      </c>
      <c r="V254" s="127">
        <v>0.667</v>
      </c>
      <c r="W254" s="127">
        <f>$V$254*$K$254</f>
        <v>12.673</v>
      </c>
      <c r="X254" s="127">
        <v>0.0015</v>
      </c>
      <c r="Y254" s="127">
        <f>$X$254*$K$254</f>
        <v>0.0285</v>
      </c>
      <c r="Z254" s="127">
        <v>0</v>
      </c>
      <c r="AA254" s="128">
        <f>$Z$254*$K$254</f>
        <v>0</v>
      </c>
      <c r="AR254" s="6" t="s">
        <v>156</v>
      </c>
      <c r="AT254" s="6" t="s">
        <v>152</v>
      </c>
      <c r="AU254" s="6" t="s">
        <v>103</v>
      </c>
      <c r="AY254" s="6" t="s">
        <v>151</v>
      </c>
      <c r="BE254" s="82">
        <f>IF($U$254="základní",$N$254,0)</f>
        <v>0</v>
      </c>
      <c r="BF254" s="82">
        <f>IF($U$254="snížená",$N$254,0)</f>
        <v>0</v>
      </c>
      <c r="BG254" s="82">
        <f>IF($U$254="zákl. přenesená",$N$254,0)</f>
        <v>0</v>
      </c>
      <c r="BH254" s="82">
        <f>IF($U$254="sníž. přenesená",$N$254,0)</f>
        <v>0</v>
      </c>
      <c r="BI254" s="82">
        <f>IF($U$254="nulová",$N$254,0)</f>
        <v>0</v>
      </c>
      <c r="BJ254" s="6" t="s">
        <v>21</v>
      </c>
      <c r="BK254" s="82">
        <f>ROUND($L$254*$K$254,2)</f>
        <v>0</v>
      </c>
      <c r="BL254" s="6" t="s">
        <v>156</v>
      </c>
    </row>
    <row r="255" spans="2:64" s="6" customFormat="1" ht="27" customHeight="1">
      <c r="B255" s="22"/>
      <c r="C255" s="122" t="s">
        <v>335</v>
      </c>
      <c r="D255" s="122" t="s">
        <v>152</v>
      </c>
      <c r="E255" s="123" t="s">
        <v>336</v>
      </c>
      <c r="F255" s="212" t="s">
        <v>337</v>
      </c>
      <c r="G255" s="213"/>
      <c r="H255" s="213"/>
      <c r="I255" s="213"/>
      <c r="J255" s="124" t="s">
        <v>269</v>
      </c>
      <c r="K255" s="125">
        <v>152</v>
      </c>
      <c r="L255" s="214">
        <v>0</v>
      </c>
      <c r="M255" s="213"/>
      <c r="N255" s="215">
        <f>ROUND($L$255*$K$255,2)</f>
        <v>0</v>
      </c>
      <c r="O255" s="213"/>
      <c r="P255" s="213"/>
      <c r="Q255" s="213"/>
      <c r="R255" s="23"/>
      <c r="T255" s="126"/>
      <c r="U255" s="29" t="s">
        <v>47</v>
      </c>
      <c r="V255" s="127">
        <v>0.292</v>
      </c>
      <c r="W255" s="127">
        <f>$V$255*$K$255</f>
        <v>44.384</v>
      </c>
      <c r="X255" s="127">
        <v>0.0033</v>
      </c>
      <c r="Y255" s="127">
        <f>$X$255*$K$255</f>
        <v>0.5016</v>
      </c>
      <c r="Z255" s="127">
        <v>0</v>
      </c>
      <c r="AA255" s="128">
        <f>$Z$255*$K$255</f>
        <v>0</v>
      </c>
      <c r="AR255" s="6" t="s">
        <v>156</v>
      </c>
      <c r="AT255" s="6" t="s">
        <v>152</v>
      </c>
      <c r="AU255" s="6" t="s">
        <v>103</v>
      </c>
      <c r="AY255" s="6" t="s">
        <v>151</v>
      </c>
      <c r="BE255" s="82">
        <f>IF($U$255="základní",$N$255,0)</f>
        <v>0</v>
      </c>
      <c r="BF255" s="82">
        <f>IF($U$255="snížená",$N$255,0)</f>
        <v>0</v>
      </c>
      <c r="BG255" s="82">
        <f>IF($U$255="zákl. přenesená",$N$255,0)</f>
        <v>0</v>
      </c>
      <c r="BH255" s="82">
        <f>IF($U$255="sníž. přenesená",$N$255,0)</f>
        <v>0</v>
      </c>
      <c r="BI255" s="82">
        <f>IF($U$255="nulová",$N$255,0)</f>
        <v>0</v>
      </c>
      <c r="BJ255" s="6" t="s">
        <v>21</v>
      </c>
      <c r="BK255" s="82">
        <f>ROUND($L$255*$K$255,2)</f>
        <v>0</v>
      </c>
      <c r="BL255" s="6" t="s">
        <v>156</v>
      </c>
    </row>
    <row r="256" spans="2:51" s="6" customFormat="1" ht="15.75" customHeight="1">
      <c r="B256" s="129"/>
      <c r="E256" s="130"/>
      <c r="F256" s="210" t="s">
        <v>338</v>
      </c>
      <c r="G256" s="211"/>
      <c r="H256" s="211"/>
      <c r="I256" s="211"/>
      <c r="K256" s="131">
        <v>152</v>
      </c>
      <c r="N256" s="130"/>
      <c r="R256" s="132"/>
      <c r="T256" s="133"/>
      <c r="AA256" s="134"/>
      <c r="AT256" s="130" t="s">
        <v>158</v>
      </c>
      <c r="AU256" s="130" t="s">
        <v>103</v>
      </c>
      <c r="AV256" s="130" t="s">
        <v>103</v>
      </c>
      <c r="AW256" s="130" t="s">
        <v>113</v>
      </c>
      <c r="AX256" s="130" t="s">
        <v>82</v>
      </c>
      <c r="AY256" s="130" t="s">
        <v>151</v>
      </c>
    </row>
    <row r="257" spans="2:64" s="6" customFormat="1" ht="27" customHeight="1">
      <c r="B257" s="22"/>
      <c r="C257" s="122" t="s">
        <v>339</v>
      </c>
      <c r="D257" s="122" t="s">
        <v>152</v>
      </c>
      <c r="E257" s="123" t="s">
        <v>340</v>
      </c>
      <c r="F257" s="212" t="s">
        <v>341</v>
      </c>
      <c r="G257" s="213"/>
      <c r="H257" s="213"/>
      <c r="I257" s="213"/>
      <c r="J257" s="124" t="s">
        <v>269</v>
      </c>
      <c r="K257" s="125">
        <v>1.5</v>
      </c>
      <c r="L257" s="214">
        <v>0</v>
      </c>
      <c r="M257" s="213"/>
      <c r="N257" s="215">
        <f>ROUND($L$257*$K$257,2)</f>
        <v>0</v>
      </c>
      <c r="O257" s="213"/>
      <c r="P257" s="213"/>
      <c r="Q257" s="213"/>
      <c r="R257" s="23"/>
      <c r="T257" s="126"/>
      <c r="U257" s="29" t="s">
        <v>47</v>
      </c>
      <c r="V257" s="127">
        <v>0</v>
      </c>
      <c r="W257" s="127">
        <f>$V$257*$K$257</f>
        <v>0</v>
      </c>
      <c r="X257" s="127">
        <v>0</v>
      </c>
      <c r="Y257" s="127">
        <f>$X$257*$K$257</f>
        <v>0</v>
      </c>
      <c r="Z257" s="127">
        <v>0</v>
      </c>
      <c r="AA257" s="128">
        <f>$Z$257*$K$257</f>
        <v>0</v>
      </c>
      <c r="AR257" s="6" t="s">
        <v>156</v>
      </c>
      <c r="AT257" s="6" t="s">
        <v>152</v>
      </c>
      <c r="AU257" s="6" t="s">
        <v>103</v>
      </c>
      <c r="AY257" s="6" t="s">
        <v>151</v>
      </c>
      <c r="BE257" s="82">
        <f>IF($U$257="základní",$N$257,0)</f>
        <v>0</v>
      </c>
      <c r="BF257" s="82">
        <f>IF($U$257="snížená",$N$257,0)</f>
        <v>0</v>
      </c>
      <c r="BG257" s="82">
        <f>IF($U$257="zákl. přenesená",$N$257,0)</f>
        <v>0</v>
      </c>
      <c r="BH257" s="82">
        <f>IF($U$257="sníž. přenesená",$N$257,0)</f>
        <v>0</v>
      </c>
      <c r="BI257" s="82">
        <f>IF($U$257="nulová",$N$257,0)</f>
        <v>0</v>
      </c>
      <c r="BJ257" s="6" t="s">
        <v>21</v>
      </c>
      <c r="BK257" s="82">
        <f>ROUND($L$257*$K$257,2)</f>
        <v>0</v>
      </c>
      <c r="BL257" s="6" t="s">
        <v>156</v>
      </c>
    </row>
    <row r="258" spans="2:63" s="113" customFormat="1" ht="30.75" customHeight="1">
      <c r="B258" s="114"/>
      <c r="D258" s="135" t="s">
        <v>124</v>
      </c>
      <c r="N258" s="206">
        <f>$BK$258</f>
        <v>0</v>
      </c>
      <c r="O258" s="207"/>
      <c r="P258" s="207"/>
      <c r="Q258" s="207"/>
      <c r="R258" s="117"/>
      <c r="T258" s="118"/>
      <c r="W258" s="119">
        <f>SUM($W$259:$W$270)</f>
        <v>29.5878</v>
      </c>
      <c r="Y258" s="119">
        <f>SUM($Y$259:$Y$270)</f>
        <v>1.534422</v>
      </c>
      <c r="AA258" s="120">
        <f>SUM($AA$259:$AA$270)</f>
        <v>0</v>
      </c>
      <c r="AR258" s="116" t="s">
        <v>21</v>
      </c>
      <c r="AT258" s="116" t="s">
        <v>81</v>
      </c>
      <c r="AU258" s="116" t="s">
        <v>21</v>
      </c>
      <c r="AY258" s="116" t="s">
        <v>151</v>
      </c>
      <c r="BK258" s="121">
        <f>SUM($BK$259:$BK$270)</f>
        <v>0</v>
      </c>
    </row>
    <row r="259" spans="2:64" s="6" customFormat="1" ht="27" customHeight="1">
      <c r="B259" s="22"/>
      <c r="C259" s="122" t="s">
        <v>342</v>
      </c>
      <c r="D259" s="122" t="s">
        <v>152</v>
      </c>
      <c r="E259" s="123" t="s">
        <v>343</v>
      </c>
      <c r="F259" s="212" t="s">
        <v>344</v>
      </c>
      <c r="G259" s="213"/>
      <c r="H259" s="213"/>
      <c r="I259" s="213"/>
      <c r="J259" s="124" t="s">
        <v>155</v>
      </c>
      <c r="K259" s="125">
        <v>63</v>
      </c>
      <c r="L259" s="214">
        <v>0</v>
      </c>
      <c r="M259" s="213"/>
      <c r="N259" s="215">
        <f>ROUND($L$259*$K$259,2)</f>
        <v>0</v>
      </c>
      <c r="O259" s="213"/>
      <c r="P259" s="213"/>
      <c r="Q259" s="213"/>
      <c r="R259" s="23"/>
      <c r="T259" s="126"/>
      <c r="U259" s="29" t="s">
        <v>47</v>
      </c>
      <c r="V259" s="127">
        <v>0.337</v>
      </c>
      <c r="W259" s="127">
        <f>$V$259*$K$259</f>
        <v>21.231</v>
      </c>
      <c r="X259" s="127">
        <v>0.02109</v>
      </c>
      <c r="Y259" s="127">
        <f>$X$259*$K$259</f>
        <v>1.32867</v>
      </c>
      <c r="Z259" s="127">
        <v>0</v>
      </c>
      <c r="AA259" s="128">
        <f>$Z$259*$K$259</f>
        <v>0</v>
      </c>
      <c r="AR259" s="6" t="s">
        <v>156</v>
      </c>
      <c r="AT259" s="6" t="s">
        <v>152</v>
      </c>
      <c r="AU259" s="6" t="s">
        <v>103</v>
      </c>
      <c r="AY259" s="6" t="s">
        <v>151</v>
      </c>
      <c r="BE259" s="82">
        <f>IF($U$259="základní",$N$259,0)</f>
        <v>0</v>
      </c>
      <c r="BF259" s="82">
        <f>IF($U$259="snížená",$N$259,0)</f>
        <v>0</v>
      </c>
      <c r="BG259" s="82">
        <f>IF($U$259="zákl. přenesená",$N$259,0)</f>
        <v>0</v>
      </c>
      <c r="BH259" s="82">
        <f>IF($U$259="sníž. přenesená",$N$259,0)</f>
        <v>0</v>
      </c>
      <c r="BI259" s="82">
        <f>IF($U$259="nulová",$N$259,0)</f>
        <v>0</v>
      </c>
      <c r="BJ259" s="6" t="s">
        <v>21</v>
      </c>
      <c r="BK259" s="82">
        <f>ROUND($L$259*$K$259,2)</f>
        <v>0</v>
      </c>
      <c r="BL259" s="6" t="s">
        <v>156</v>
      </c>
    </row>
    <row r="260" spans="2:51" s="6" customFormat="1" ht="15.75" customHeight="1">
      <c r="B260" s="136"/>
      <c r="E260" s="137"/>
      <c r="F260" s="208" t="s">
        <v>345</v>
      </c>
      <c r="G260" s="209"/>
      <c r="H260" s="209"/>
      <c r="I260" s="209"/>
      <c r="K260" s="137"/>
      <c r="N260" s="137"/>
      <c r="R260" s="138"/>
      <c r="T260" s="139"/>
      <c r="AA260" s="140"/>
      <c r="AT260" s="137" t="s">
        <v>158</v>
      </c>
      <c r="AU260" s="137" t="s">
        <v>103</v>
      </c>
      <c r="AV260" s="137" t="s">
        <v>21</v>
      </c>
      <c r="AW260" s="137" t="s">
        <v>113</v>
      </c>
      <c r="AX260" s="137" t="s">
        <v>82</v>
      </c>
      <c r="AY260" s="137" t="s">
        <v>151</v>
      </c>
    </row>
    <row r="261" spans="2:51" s="6" customFormat="1" ht="15.75" customHeight="1">
      <c r="B261" s="129"/>
      <c r="E261" s="130"/>
      <c r="F261" s="210" t="s">
        <v>346</v>
      </c>
      <c r="G261" s="211"/>
      <c r="H261" s="211"/>
      <c r="I261" s="211"/>
      <c r="K261" s="131">
        <v>63</v>
      </c>
      <c r="N261" s="130"/>
      <c r="R261" s="132"/>
      <c r="T261" s="133"/>
      <c r="AA261" s="134"/>
      <c r="AT261" s="130" t="s">
        <v>158</v>
      </c>
      <c r="AU261" s="130" t="s">
        <v>103</v>
      </c>
      <c r="AV261" s="130" t="s">
        <v>103</v>
      </c>
      <c r="AW261" s="130" t="s">
        <v>113</v>
      </c>
      <c r="AX261" s="130" t="s">
        <v>82</v>
      </c>
      <c r="AY261" s="130" t="s">
        <v>151</v>
      </c>
    </row>
    <row r="262" spans="2:64" s="6" customFormat="1" ht="27" customHeight="1">
      <c r="B262" s="22"/>
      <c r="C262" s="122" t="s">
        <v>347</v>
      </c>
      <c r="D262" s="122" t="s">
        <v>152</v>
      </c>
      <c r="E262" s="123" t="s">
        <v>348</v>
      </c>
      <c r="F262" s="212" t="s">
        <v>349</v>
      </c>
      <c r="G262" s="213"/>
      <c r="H262" s="213"/>
      <c r="I262" s="213"/>
      <c r="J262" s="124" t="s">
        <v>155</v>
      </c>
      <c r="K262" s="125">
        <v>8.4</v>
      </c>
      <c r="L262" s="214">
        <v>0</v>
      </c>
      <c r="M262" s="213"/>
      <c r="N262" s="215">
        <f>ROUND($L$262*$K$262,2)</f>
        <v>0</v>
      </c>
      <c r="O262" s="213"/>
      <c r="P262" s="213"/>
      <c r="Q262" s="213"/>
      <c r="R262" s="23"/>
      <c r="T262" s="126"/>
      <c r="U262" s="29" t="s">
        <v>47</v>
      </c>
      <c r="V262" s="127">
        <v>0.527</v>
      </c>
      <c r="W262" s="127">
        <f>$V$262*$K$262</f>
        <v>4.4268</v>
      </c>
      <c r="X262" s="127">
        <v>0.02448</v>
      </c>
      <c r="Y262" s="127">
        <f>$X$262*$K$262</f>
        <v>0.20563199999999998</v>
      </c>
      <c r="Z262" s="127">
        <v>0</v>
      </c>
      <c r="AA262" s="128">
        <f>$Z$262*$K$262</f>
        <v>0</v>
      </c>
      <c r="AR262" s="6" t="s">
        <v>156</v>
      </c>
      <c r="AT262" s="6" t="s">
        <v>152</v>
      </c>
      <c r="AU262" s="6" t="s">
        <v>103</v>
      </c>
      <c r="AY262" s="6" t="s">
        <v>151</v>
      </c>
      <c r="BE262" s="82">
        <f>IF($U$262="základní",$N$262,0)</f>
        <v>0</v>
      </c>
      <c r="BF262" s="82">
        <f>IF($U$262="snížená",$N$262,0)</f>
        <v>0</v>
      </c>
      <c r="BG262" s="82">
        <f>IF($U$262="zákl. přenesená",$N$262,0)</f>
        <v>0</v>
      </c>
      <c r="BH262" s="82">
        <f>IF($U$262="sníž. přenesená",$N$262,0)</f>
        <v>0</v>
      </c>
      <c r="BI262" s="82">
        <f>IF($U$262="nulová",$N$262,0)</f>
        <v>0</v>
      </c>
      <c r="BJ262" s="6" t="s">
        <v>21</v>
      </c>
      <c r="BK262" s="82">
        <f>ROUND($L$262*$K$262,2)</f>
        <v>0</v>
      </c>
      <c r="BL262" s="6" t="s">
        <v>156</v>
      </c>
    </row>
    <row r="263" spans="2:51" s="6" customFormat="1" ht="15.75" customHeight="1">
      <c r="B263" s="136"/>
      <c r="E263" s="137"/>
      <c r="F263" s="208" t="s">
        <v>350</v>
      </c>
      <c r="G263" s="209"/>
      <c r="H263" s="209"/>
      <c r="I263" s="209"/>
      <c r="K263" s="137"/>
      <c r="N263" s="137"/>
      <c r="R263" s="138"/>
      <c r="T263" s="139"/>
      <c r="AA263" s="140"/>
      <c r="AT263" s="137" t="s">
        <v>158</v>
      </c>
      <c r="AU263" s="137" t="s">
        <v>103</v>
      </c>
      <c r="AV263" s="137" t="s">
        <v>21</v>
      </c>
      <c r="AW263" s="137" t="s">
        <v>113</v>
      </c>
      <c r="AX263" s="137" t="s">
        <v>82</v>
      </c>
      <c r="AY263" s="137" t="s">
        <v>151</v>
      </c>
    </row>
    <row r="264" spans="2:51" s="6" customFormat="1" ht="15.75" customHeight="1">
      <c r="B264" s="129"/>
      <c r="E264" s="130"/>
      <c r="F264" s="210" t="s">
        <v>351</v>
      </c>
      <c r="G264" s="211"/>
      <c r="H264" s="211"/>
      <c r="I264" s="211"/>
      <c r="K264" s="131">
        <v>8.4</v>
      </c>
      <c r="N264" s="130"/>
      <c r="R264" s="132"/>
      <c r="T264" s="133"/>
      <c r="AA264" s="134"/>
      <c r="AT264" s="130" t="s">
        <v>158</v>
      </c>
      <c r="AU264" s="130" t="s">
        <v>103</v>
      </c>
      <c r="AV264" s="130" t="s">
        <v>103</v>
      </c>
      <c r="AW264" s="130" t="s">
        <v>113</v>
      </c>
      <c r="AX264" s="130" t="s">
        <v>82</v>
      </c>
      <c r="AY264" s="130" t="s">
        <v>151</v>
      </c>
    </row>
    <row r="265" spans="2:64" s="6" customFormat="1" ht="15.75" customHeight="1">
      <c r="B265" s="22"/>
      <c r="C265" s="122" t="s">
        <v>352</v>
      </c>
      <c r="D265" s="122" t="s">
        <v>152</v>
      </c>
      <c r="E265" s="123" t="s">
        <v>353</v>
      </c>
      <c r="F265" s="212" t="s">
        <v>354</v>
      </c>
      <c r="G265" s="213"/>
      <c r="H265" s="213"/>
      <c r="I265" s="213"/>
      <c r="J265" s="124" t="s">
        <v>273</v>
      </c>
      <c r="K265" s="125">
        <v>6</v>
      </c>
      <c r="L265" s="214">
        <v>0</v>
      </c>
      <c r="M265" s="213"/>
      <c r="N265" s="215">
        <f>ROUND($L$265*$K$265,2)</f>
        <v>0</v>
      </c>
      <c r="O265" s="213"/>
      <c r="P265" s="213"/>
      <c r="Q265" s="213"/>
      <c r="R265" s="23"/>
      <c r="T265" s="126"/>
      <c r="U265" s="29" t="s">
        <v>47</v>
      </c>
      <c r="V265" s="127">
        <v>0.48</v>
      </c>
      <c r="W265" s="127">
        <f>$V$265*$K$265</f>
        <v>2.88</v>
      </c>
      <c r="X265" s="127">
        <v>2E-05</v>
      </c>
      <c r="Y265" s="127">
        <f>$X$265*$K$265</f>
        <v>0.00012000000000000002</v>
      </c>
      <c r="Z265" s="127">
        <v>0</v>
      </c>
      <c r="AA265" s="128">
        <f>$Z$265*$K$265</f>
        <v>0</v>
      </c>
      <c r="AR265" s="6" t="s">
        <v>156</v>
      </c>
      <c r="AT265" s="6" t="s">
        <v>152</v>
      </c>
      <c r="AU265" s="6" t="s">
        <v>103</v>
      </c>
      <c r="AY265" s="6" t="s">
        <v>151</v>
      </c>
      <c r="BE265" s="82">
        <f>IF($U$265="základní",$N$265,0)</f>
        <v>0</v>
      </c>
      <c r="BF265" s="82">
        <f>IF($U$265="snížená",$N$265,0)</f>
        <v>0</v>
      </c>
      <c r="BG265" s="82">
        <f>IF($U$265="zákl. přenesená",$N$265,0)</f>
        <v>0</v>
      </c>
      <c r="BH265" s="82">
        <f>IF($U$265="sníž. přenesená",$N$265,0)</f>
        <v>0</v>
      </c>
      <c r="BI265" s="82">
        <f>IF($U$265="nulová",$N$265,0)</f>
        <v>0</v>
      </c>
      <c r="BJ265" s="6" t="s">
        <v>21</v>
      </c>
      <c r="BK265" s="82">
        <f>ROUND($L$265*$K$265,2)</f>
        <v>0</v>
      </c>
      <c r="BL265" s="6" t="s">
        <v>156</v>
      </c>
    </row>
    <row r="266" spans="2:64" s="6" customFormat="1" ht="27" customHeight="1">
      <c r="B266" s="22"/>
      <c r="C266" s="122" t="s">
        <v>355</v>
      </c>
      <c r="D266" s="122" t="s">
        <v>152</v>
      </c>
      <c r="E266" s="123" t="s">
        <v>356</v>
      </c>
      <c r="F266" s="212" t="s">
        <v>357</v>
      </c>
      <c r="G266" s="213"/>
      <c r="H266" s="213"/>
      <c r="I266" s="213"/>
      <c r="J266" s="124" t="s">
        <v>273</v>
      </c>
      <c r="K266" s="125">
        <v>6</v>
      </c>
      <c r="L266" s="214">
        <v>0</v>
      </c>
      <c r="M266" s="213"/>
      <c r="N266" s="215">
        <f>ROUND($L$266*$K$266,2)</f>
        <v>0</v>
      </c>
      <c r="O266" s="213"/>
      <c r="P266" s="213"/>
      <c r="Q266" s="213"/>
      <c r="R266" s="23"/>
      <c r="T266" s="126"/>
      <c r="U266" s="29" t="s">
        <v>47</v>
      </c>
      <c r="V266" s="127">
        <v>0.175</v>
      </c>
      <c r="W266" s="127">
        <f>$V$266*$K$266</f>
        <v>1.0499999999999998</v>
      </c>
      <c r="X266" s="127">
        <v>0</v>
      </c>
      <c r="Y266" s="127">
        <f>$X$266*$K$266</f>
        <v>0</v>
      </c>
      <c r="Z266" s="127">
        <v>0</v>
      </c>
      <c r="AA266" s="128">
        <f>$Z$266*$K$266</f>
        <v>0</v>
      </c>
      <c r="AR266" s="6" t="s">
        <v>156</v>
      </c>
      <c r="AT266" s="6" t="s">
        <v>152</v>
      </c>
      <c r="AU266" s="6" t="s">
        <v>103</v>
      </c>
      <c r="AY266" s="6" t="s">
        <v>151</v>
      </c>
      <c r="BE266" s="82">
        <f>IF($U$266="základní",$N$266,0)</f>
        <v>0</v>
      </c>
      <c r="BF266" s="82">
        <f>IF($U$266="snížená",$N$266,0)</f>
        <v>0</v>
      </c>
      <c r="BG266" s="82">
        <f>IF($U$266="zákl. přenesená",$N$266,0)</f>
        <v>0</v>
      </c>
      <c r="BH266" s="82">
        <f>IF($U$266="sníž. přenesená",$N$266,0)</f>
        <v>0</v>
      </c>
      <c r="BI266" s="82">
        <f>IF($U$266="nulová",$N$266,0)</f>
        <v>0</v>
      </c>
      <c r="BJ266" s="6" t="s">
        <v>21</v>
      </c>
      <c r="BK266" s="82">
        <f>ROUND($L$266*$K$266,2)</f>
        <v>0</v>
      </c>
      <c r="BL266" s="6" t="s">
        <v>156</v>
      </c>
    </row>
    <row r="267" spans="2:64" s="6" customFormat="1" ht="27" customHeight="1">
      <c r="B267" s="22"/>
      <c r="C267" s="122" t="s">
        <v>358</v>
      </c>
      <c r="D267" s="122" t="s">
        <v>152</v>
      </c>
      <c r="E267" s="123" t="s">
        <v>359</v>
      </c>
      <c r="F267" s="212" t="s">
        <v>360</v>
      </c>
      <c r="G267" s="213"/>
      <c r="H267" s="213"/>
      <c r="I267" s="213"/>
      <c r="J267" s="124" t="s">
        <v>361</v>
      </c>
      <c r="K267" s="125">
        <v>2</v>
      </c>
      <c r="L267" s="214">
        <v>0</v>
      </c>
      <c r="M267" s="213"/>
      <c r="N267" s="215">
        <f>ROUND($L$267*$K$267,2)</f>
        <v>0</v>
      </c>
      <c r="O267" s="213"/>
      <c r="P267" s="213"/>
      <c r="Q267" s="213"/>
      <c r="R267" s="23"/>
      <c r="T267" s="126"/>
      <c r="U267" s="29" t="s">
        <v>47</v>
      </c>
      <c r="V267" s="127">
        <v>0</v>
      </c>
      <c r="W267" s="127">
        <f>$V$267*$K$267</f>
        <v>0</v>
      </c>
      <c r="X267" s="127">
        <v>0</v>
      </c>
      <c r="Y267" s="127">
        <f>$X$267*$K$267</f>
        <v>0</v>
      </c>
      <c r="Z267" s="127">
        <v>0</v>
      </c>
      <c r="AA267" s="128">
        <f>$Z$267*$K$267</f>
        <v>0</v>
      </c>
      <c r="AR267" s="6" t="s">
        <v>156</v>
      </c>
      <c r="AT267" s="6" t="s">
        <v>152</v>
      </c>
      <c r="AU267" s="6" t="s">
        <v>103</v>
      </c>
      <c r="AY267" s="6" t="s">
        <v>151</v>
      </c>
      <c r="BE267" s="82">
        <f>IF($U$267="základní",$N$267,0)</f>
        <v>0</v>
      </c>
      <c r="BF267" s="82">
        <f>IF($U$267="snížená",$N$267,0)</f>
        <v>0</v>
      </c>
      <c r="BG267" s="82">
        <f>IF($U$267="zákl. přenesená",$N$267,0)</f>
        <v>0</v>
      </c>
      <c r="BH267" s="82">
        <f>IF($U$267="sníž. přenesená",$N$267,0)</f>
        <v>0</v>
      </c>
      <c r="BI267" s="82">
        <f>IF($U$267="nulová",$N$267,0)</f>
        <v>0</v>
      </c>
      <c r="BJ267" s="6" t="s">
        <v>21</v>
      </c>
      <c r="BK267" s="82">
        <f>ROUND($L$267*$K$267,2)</f>
        <v>0</v>
      </c>
      <c r="BL267" s="6" t="s">
        <v>156</v>
      </c>
    </row>
    <row r="268" spans="2:47" s="6" customFormat="1" ht="18.75" customHeight="1">
      <c r="B268" s="22"/>
      <c r="F268" s="216" t="s">
        <v>362</v>
      </c>
      <c r="G268" s="173"/>
      <c r="H268" s="173"/>
      <c r="I268" s="173"/>
      <c r="R268" s="23"/>
      <c r="T268" s="57"/>
      <c r="AA268" s="58"/>
      <c r="AT268" s="6" t="s">
        <v>198</v>
      </c>
      <c r="AU268" s="6" t="s">
        <v>103</v>
      </c>
    </row>
    <row r="269" spans="2:64" s="6" customFormat="1" ht="15.75" customHeight="1">
      <c r="B269" s="22"/>
      <c r="C269" s="122" t="s">
        <v>363</v>
      </c>
      <c r="D269" s="122" t="s">
        <v>152</v>
      </c>
      <c r="E269" s="123" t="s">
        <v>364</v>
      </c>
      <c r="F269" s="212" t="s">
        <v>365</v>
      </c>
      <c r="G269" s="213"/>
      <c r="H269" s="213"/>
      <c r="I269" s="213"/>
      <c r="J269" s="124" t="s">
        <v>361</v>
      </c>
      <c r="K269" s="125">
        <v>1</v>
      </c>
      <c r="L269" s="214">
        <v>0</v>
      </c>
      <c r="M269" s="213"/>
      <c r="N269" s="215">
        <f>ROUND($L$269*$K$269,2)</f>
        <v>0</v>
      </c>
      <c r="O269" s="213"/>
      <c r="P269" s="213"/>
      <c r="Q269" s="213"/>
      <c r="R269" s="23"/>
      <c r="T269" s="126"/>
      <c r="U269" s="29" t="s">
        <v>47</v>
      </c>
      <c r="V269" s="127">
        <v>0</v>
      </c>
      <c r="W269" s="127">
        <f>$V$269*$K$269</f>
        <v>0</v>
      </c>
      <c r="X269" s="127">
        <v>0</v>
      </c>
      <c r="Y269" s="127">
        <f>$X$269*$K$269</f>
        <v>0</v>
      </c>
      <c r="Z269" s="127">
        <v>0</v>
      </c>
      <c r="AA269" s="128">
        <f>$Z$269*$K$269</f>
        <v>0</v>
      </c>
      <c r="AR269" s="6" t="s">
        <v>156</v>
      </c>
      <c r="AT269" s="6" t="s">
        <v>152</v>
      </c>
      <c r="AU269" s="6" t="s">
        <v>103</v>
      </c>
      <c r="AY269" s="6" t="s">
        <v>151</v>
      </c>
      <c r="BE269" s="82">
        <f>IF($U$269="základní",$N$269,0)</f>
        <v>0</v>
      </c>
      <c r="BF269" s="82">
        <f>IF($U$269="snížená",$N$269,0)</f>
        <v>0</v>
      </c>
      <c r="BG269" s="82">
        <f>IF($U$269="zákl. přenesená",$N$269,0)</f>
        <v>0</v>
      </c>
      <c r="BH269" s="82">
        <f>IF($U$269="sníž. přenesená",$N$269,0)</f>
        <v>0</v>
      </c>
      <c r="BI269" s="82">
        <f>IF($U$269="nulová",$N$269,0)</f>
        <v>0</v>
      </c>
      <c r="BJ269" s="6" t="s">
        <v>21</v>
      </c>
      <c r="BK269" s="82">
        <f>ROUND($L$269*$K$269,2)</f>
        <v>0</v>
      </c>
      <c r="BL269" s="6" t="s">
        <v>156</v>
      </c>
    </row>
    <row r="270" spans="2:47" s="6" customFormat="1" ht="18.75" customHeight="1">
      <c r="B270" s="22"/>
      <c r="F270" s="216" t="s">
        <v>362</v>
      </c>
      <c r="G270" s="173"/>
      <c r="H270" s="173"/>
      <c r="I270" s="173"/>
      <c r="R270" s="23"/>
      <c r="T270" s="57"/>
      <c r="AA270" s="58"/>
      <c r="AT270" s="6" t="s">
        <v>198</v>
      </c>
      <c r="AU270" s="6" t="s">
        <v>103</v>
      </c>
    </row>
    <row r="271" spans="2:63" s="113" customFormat="1" ht="30.75" customHeight="1">
      <c r="B271" s="114"/>
      <c r="D271" s="135" t="s">
        <v>125</v>
      </c>
      <c r="N271" s="206">
        <f>$BK$271</f>
        <v>0</v>
      </c>
      <c r="O271" s="207"/>
      <c r="P271" s="207"/>
      <c r="Q271" s="207"/>
      <c r="R271" s="117"/>
      <c r="T271" s="118"/>
      <c r="W271" s="119">
        <f>SUM($W$272:$W$340)</f>
        <v>485.75557200000003</v>
      </c>
      <c r="Y271" s="119">
        <f>SUM($Y$272:$Y$340)</f>
        <v>0</v>
      </c>
      <c r="AA271" s="120">
        <f>SUM($AA$272:$AA$340)</f>
        <v>412.19742499999995</v>
      </c>
      <c r="AR271" s="116" t="s">
        <v>21</v>
      </c>
      <c r="AT271" s="116" t="s">
        <v>81</v>
      </c>
      <c r="AU271" s="116" t="s">
        <v>21</v>
      </c>
      <c r="AY271" s="116" t="s">
        <v>151</v>
      </c>
      <c r="BK271" s="121">
        <f>SUM($BK$272:$BK$340)</f>
        <v>0</v>
      </c>
    </row>
    <row r="272" spans="2:64" s="6" customFormat="1" ht="27" customHeight="1">
      <c r="B272" s="22"/>
      <c r="C272" s="122" t="s">
        <v>366</v>
      </c>
      <c r="D272" s="122" t="s">
        <v>152</v>
      </c>
      <c r="E272" s="123" t="s">
        <v>367</v>
      </c>
      <c r="F272" s="212" t="s">
        <v>368</v>
      </c>
      <c r="G272" s="213"/>
      <c r="H272" s="213"/>
      <c r="I272" s="213"/>
      <c r="J272" s="124" t="s">
        <v>155</v>
      </c>
      <c r="K272" s="125">
        <v>362.031</v>
      </c>
      <c r="L272" s="214">
        <v>0</v>
      </c>
      <c r="M272" s="213"/>
      <c r="N272" s="215">
        <f>ROUND($L$272*$K$272,2)</f>
        <v>0</v>
      </c>
      <c r="O272" s="213"/>
      <c r="P272" s="213"/>
      <c r="Q272" s="213"/>
      <c r="R272" s="23"/>
      <c r="T272" s="126"/>
      <c r="U272" s="29" t="s">
        <v>47</v>
      </c>
      <c r="V272" s="127">
        <v>0.16</v>
      </c>
      <c r="W272" s="127">
        <f>$V$272*$K$272</f>
        <v>57.92496</v>
      </c>
      <c r="X272" s="127">
        <v>0</v>
      </c>
      <c r="Y272" s="127">
        <f>$X$272*$K$272</f>
        <v>0</v>
      </c>
      <c r="Z272" s="127">
        <v>0.255</v>
      </c>
      <c r="AA272" s="128">
        <f>$Z$272*$K$272</f>
        <v>92.317905</v>
      </c>
      <c r="AR272" s="6" t="s">
        <v>156</v>
      </c>
      <c r="AT272" s="6" t="s">
        <v>152</v>
      </c>
      <c r="AU272" s="6" t="s">
        <v>103</v>
      </c>
      <c r="AY272" s="6" t="s">
        <v>151</v>
      </c>
      <c r="BE272" s="82">
        <f>IF($U$272="základní",$N$272,0)</f>
        <v>0</v>
      </c>
      <c r="BF272" s="82">
        <f>IF($U$272="snížená",$N$272,0)</f>
        <v>0</v>
      </c>
      <c r="BG272" s="82">
        <f>IF($U$272="zákl. přenesená",$N$272,0)</f>
        <v>0</v>
      </c>
      <c r="BH272" s="82">
        <f>IF($U$272="sníž. přenesená",$N$272,0)</f>
        <v>0</v>
      </c>
      <c r="BI272" s="82">
        <f>IF($U$272="nulová",$N$272,0)</f>
        <v>0</v>
      </c>
      <c r="BJ272" s="6" t="s">
        <v>21</v>
      </c>
      <c r="BK272" s="82">
        <f>ROUND($L$272*$K$272,2)</f>
        <v>0</v>
      </c>
      <c r="BL272" s="6" t="s">
        <v>156</v>
      </c>
    </row>
    <row r="273" spans="2:51" s="6" customFormat="1" ht="15.75" customHeight="1">
      <c r="B273" s="136"/>
      <c r="E273" s="137"/>
      <c r="F273" s="208" t="s">
        <v>369</v>
      </c>
      <c r="G273" s="209"/>
      <c r="H273" s="209"/>
      <c r="I273" s="209"/>
      <c r="K273" s="137"/>
      <c r="N273" s="137"/>
      <c r="R273" s="138"/>
      <c r="T273" s="139"/>
      <c r="AA273" s="140"/>
      <c r="AT273" s="137" t="s">
        <v>158</v>
      </c>
      <c r="AU273" s="137" t="s">
        <v>103</v>
      </c>
      <c r="AV273" s="137" t="s">
        <v>21</v>
      </c>
      <c r="AW273" s="137" t="s">
        <v>113</v>
      </c>
      <c r="AX273" s="137" t="s">
        <v>82</v>
      </c>
      <c r="AY273" s="137" t="s">
        <v>151</v>
      </c>
    </row>
    <row r="274" spans="2:51" s="6" customFormat="1" ht="15.75" customHeight="1">
      <c r="B274" s="129"/>
      <c r="E274" s="130"/>
      <c r="F274" s="210" t="s">
        <v>370</v>
      </c>
      <c r="G274" s="211"/>
      <c r="H274" s="211"/>
      <c r="I274" s="211"/>
      <c r="K274" s="131">
        <v>362.031</v>
      </c>
      <c r="N274" s="130"/>
      <c r="R274" s="132"/>
      <c r="T274" s="133"/>
      <c r="AA274" s="134"/>
      <c r="AT274" s="130" t="s">
        <v>158</v>
      </c>
      <c r="AU274" s="130" t="s">
        <v>103</v>
      </c>
      <c r="AV274" s="130" t="s">
        <v>103</v>
      </c>
      <c r="AW274" s="130" t="s">
        <v>113</v>
      </c>
      <c r="AX274" s="130" t="s">
        <v>82</v>
      </c>
      <c r="AY274" s="130" t="s">
        <v>151</v>
      </c>
    </row>
    <row r="275" spans="2:64" s="6" customFormat="1" ht="27" customHeight="1">
      <c r="B275" s="22"/>
      <c r="C275" s="122" t="s">
        <v>371</v>
      </c>
      <c r="D275" s="122" t="s">
        <v>152</v>
      </c>
      <c r="E275" s="123" t="s">
        <v>372</v>
      </c>
      <c r="F275" s="212" t="s">
        <v>373</v>
      </c>
      <c r="G275" s="213"/>
      <c r="H275" s="213"/>
      <c r="I275" s="213"/>
      <c r="J275" s="124" t="s">
        <v>155</v>
      </c>
      <c r="K275" s="125">
        <v>28.29</v>
      </c>
      <c r="L275" s="214">
        <v>0</v>
      </c>
      <c r="M275" s="213"/>
      <c r="N275" s="215">
        <f>ROUND($L$275*$K$275,2)</f>
        <v>0</v>
      </c>
      <c r="O275" s="213"/>
      <c r="P275" s="213"/>
      <c r="Q275" s="213"/>
      <c r="R275" s="23"/>
      <c r="T275" s="126"/>
      <c r="U275" s="29" t="s">
        <v>47</v>
      </c>
      <c r="V275" s="127">
        <v>0.175</v>
      </c>
      <c r="W275" s="127">
        <f>$V$275*$K$275</f>
        <v>4.950749999999999</v>
      </c>
      <c r="X275" s="127">
        <v>0</v>
      </c>
      <c r="Y275" s="127">
        <f>$X$275*$K$275</f>
        <v>0</v>
      </c>
      <c r="Z275" s="127">
        <v>0.32</v>
      </c>
      <c r="AA275" s="128">
        <f>$Z$275*$K$275</f>
        <v>9.0528</v>
      </c>
      <c r="AR275" s="6" t="s">
        <v>156</v>
      </c>
      <c r="AT275" s="6" t="s">
        <v>152</v>
      </c>
      <c r="AU275" s="6" t="s">
        <v>103</v>
      </c>
      <c r="AY275" s="6" t="s">
        <v>151</v>
      </c>
      <c r="BE275" s="82">
        <f>IF($U$275="základní",$N$275,0)</f>
        <v>0</v>
      </c>
      <c r="BF275" s="82">
        <f>IF($U$275="snížená",$N$275,0)</f>
        <v>0</v>
      </c>
      <c r="BG275" s="82">
        <f>IF($U$275="zákl. přenesená",$N$275,0)</f>
        <v>0</v>
      </c>
      <c r="BH275" s="82">
        <f>IF($U$275="sníž. přenesená",$N$275,0)</f>
        <v>0</v>
      </c>
      <c r="BI275" s="82">
        <f>IF($U$275="nulová",$N$275,0)</f>
        <v>0</v>
      </c>
      <c r="BJ275" s="6" t="s">
        <v>21</v>
      </c>
      <c r="BK275" s="82">
        <f>ROUND($L$275*$K$275,2)</f>
        <v>0</v>
      </c>
      <c r="BL275" s="6" t="s">
        <v>156</v>
      </c>
    </row>
    <row r="276" spans="2:51" s="6" customFormat="1" ht="15.75" customHeight="1">
      <c r="B276" s="136"/>
      <c r="E276" s="137"/>
      <c r="F276" s="208" t="s">
        <v>374</v>
      </c>
      <c r="G276" s="209"/>
      <c r="H276" s="209"/>
      <c r="I276" s="209"/>
      <c r="K276" s="137"/>
      <c r="N276" s="137"/>
      <c r="R276" s="138"/>
      <c r="T276" s="139"/>
      <c r="AA276" s="140"/>
      <c r="AT276" s="137" t="s">
        <v>158</v>
      </c>
      <c r="AU276" s="137" t="s">
        <v>103</v>
      </c>
      <c r="AV276" s="137" t="s">
        <v>21</v>
      </c>
      <c r="AW276" s="137" t="s">
        <v>113</v>
      </c>
      <c r="AX276" s="137" t="s">
        <v>82</v>
      </c>
      <c r="AY276" s="137" t="s">
        <v>151</v>
      </c>
    </row>
    <row r="277" spans="2:51" s="6" customFormat="1" ht="15.75" customHeight="1">
      <c r="B277" s="129"/>
      <c r="E277" s="130"/>
      <c r="F277" s="210" t="s">
        <v>375</v>
      </c>
      <c r="G277" s="211"/>
      <c r="H277" s="211"/>
      <c r="I277" s="211"/>
      <c r="K277" s="131">
        <v>28.29</v>
      </c>
      <c r="N277" s="130"/>
      <c r="R277" s="132"/>
      <c r="T277" s="133"/>
      <c r="AA277" s="134"/>
      <c r="AT277" s="130" t="s">
        <v>158</v>
      </c>
      <c r="AU277" s="130" t="s">
        <v>103</v>
      </c>
      <c r="AV277" s="130" t="s">
        <v>103</v>
      </c>
      <c r="AW277" s="130" t="s">
        <v>113</v>
      </c>
      <c r="AX277" s="130" t="s">
        <v>82</v>
      </c>
      <c r="AY277" s="130" t="s">
        <v>151</v>
      </c>
    </row>
    <row r="278" spans="2:64" s="6" customFormat="1" ht="27" customHeight="1">
      <c r="B278" s="22"/>
      <c r="C278" s="122" t="s">
        <v>376</v>
      </c>
      <c r="D278" s="122" t="s">
        <v>152</v>
      </c>
      <c r="E278" s="123" t="s">
        <v>377</v>
      </c>
      <c r="F278" s="212" t="s">
        <v>378</v>
      </c>
      <c r="G278" s="213"/>
      <c r="H278" s="213"/>
      <c r="I278" s="213"/>
      <c r="J278" s="124" t="s">
        <v>155</v>
      </c>
      <c r="K278" s="125">
        <v>390.321</v>
      </c>
      <c r="L278" s="214">
        <v>0</v>
      </c>
      <c r="M278" s="213"/>
      <c r="N278" s="215">
        <f>ROUND($L$278*$K$278,2)</f>
        <v>0</v>
      </c>
      <c r="O278" s="213"/>
      <c r="P278" s="213"/>
      <c r="Q278" s="213"/>
      <c r="R278" s="23"/>
      <c r="T278" s="126"/>
      <c r="U278" s="29" t="s">
        <v>47</v>
      </c>
      <c r="V278" s="127">
        <v>0.463</v>
      </c>
      <c r="W278" s="127">
        <f>$V$278*$K$278</f>
        <v>180.718623</v>
      </c>
      <c r="X278" s="127">
        <v>0</v>
      </c>
      <c r="Y278" s="127">
        <f>$X$278*$K$278</f>
        <v>0</v>
      </c>
      <c r="Z278" s="127">
        <v>0.13</v>
      </c>
      <c r="AA278" s="128">
        <f>$Z$278*$K$278</f>
        <v>50.741730000000004</v>
      </c>
      <c r="AR278" s="6" t="s">
        <v>156</v>
      </c>
      <c r="AT278" s="6" t="s">
        <v>152</v>
      </c>
      <c r="AU278" s="6" t="s">
        <v>103</v>
      </c>
      <c r="AY278" s="6" t="s">
        <v>151</v>
      </c>
      <c r="BE278" s="82">
        <f>IF($U$278="základní",$N$278,0)</f>
        <v>0</v>
      </c>
      <c r="BF278" s="82">
        <f>IF($U$278="snížená",$N$278,0)</f>
        <v>0</v>
      </c>
      <c r="BG278" s="82">
        <f>IF($U$278="zákl. přenesená",$N$278,0)</f>
        <v>0</v>
      </c>
      <c r="BH278" s="82">
        <f>IF($U$278="sníž. přenesená",$N$278,0)</f>
        <v>0</v>
      </c>
      <c r="BI278" s="82">
        <f>IF($U$278="nulová",$N$278,0)</f>
        <v>0</v>
      </c>
      <c r="BJ278" s="6" t="s">
        <v>21</v>
      </c>
      <c r="BK278" s="82">
        <f>ROUND($L$278*$K$278,2)</f>
        <v>0</v>
      </c>
      <c r="BL278" s="6" t="s">
        <v>156</v>
      </c>
    </row>
    <row r="279" spans="2:51" s="6" customFormat="1" ht="15.75" customHeight="1">
      <c r="B279" s="136"/>
      <c r="E279" s="137"/>
      <c r="F279" s="208" t="s">
        <v>369</v>
      </c>
      <c r="G279" s="209"/>
      <c r="H279" s="209"/>
      <c r="I279" s="209"/>
      <c r="K279" s="137"/>
      <c r="N279" s="137"/>
      <c r="R279" s="138"/>
      <c r="T279" s="139"/>
      <c r="AA279" s="140"/>
      <c r="AT279" s="137" t="s">
        <v>158</v>
      </c>
      <c r="AU279" s="137" t="s">
        <v>103</v>
      </c>
      <c r="AV279" s="137" t="s">
        <v>21</v>
      </c>
      <c r="AW279" s="137" t="s">
        <v>113</v>
      </c>
      <c r="AX279" s="137" t="s">
        <v>82</v>
      </c>
      <c r="AY279" s="137" t="s">
        <v>151</v>
      </c>
    </row>
    <row r="280" spans="2:51" s="6" customFormat="1" ht="15.75" customHeight="1">
      <c r="B280" s="129"/>
      <c r="E280" s="130"/>
      <c r="F280" s="210" t="s">
        <v>370</v>
      </c>
      <c r="G280" s="211"/>
      <c r="H280" s="211"/>
      <c r="I280" s="211"/>
      <c r="K280" s="131">
        <v>362.031</v>
      </c>
      <c r="N280" s="130"/>
      <c r="R280" s="132"/>
      <c r="T280" s="133"/>
      <c r="AA280" s="134"/>
      <c r="AT280" s="130" t="s">
        <v>158</v>
      </c>
      <c r="AU280" s="130" t="s">
        <v>103</v>
      </c>
      <c r="AV280" s="130" t="s">
        <v>103</v>
      </c>
      <c r="AW280" s="130" t="s">
        <v>113</v>
      </c>
      <c r="AX280" s="130" t="s">
        <v>82</v>
      </c>
      <c r="AY280" s="130" t="s">
        <v>151</v>
      </c>
    </row>
    <row r="281" spans="2:51" s="6" customFormat="1" ht="15.75" customHeight="1">
      <c r="B281" s="136"/>
      <c r="E281" s="137"/>
      <c r="F281" s="208" t="s">
        <v>374</v>
      </c>
      <c r="G281" s="209"/>
      <c r="H281" s="209"/>
      <c r="I281" s="209"/>
      <c r="K281" s="137"/>
      <c r="N281" s="137"/>
      <c r="R281" s="138"/>
      <c r="T281" s="139"/>
      <c r="AA281" s="140"/>
      <c r="AT281" s="137" t="s">
        <v>158</v>
      </c>
      <c r="AU281" s="137" t="s">
        <v>103</v>
      </c>
      <c r="AV281" s="137" t="s">
        <v>21</v>
      </c>
      <c r="AW281" s="137" t="s">
        <v>113</v>
      </c>
      <c r="AX281" s="137" t="s">
        <v>82</v>
      </c>
      <c r="AY281" s="137" t="s">
        <v>151</v>
      </c>
    </row>
    <row r="282" spans="2:51" s="6" customFormat="1" ht="15.75" customHeight="1">
      <c r="B282" s="129"/>
      <c r="E282" s="130"/>
      <c r="F282" s="210" t="s">
        <v>375</v>
      </c>
      <c r="G282" s="211"/>
      <c r="H282" s="211"/>
      <c r="I282" s="211"/>
      <c r="K282" s="131">
        <v>28.29</v>
      </c>
      <c r="N282" s="130"/>
      <c r="R282" s="132"/>
      <c r="T282" s="133"/>
      <c r="AA282" s="134"/>
      <c r="AT282" s="130" t="s">
        <v>158</v>
      </c>
      <c r="AU282" s="130" t="s">
        <v>103</v>
      </c>
      <c r="AV282" s="130" t="s">
        <v>103</v>
      </c>
      <c r="AW282" s="130" t="s">
        <v>113</v>
      </c>
      <c r="AX282" s="130" t="s">
        <v>82</v>
      </c>
      <c r="AY282" s="130" t="s">
        <v>151</v>
      </c>
    </row>
    <row r="283" spans="2:64" s="6" customFormat="1" ht="27" customHeight="1">
      <c r="B283" s="22"/>
      <c r="C283" s="122" t="s">
        <v>379</v>
      </c>
      <c r="D283" s="122" t="s">
        <v>152</v>
      </c>
      <c r="E283" s="123" t="s">
        <v>380</v>
      </c>
      <c r="F283" s="212" t="s">
        <v>381</v>
      </c>
      <c r="G283" s="213"/>
      <c r="H283" s="213"/>
      <c r="I283" s="213"/>
      <c r="J283" s="124" t="s">
        <v>155</v>
      </c>
      <c r="K283" s="125">
        <v>873.83</v>
      </c>
      <c r="L283" s="214">
        <v>0</v>
      </c>
      <c r="M283" s="213"/>
      <c r="N283" s="215">
        <f>ROUND($L$283*$K$283,2)</f>
        <v>0</v>
      </c>
      <c r="O283" s="213"/>
      <c r="P283" s="213"/>
      <c r="Q283" s="213"/>
      <c r="R283" s="23"/>
      <c r="T283" s="126"/>
      <c r="U283" s="29" t="s">
        <v>47</v>
      </c>
      <c r="V283" s="127">
        <v>0.057</v>
      </c>
      <c r="W283" s="127">
        <f>$V$283*$K$283</f>
        <v>49.808310000000006</v>
      </c>
      <c r="X283" s="127">
        <v>0</v>
      </c>
      <c r="Y283" s="127">
        <f>$X$283*$K$283</f>
        <v>0</v>
      </c>
      <c r="Z283" s="127">
        <v>0.098</v>
      </c>
      <c r="AA283" s="128">
        <f>$Z$283*$K$283</f>
        <v>85.63534000000001</v>
      </c>
      <c r="AR283" s="6" t="s">
        <v>156</v>
      </c>
      <c r="AT283" s="6" t="s">
        <v>152</v>
      </c>
      <c r="AU283" s="6" t="s">
        <v>103</v>
      </c>
      <c r="AY283" s="6" t="s">
        <v>151</v>
      </c>
      <c r="BE283" s="82">
        <f>IF($U$283="základní",$N$283,0)</f>
        <v>0</v>
      </c>
      <c r="BF283" s="82">
        <f>IF($U$283="snížená",$N$283,0)</f>
        <v>0</v>
      </c>
      <c r="BG283" s="82">
        <f>IF($U$283="zákl. přenesená",$N$283,0)</f>
        <v>0</v>
      </c>
      <c r="BH283" s="82">
        <f>IF($U$283="sníž. přenesená",$N$283,0)</f>
        <v>0</v>
      </c>
      <c r="BI283" s="82">
        <f>IF($U$283="nulová",$N$283,0)</f>
        <v>0</v>
      </c>
      <c r="BJ283" s="6" t="s">
        <v>21</v>
      </c>
      <c r="BK283" s="82">
        <f>ROUND($L$283*$K$283,2)</f>
        <v>0</v>
      </c>
      <c r="BL283" s="6" t="s">
        <v>156</v>
      </c>
    </row>
    <row r="284" spans="2:51" s="6" customFormat="1" ht="15.75" customHeight="1">
      <c r="B284" s="136"/>
      <c r="E284" s="137"/>
      <c r="F284" s="208" t="s">
        <v>382</v>
      </c>
      <c r="G284" s="209"/>
      <c r="H284" s="209"/>
      <c r="I284" s="209"/>
      <c r="K284" s="137"/>
      <c r="N284" s="137"/>
      <c r="R284" s="138"/>
      <c r="T284" s="139"/>
      <c r="AA284" s="140"/>
      <c r="AT284" s="137" t="s">
        <v>158</v>
      </c>
      <c r="AU284" s="137" t="s">
        <v>103</v>
      </c>
      <c r="AV284" s="137" t="s">
        <v>21</v>
      </c>
      <c r="AW284" s="137" t="s">
        <v>113</v>
      </c>
      <c r="AX284" s="137" t="s">
        <v>82</v>
      </c>
      <c r="AY284" s="137" t="s">
        <v>151</v>
      </c>
    </row>
    <row r="285" spans="2:51" s="6" customFormat="1" ht="15.75" customHeight="1">
      <c r="B285" s="129"/>
      <c r="E285" s="130"/>
      <c r="F285" s="210" t="s">
        <v>383</v>
      </c>
      <c r="G285" s="211"/>
      <c r="H285" s="211"/>
      <c r="I285" s="211"/>
      <c r="K285" s="131">
        <v>873.83</v>
      </c>
      <c r="N285" s="130"/>
      <c r="R285" s="132"/>
      <c r="T285" s="133"/>
      <c r="AA285" s="134"/>
      <c r="AT285" s="130" t="s">
        <v>158</v>
      </c>
      <c r="AU285" s="130" t="s">
        <v>103</v>
      </c>
      <c r="AV285" s="130" t="s">
        <v>103</v>
      </c>
      <c r="AW285" s="130" t="s">
        <v>113</v>
      </c>
      <c r="AX285" s="130" t="s">
        <v>82</v>
      </c>
      <c r="AY285" s="130" t="s">
        <v>151</v>
      </c>
    </row>
    <row r="286" spans="2:64" s="6" customFormat="1" ht="15.75" customHeight="1">
      <c r="B286" s="22"/>
      <c r="C286" s="122" t="s">
        <v>384</v>
      </c>
      <c r="D286" s="122" t="s">
        <v>152</v>
      </c>
      <c r="E286" s="123" t="s">
        <v>385</v>
      </c>
      <c r="F286" s="212" t="s">
        <v>386</v>
      </c>
      <c r="G286" s="213"/>
      <c r="H286" s="213"/>
      <c r="I286" s="213"/>
      <c r="J286" s="124" t="s">
        <v>269</v>
      </c>
      <c r="K286" s="125">
        <v>835.29</v>
      </c>
      <c r="L286" s="214">
        <v>0</v>
      </c>
      <c r="M286" s="213"/>
      <c r="N286" s="215">
        <f>ROUND($L$286*$K$286,2)</f>
        <v>0</v>
      </c>
      <c r="O286" s="213"/>
      <c r="P286" s="213"/>
      <c r="Q286" s="213"/>
      <c r="R286" s="23"/>
      <c r="T286" s="126"/>
      <c r="U286" s="29" t="s">
        <v>47</v>
      </c>
      <c r="V286" s="127">
        <v>0.133</v>
      </c>
      <c r="W286" s="127">
        <f>$V$286*$K$286</f>
        <v>111.09357</v>
      </c>
      <c r="X286" s="127">
        <v>0</v>
      </c>
      <c r="Y286" s="127">
        <f>$X$286*$K$286</f>
        <v>0</v>
      </c>
      <c r="Z286" s="127">
        <v>0.205</v>
      </c>
      <c r="AA286" s="128">
        <f>$Z$286*$K$286</f>
        <v>171.23444999999998</v>
      </c>
      <c r="AR286" s="6" t="s">
        <v>156</v>
      </c>
      <c r="AT286" s="6" t="s">
        <v>152</v>
      </c>
      <c r="AU286" s="6" t="s">
        <v>103</v>
      </c>
      <c r="AY286" s="6" t="s">
        <v>151</v>
      </c>
      <c r="BE286" s="82">
        <f>IF($U$286="základní",$N$286,0)</f>
        <v>0</v>
      </c>
      <c r="BF286" s="82">
        <f>IF($U$286="snížená",$N$286,0)</f>
        <v>0</v>
      </c>
      <c r="BG286" s="82">
        <f>IF($U$286="zákl. přenesená",$N$286,0)</f>
        <v>0</v>
      </c>
      <c r="BH286" s="82">
        <f>IF($U$286="sníž. přenesená",$N$286,0)</f>
        <v>0</v>
      </c>
      <c r="BI286" s="82">
        <f>IF($U$286="nulová",$N$286,0)</f>
        <v>0</v>
      </c>
      <c r="BJ286" s="6" t="s">
        <v>21</v>
      </c>
      <c r="BK286" s="82">
        <f>ROUND($L$286*$K$286,2)</f>
        <v>0</v>
      </c>
      <c r="BL286" s="6" t="s">
        <v>156</v>
      </c>
    </row>
    <row r="287" spans="2:51" s="6" customFormat="1" ht="15.75" customHeight="1">
      <c r="B287" s="136"/>
      <c r="E287" s="137"/>
      <c r="F287" s="208" t="s">
        <v>387</v>
      </c>
      <c r="G287" s="209"/>
      <c r="H287" s="209"/>
      <c r="I287" s="209"/>
      <c r="K287" s="137"/>
      <c r="N287" s="137"/>
      <c r="R287" s="138"/>
      <c r="T287" s="139"/>
      <c r="AA287" s="140"/>
      <c r="AT287" s="137" t="s">
        <v>158</v>
      </c>
      <c r="AU287" s="137" t="s">
        <v>103</v>
      </c>
      <c r="AV287" s="137" t="s">
        <v>21</v>
      </c>
      <c r="AW287" s="137" t="s">
        <v>113</v>
      </c>
      <c r="AX287" s="137" t="s">
        <v>82</v>
      </c>
      <c r="AY287" s="137" t="s">
        <v>151</v>
      </c>
    </row>
    <row r="288" spans="2:51" s="6" customFormat="1" ht="27" customHeight="1">
      <c r="B288" s="129"/>
      <c r="E288" s="130"/>
      <c r="F288" s="210" t="s">
        <v>388</v>
      </c>
      <c r="G288" s="211"/>
      <c r="H288" s="211"/>
      <c r="I288" s="211"/>
      <c r="K288" s="131">
        <v>634.01</v>
      </c>
      <c r="N288" s="130"/>
      <c r="R288" s="132"/>
      <c r="T288" s="133"/>
      <c r="AA288" s="134"/>
      <c r="AT288" s="130" t="s">
        <v>158</v>
      </c>
      <c r="AU288" s="130" t="s">
        <v>103</v>
      </c>
      <c r="AV288" s="130" t="s">
        <v>103</v>
      </c>
      <c r="AW288" s="130" t="s">
        <v>113</v>
      </c>
      <c r="AX288" s="130" t="s">
        <v>82</v>
      </c>
      <c r="AY288" s="130" t="s">
        <v>151</v>
      </c>
    </row>
    <row r="289" spans="2:51" s="6" customFormat="1" ht="15.75" customHeight="1">
      <c r="B289" s="136"/>
      <c r="E289" s="137"/>
      <c r="F289" s="208" t="s">
        <v>389</v>
      </c>
      <c r="G289" s="209"/>
      <c r="H289" s="209"/>
      <c r="I289" s="209"/>
      <c r="K289" s="137"/>
      <c r="N289" s="137"/>
      <c r="R289" s="138"/>
      <c r="T289" s="139"/>
      <c r="AA289" s="140"/>
      <c r="AT289" s="137" t="s">
        <v>158</v>
      </c>
      <c r="AU289" s="137" t="s">
        <v>103</v>
      </c>
      <c r="AV289" s="137" t="s">
        <v>21</v>
      </c>
      <c r="AW289" s="137" t="s">
        <v>113</v>
      </c>
      <c r="AX289" s="137" t="s">
        <v>82</v>
      </c>
      <c r="AY289" s="137" t="s">
        <v>151</v>
      </c>
    </row>
    <row r="290" spans="2:51" s="6" customFormat="1" ht="15.75" customHeight="1">
      <c r="B290" s="129"/>
      <c r="E290" s="130"/>
      <c r="F290" s="210" t="s">
        <v>390</v>
      </c>
      <c r="G290" s="211"/>
      <c r="H290" s="211"/>
      <c r="I290" s="211"/>
      <c r="K290" s="131">
        <v>201.28</v>
      </c>
      <c r="N290" s="130"/>
      <c r="R290" s="132"/>
      <c r="T290" s="133"/>
      <c r="AA290" s="134"/>
      <c r="AT290" s="130" t="s">
        <v>158</v>
      </c>
      <c r="AU290" s="130" t="s">
        <v>103</v>
      </c>
      <c r="AV290" s="130" t="s">
        <v>103</v>
      </c>
      <c r="AW290" s="130" t="s">
        <v>113</v>
      </c>
      <c r="AX290" s="130" t="s">
        <v>82</v>
      </c>
      <c r="AY290" s="130" t="s">
        <v>151</v>
      </c>
    </row>
    <row r="291" spans="2:64" s="6" customFormat="1" ht="15.75" customHeight="1">
      <c r="B291" s="22"/>
      <c r="C291" s="122" t="s">
        <v>391</v>
      </c>
      <c r="D291" s="122" t="s">
        <v>152</v>
      </c>
      <c r="E291" s="123" t="s">
        <v>392</v>
      </c>
      <c r="F291" s="212" t="s">
        <v>393</v>
      </c>
      <c r="G291" s="213"/>
      <c r="H291" s="213"/>
      <c r="I291" s="213"/>
      <c r="J291" s="124" t="s">
        <v>269</v>
      </c>
      <c r="K291" s="125">
        <v>25.39</v>
      </c>
      <c r="L291" s="214">
        <v>0</v>
      </c>
      <c r="M291" s="213"/>
      <c r="N291" s="215">
        <f>ROUND($L$291*$K$291,2)</f>
        <v>0</v>
      </c>
      <c r="O291" s="213"/>
      <c r="P291" s="213"/>
      <c r="Q291" s="213"/>
      <c r="R291" s="23"/>
      <c r="T291" s="126"/>
      <c r="U291" s="29" t="s">
        <v>47</v>
      </c>
      <c r="V291" s="127">
        <v>0.095</v>
      </c>
      <c r="W291" s="127">
        <f>$V$291*$K$291</f>
        <v>2.4120500000000002</v>
      </c>
      <c r="X291" s="127">
        <v>0</v>
      </c>
      <c r="Y291" s="127">
        <f>$X$291*$K$291</f>
        <v>0</v>
      </c>
      <c r="Z291" s="127">
        <v>0.04</v>
      </c>
      <c r="AA291" s="128">
        <f>$Z$291*$K$291</f>
        <v>1.0156</v>
      </c>
      <c r="AR291" s="6" t="s">
        <v>156</v>
      </c>
      <c r="AT291" s="6" t="s">
        <v>152</v>
      </c>
      <c r="AU291" s="6" t="s">
        <v>103</v>
      </c>
      <c r="AY291" s="6" t="s">
        <v>151</v>
      </c>
      <c r="BE291" s="82">
        <f>IF($U$291="základní",$N$291,0)</f>
        <v>0</v>
      </c>
      <c r="BF291" s="82">
        <f>IF($U$291="snížená",$N$291,0)</f>
        <v>0</v>
      </c>
      <c r="BG291" s="82">
        <f>IF($U$291="zákl. přenesená",$N$291,0)</f>
        <v>0</v>
      </c>
      <c r="BH291" s="82">
        <f>IF($U$291="sníž. přenesená",$N$291,0)</f>
        <v>0</v>
      </c>
      <c r="BI291" s="82">
        <f>IF($U$291="nulová",$N$291,0)</f>
        <v>0</v>
      </c>
      <c r="BJ291" s="6" t="s">
        <v>21</v>
      </c>
      <c r="BK291" s="82">
        <f>ROUND($L$291*$K$291,2)</f>
        <v>0</v>
      </c>
      <c r="BL291" s="6" t="s">
        <v>156</v>
      </c>
    </row>
    <row r="292" spans="2:51" s="6" customFormat="1" ht="15.75" customHeight="1">
      <c r="B292" s="136"/>
      <c r="E292" s="137"/>
      <c r="F292" s="208" t="s">
        <v>394</v>
      </c>
      <c r="G292" s="209"/>
      <c r="H292" s="209"/>
      <c r="I292" s="209"/>
      <c r="K292" s="137"/>
      <c r="N292" s="137"/>
      <c r="R292" s="138"/>
      <c r="T292" s="139"/>
      <c r="AA292" s="140"/>
      <c r="AT292" s="137" t="s">
        <v>158</v>
      </c>
      <c r="AU292" s="137" t="s">
        <v>103</v>
      </c>
      <c r="AV292" s="137" t="s">
        <v>21</v>
      </c>
      <c r="AW292" s="137" t="s">
        <v>113</v>
      </c>
      <c r="AX292" s="137" t="s">
        <v>82</v>
      </c>
      <c r="AY292" s="137" t="s">
        <v>151</v>
      </c>
    </row>
    <row r="293" spans="2:51" s="6" customFormat="1" ht="15.75" customHeight="1">
      <c r="B293" s="129"/>
      <c r="E293" s="130"/>
      <c r="F293" s="210" t="s">
        <v>395</v>
      </c>
      <c r="G293" s="211"/>
      <c r="H293" s="211"/>
      <c r="I293" s="211"/>
      <c r="K293" s="131">
        <v>25.39</v>
      </c>
      <c r="N293" s="130"/>
      <c r="R293" s="132"/>
      <c r="T293" s="133"/>
      <c r="AA293" s="134"/>
      <c r="AT293" s="130" t="s">
        <v>158</v>
      </c>
      <c r="AU293" s="130" t="s">
        <v>103</v>
      </c>
      <c r="AV293" s="130" t="s">
        <v>103</v>
      </c>
      <c r="AW293" s="130" t="s">
        <v>113</v>
      </c>
      <c r="AX293" s="130" t="s">
        <v>82</v>
      </c>
      <c r="AY293" s="130" t="s">
        <v>151</v>
      </c>
    </row>
    <row r="294" spans="2:64" s="6" customFormat="1" ht="27" customHeight="1">
      <c r="B294" s="22"/>
      <c r="C294" s="122" t="s">
        <v>396</v>
      </c>
      <c r="D294" s="122" t="s">
        <v>152</v>
      </c>
      <c r="E294" s="123" t="s">
        <v>397</v>
      </c>
      <c r="F294" s="212" t="s">
        <v>398</v>
      </c>
      <c r="G294" s="213"/>
      <c r="H294" s="213"/>
      <c r="I294" s="213"/>
      <c r="J294" s="124" t="s">
        <v>273</v>
      </c>
      <c r="K294" s="125">
        <v>1</v>
      </c>
      <c r="L294" s="214">
        <v>0</v>
      </c>
      <c r="M294" s="213"/>
      <c r="N294" s="215">
        <f>ROUND($L$294*$K$294,2)</f>
        <v>0</v>
      </c>
      <c r="O294" s="213"/>
      <c r="P294" s="213"/>
      <c r="Q294" s="213"/>
      <c r="R294" s="23"/>
      <c r="T294" s="126"/>
      <c r="U294" s="29" t="s">
        <v>47</v>
      </c>
      <c r="V294" s="127">
        <v>0.5</v>
      </c>
      <c r="W294" s="127">
        <f>$V$294*$K$294</f>
        <v>0.5</v>
      </c>
      <c r="X294" s="127">
        <v>0</v>
      </c>
      <c r="Y294" s="127">
        <f>$X$294*$K$294</f>
        <v>0</v>
      </c>
      <c r="Z294" s="127">
        <v>0.087</v>
      </c>
      <c r="AA294" s="128">
        <f>$Z$294*$K$294</f>
        <v>0.087</v>
      </c>
      <c r="AR294" s="6" t="s">
        <v>156</v>
      </c>
      <c r="AT294" s="6" t="s">
        <v>152</v>
      </c>
      <c r="AU294" s="6" t="s">
        <v>103</v>
      </c>
      <c r="AY294" s="6" t="s">
        <v>151</v>
      </c>
      <c r="BE294" s="82">
        <f>IF($U$294="základní",$N$294,0)</f>
        <v>0</v>
      </c>
      <c r="BF294" s="82">
        <f>IF($U$294="snížená",$N$294,0)</f>
        <v>0</v>
      </c>
      <c r="BG294" s="82">
        <f>IF($U$294="zákl. přenesená",$N$294,0)</f>
        <v>0</v>
      </c>
      <c r="BH294" s="82">
        <f>IF($U$294="sníž. přenesená",$N$294,0)</f>
        <v>0</v>
      </c>
      <c r="BI294" s="82">
        <f>IF($U$294="nulová",$N$294,0)</f>
        <v>0</v>
      </c>
      <c r="BJ294" s="6" t="s">
        <v>21</v>
      </c>
      <c r="BK294" s="82">
        <f>ROUND($L$294*$K$294,2)</f>
        <v>0</v>
      </c>
      <c r="BL294" s="6" t="s">
        <v>156</v>
      </c>
    </row>
    <row r="295" spans="2:64" s="6" customFormat="1" ht="27" customHeight="1">
      <c r="B295" s="22"/>
      <c r="C295" s="122" t="s">
        <v>399</v>
      </c>
      <c r="D295" s="122" t="s">
        <v>152</v>
      </c>
      <c r="E295" s="123" t="s">
        <v>400</v>
      </c>
      <c r="F295" s="212" t="s">
        <v>401</v>
      </c>
      <c r="G295" s="213"/>
      <c r="H295" s="213"/>
      <c r="I295" s="213"/>
      <c r="J295" s="124" t="s">
        <v>155</v>
      </c>
      <c r="K295" s="125">
        <v>63</v>
      </c>
      <c r="L295" s="214">
        <v>0</v>
      </c>
      <c r="M295" s="213"/>
      <c r="N295" s="215">
        <f>ROUND($L$295*$K$295,2)</f>
        <v>0</v>
      </c>
      <c r="O295" s="213"/>
      <c r="P295" s="213"/>
      <c r="Q295" s="213"/>
      <c r="R295" s="23"/>
      <c r="T295" s="126"/>
      <c r="U295" s="29" t="s">
        <v>47</v>
      </c>
      <c r="V295" s="127">
        <v>0.1</v>
      </c>
      <c r="W295" s="127">
        <f>$V$295*$K$295</f>
        <v>6.300000000000001</v>
      </c>
      <c r="X295" s="127">
        <v>0</v>
      </c>
      <c r="Y295" s="127">
        <f>$X$295*$K$295</f>
        <v>0</v>
      </c>
      <c r="Z295" s="127">
        <v>0.029</v>
      </c>
      <c r="AA295" s="128">
        <f>$Z$295*$K$295</f>
        <v>1.8270000000000002</v>
      </c>
      <c r="AR295" s="6" t="s">
        <v>156</v>
      </c>
      <c r="AT295" s="6" t="s">
        <v>152</v>
      </c>
      <c r="AU295" s="6" t="s">
        <v>103</v>
      </c>
      <c r="AY295" s="6" t="s">
        <v>151</v>
      </c>
      <c r="BE295" s="82">
        <f>IF($U$295="základní",$N$295,0)</f>
        <v>0</v>
      </c>
      <c r="BF295" s="82">
        <f>IF($U$295="snížená",$N$295,0)</f>
        <v>0</v>
      </c>
      <c r="BG295" s="82">
        <f>IF($U$295="zákl. přenesená",$N$295,0)</f>
        <v>0</v>
      </c>
      <c r="BH295" s="82">
        <f>IF($U$295="sníž. přenesená",$N$295,0)</f>
        <v>0</v>
      </c>
      <c r="BI295" s="82">
        <f>IF($U$295="nulová",$N$295,0)</f>
        <v>0</v>
      </c>
      <c r="BJ295" s="6" t="s">
        <v>21</v>
      </c>
      <c r="BK295" s="82">
        <f>ROUND($L$295*$K$295,2)</f>
        <v>0</v>
      </c>
      <c r="BL295" s="6" t="s">
        <v>156</v>
      </c>
    </row>
    <row r="296" spans="2:51" s="6" customFormat="1" ht="15.75" customHeight="1">
      <c r="B296" s="136"/>
      <c r="E296" s="137"/>
      <c r="F296" s="208" t="s">
        <v>345</v>
      </c>
      <c r="G296" s="209"/>
      <c r="H296" s="209"/>
      <c r="I296" s="209"/>
      <c r="K296" s="137"/>
      <c r="N296" s="137"/>
      <c r="R296" s="138"/>
      <c r="T296" s="139"/>
      <c r="AA296" s="140"/>
      <c r="AT296" s="137" t="s">
        <v>158</v>
      </c>
      <c r="AU296" s="137" t="s">
        <v>103</v>
      </c>
      <c r="AV296" s="137" t="s">
        <v>21</v>
      </c>
      <c r="AW296" s="137" t="s">
        <v>113</v>
      </c>
      <c r="AX296" s="137" t="s">
        <v>82</v>
      </c>
      <c r="AY296" s="137" t="s">
        <v>151</v>
      </c>
    </row>
    <row r="297" spans="2:51" s="6" customFormat="1" ht="15.75" customHeight="1">
      <c r="B297" s="129"/>
      <c r="E297" s="130"/>
      <c r="F297" s="210" t="s">
        <v>346</v>
      </c>
      <c r="G297" s="211"/>
      <c r="H297" s="211"/>
      <c r="I297" s="211"/>
      <c r="K297" s="131">
        <v>63</v>
      </c>
      <c r="N297" s="130"/>
      <c r="R297" s="132"/>
      <c r="T297" s="133"/>
      <c r="AA297" s="134"/>
      <c r="AT297" s="130" t="s">
        <v>158</v>
      </c>
      <c r="AU297" s="130" t="s">
        <v>103</v>
      </c>
      <c r="AV297" s="130" t="s">
        <v>103</v>
      </c>
      <c r="AW297" s="130" t="s">
        <v>113</v>
      </c>
      <c r="AX297" s="130" t="s">
        <v>82</v>
      </c>
      <c r="AY297" s="130" t="s">
        <v>151</v>
      </c>
    </row>
    <row r="298" spans="2:64" s="6" customFormat="1" ht="27" customHeight="1">
      <c r="B298" s="22"/>
      <c r="C298" s="122" t="s">
        <v>402</v>
      </c>
      <c r="D298" s="122" t="s">
        <v>152</v>
      </c>
      <c r="E298" s="123" t="s">
        <v>403</v>
      </c>
      <c r="F298" s="212" t="s">
        <v>404</v>
      </c>
      <c r="G298" s="213"/>
      <c r="H298" s="213"/>
      <c r="I298" s="213"/>
      <c r="J298" s="124" t="s">
        <v>155</v>
      </c>
      <c r="K298" s="125">
        <v>8.4</v>
      </c>
      <c r="L298" s="214">
        <v>0</v>
      </c>
      <c r="M298" s="213"/>
      <c r="N298" s="215">
        <f>ROUND($L$298*$K$298,2)</f>
        <v>0</v>
      </c>
      <c r="O298" s="213"/>
      <c r="P298" s="213"/>
      <c r="Q298" s="213"/>
      <c r="R298" s="23"/>
      <c r="T298" s="126"/>
      <c r="U298" s="29" t="s">
        <v>47</v>
      </c>
      <c r="V298" s="127">
        <v>0.17</v>
      </c>
      <c r="W298" s="127">
        <f>$V$298*$K$298</f>
        <v>1.4280000000000002</v>
      </c>
      <c r="X298" s="127">
        <v>0</v>
      </c>
      <c r="Y298" s="127">
        <f>$X$298*$K$298</f>
        <v>0</v>
      </c>
      <c r="Z298" s="127">
        <v>0.034</v>
      </c>
      <c r="AA298" s="128">
        <f>$Z$298*$K$298</f>
        <v>0.2856</v>
      </c>
      <c r="AR298" s="6" t="s">
        <v>156</v>
      </c>
      <c r="AT298" s="6" t="s">
        <v>152</v>
      </c>
      <c r="AU298" s="6" t="s">
        <v>103</v>
      </c>
      <c r="AY298" s="6" t="s">
        <v>151</v>
      </c>
      <c r="BE298" s="82">
        <f>IF($U$298="základní",$N$298,0)</f>
        <v>0</v>
      </c>
      <c r="BF298" s="82">
        <f>IF($U$298="snížená",$N$298,0)</f>
        <v>0</v>
      </c>
      <c r="BG298" s="82">
        <f>IF($U$298="zákl. přenesená",$N$298,0)</f>
        <v>0</v>
      </c>
      <c r="BH298" s="82">
        <f>IF($U$298="sníž. přenesená",$N$298,0)</f>
        <v>0</v>
      </c>
      <c r="BI298" s="82">
        <f>IF($U$298="nulová",$N$298,0)</f>
        <v>0</v>
      </c>
      <c r="BJ298" s="6" t="s">
        <v>21</v>
      </c>
      <c r="BK298" s="82">
        <f>ROUND($L$298*$K$298,2)</f>
        <v>0</v>
      </c>
      <c r="BL298" s="6" t="s">
        <v>156</v>
      </c>
    </row>
    <row r="299" spans="2:51" s="6" customFormat="1" ht="15.75" customHeight="1">
      <c r="B299" s="136"/>
      <c r="E299" s="137"/>
      <c r="F299" s="208" t="s">
        <v>350</v>
      </c>
      <c r="G299" s="209"/>
      <c r="H299" s="209"/>
      <c r="I299" s="209"/>
      <c r="K299" s="137"/>
      <c r="N299" s="137"/>
      <c r="R299" s="138"/>
      <c r="T299" s="139"/>
      <c r="AA299" s="140"/>
      <c r="AT299" s="137" t="s">
        <v>158</v>
      </c>
      <c r="AU299" s="137" t="s">
        <v>103</v>
      </c>
      <c r="AV299" s="137" t="s">
        <v>21</v>
      </c>
      <c r="AW299" s="137" t="s">
        <v>113</v>
      </c>
      <c r="AX299" s="137" t="s">
        <v>82</v>
      </c>
      <c r="AY299" s="137" t="s">
        <v>151</v>
      </c>
    </row>
    <row r="300" spans="2:51" s="6" customFormat="1" ht="15.75" customHeight="1">
      <c r="B300" s="129"/>
      <c r="E300" s="130"/>
      <c r="F300" s="210" t="s">
        <v>351</v>
      </c>
      <c r="G300" s="211"/>
      <c r="H300" s="211"/>
      <c r="I300" s="211"/>
      <c r="K300" s="131">
        <v>8.4</v>
      </c>
      <c r="N300" s="130"/>
      <c r="R300" s="132"/>
      <c r="T300" s="133"/>
      <c r="AA300" s="134"/>
      <c r="AT300" s="130" t="s">
        <v>158</v>
      </c>
      <c r="AU300" s="130" t="s">
        <v>103</v>
      </c>
      <c r="AV300" s="130" t="s">
        <v>103</v>
      </c>
      <c r="AW300" s="130" t="s">
        <v>113</v>
      </c>
      <c r="AX300" s="130" t="s">
        <v>82</v>
      </c>
      <c r="AY300" s="130" t="s">
        <v>151</v>
      </c>
    </row>
    <row r="301" spans="2:64" s="6" customFormat="1" ht="15.75" customHeight="1">
      <c r="B301" s="22"/>
      <c r="C301" s="122" t="s">
        <v>405</v>
      </c>
      <c r="D301" s="122" t="s">
        <v>152</v>
      </c>
      <c r="E301" s="123" t="s">
        <v>406</v>
      </c>
      <c r="F301" s="212" t="s">
        <v>407</v>
      </c>
      <c r="G301" s="213"/>
      <c r="H301" s="213"/>
      <c r="I301" s="213"/>
      <c r="J301" s="124" t="s">
        <v>196</v>
      </c>
      <c r="K301" s="125">
        <v>412.197</v>
      </c>
      <c r="L301" s="214">
        <v>0</v>
      </c>
      <c r="M301" s="213"/>
      <c r="N301" s="215">
        <f>ROUND($L$301*$K$301,2)</f>
        <v>0</v>
      </c>
      <c r="O301" s="213"/>
      <c r="P301" s="213"/>
      <c r="Q301" s="213"/>
      <c r="R301" s="23"/>
      <c r="T301" s="126"/>
      <c r="U301" s="29" t="s">
        <v>47</v>
      </c>
      <c r="V301" s="127">
        <v>0.136</v>
      </c>
      <c r="W301" s="127">
        <f>$V$301*$K$301</f>
        <v>56.058792000000004</v>
      </c>
      <c r="X301" s="127">
        <v>0</v>
      </c>
      <c r="Y301" s="127">
        <f>$X$301*$K$301</f>
        <v>0</v>
      </c>
      <c r="Z301" s="127">
        <v>0</v>
      </c>
      <c r="AA301" s="128">
        <f>$Z$301*$K$301</f>
        <v>0</v>
      </c>
      <c r="AR301" s="6" t="s">
        <v>156</v>
      </c>
      <c r="AT301" s="6" t="s">
        <v>152</v>
      </c>
      <c r="AU301" s="6" t="s">
        <v>103</v>
      </c>
      <c r="AY301" s="6" t="s">
        <v>151</v>
      </c>
      <c r="BE301" s="82">
        <f>IF($U$301="základní",$N$301,0)</f>
        <v>0</v>
      </c>
      <c r="BF301" s="82">
        <f>IF($U$301="snížená",$N$301,0)</f>
        <v>0</v>
      </c>
      <c r="BG301" s="82">
        <f>IF($U$301="zákl. přenesená",$N$301,0)</f>
        <v>0</v>
      </c>
      <c r="BH301" s="82">
        <f>IF($U$301="sníž. přenesená",$N$301,0)</f>
        <v>0</v>
      </c>
      <c r="BI301" s="82">
        <f>IF($U$301="nulová",$N$301,0)</f>
        <v>0</v>
      </c>
      <c r="BJ301" s="6" t="s">
        <v>21</v>
      </c>
      <c r="BK301" s="82">
        <f>ROUND($L$301*$K$301,2)</f>
        <v>0</v>
      </c>
      <c r="BL301" s="6" t="s">
        <v>156</v>
      </c>
    </row>
    <row r="302" spans="2:64" s="6" customFormat="1" ht="27" customHeight="1">
      <c r="B302" s="22"/>
      <c r="C302" s="122" t="s">
        <v>408</v>
      </c>
      <c r="D302" s="122" t="s">
        <v>152</v>
      </c>
      <c r="E302" s="123" t="s">
        <v>409</v>
      </c>
      <c r="F302" s="212" t="s">
        <v>410</v>
      </c>
      <c r="G302" s="213"/>
      <c r="H302" s="213"/>
      <c r="I302" s="213"/>
      <c r="J302" s="124" t="s">
        <v>196</v>
      </c>
      <c r="K302" s="125">
        <v>138.49</v>
      </c>
      <c r="L302" s="214">
        <v>0</v>
      </c>
      <c r="M302" s="213"/>
      <c r="N302" s="215">
        <f>ROUND($L$302*$K$302,2)</f>
        <v>0</v>
      </c>
      <c r="O302" s="213"/>
      <c r="P302" s="213"/>
      <c r="Q302" s="213"/>
      <c r="R302" s="23"/>
      <c r="T302" s="126"/>
      <c r="U302" s="29" t="s">
        <v>47</v>
      </c>
      <c r="V302" s="127">
        <v>0.03</v>
      </c>
      <c r="W302" s="127">
        <f>$V$302*$K$302</f>
        <v>4.1547</v>
      </c>
      <c r="X302" s="127">
        <v>0</v>
      </c>
      <c r="Y302" s="127">
        <f>$X$302*$K$302</f>
        <v>0</v>
      </c>
      <c r="Z302" s="127">
        <v>0</v>
      </c>
      <c r="AA302" s="128">
        <f>$Z$302*$K$302</f>
        <v>0</v>
      </c>
      <c r="AR302" s="6" t="s">
        <v>156</v>
      </c>
      <c r="AT302" s="6" t="s">
        <v>152</v>
      </c>
      <c r="AU302" s="6" t="s">
        <v>103</v>
      </c>
      <c r="AY302" s="6" t="s">
        <v>151</v>
      </c>
      <c r="BE302" s="82">
        <f>IF($U$302="základní",$N$302,0)</f>
        <v>0</v>
      </c>
      <c r="BF302" s="82">
        <f>IF($U$302="snížená",$N$302,0)</f>
        <v>0</v>
      </c>
      <c r="BG302" s="82">
        <f>IF($U$302="zákl. přenesená",$N$302,0)</f>
        <v>0</v>
      </c>
      <c r="BH302" s="82">
        <f>IF($U$302="sníž. přenesená",$N$302,0)</f>
        <v>0</v>
      </c>
      <c r="BI302" s="82">
        <f>IF($U$302="nulová",$N$302,0)</f>
        <v>0</v>
      </c>
      <c r="BJ302" s="6" t="s">
        <v>21</v>
      </c>
      <c r="BK302" s="82">
        <f>ROUND($L$302*$K$302,2)</f>
        <v>0</v>
      </c>
      <c r="BL302" s="6" t="s">
        <v>156</v>
      </c>
    </row>
    <row r="303" spans="2:51" s="6" customFormat="1" ht="15.75" customHeight="1">
      <c r="B303" s="136"/>
      <c r="E303" s="137"/>
      <c r="F303" s="208" t="s">
        <v>411</v>
      </c>
      <c r="G303" s="209"/>
      <c r="H303" s="209"/>
      <c r="I303" s="209"/>
      <c r="K303" s="137"/>
      <c r="N303" s="137"/>
      <c r="R303" s="138"/>
      <c r="T303" s="139"/>
      <c r="AA303" s="140"/>
      <c r="AT303" s="137" t="s">
        <v>158</v>
      </c>
      <c r="AU303" s="137" t="s">
        <v>103</v>
      </c>
      <c r="AV303" s="137" t="s">
        <v>21</v>
      </c>
      <c r="AW303" s="137" t="s">
        <v>113</v>
      </c>
      <c r="AX303" s="137" t="s">
        <v>82</v>
      </c>
      <c r="AY303" s="137" t="s">
        <v>151</v>
      </c>
    </row>
    <row r="304" spans="2:51" s="6" customFormat="1" ht="15.75" customHeight="1">
      <c r="B304" s="129"/>
      <c r="E304" s="130"/>
      <c r="F304" s="210" t="s">
        <v>412</v>
      </c>
      <c r="G304" s="211"/>
      <c r="H304" s="211"/>
      <c r="I304" s="211"/>
      <c r="K304" s="131">
        <v>85.635</v>
      </c>
      <c r="N304" s="130"/>
      <c r="R304" s="132"/>
      <c r="T304" s="133"/>
      <c r="AA304" s="134"/>
      <c r="AT304" s="130" t="s">
        <v>158</v>
      </c>
      <c r="AU304" s="130" t="s">
        <v>103</v>
      </c>
      <c r="AV304" s="130" t="s">
        <v>103</v>
      </c>
      <c r="AW304" s="130" t="s">
        <v>113</v>
      </c>
      <c r="AX304" s="130" t="s">
        <v>82</v>
      </c>
      <c r="AY304" s="130" t="s">
        <v>151</v>
      </c>
    </row>
    <row r="305" spans="2:51" s="6" customFormat="1" ht="15.75" customHeight="1">
      <c r="B305" s="136"/>
      <c r="E305" s="137"/>
      <c r="F305" s="208" t="s">
        <v>413</v>
      </c>
      <c r="G305" s="209"/>
      <c r="H305" s="209"/>
      <c r="I305" s="209"/>
      <c r="K305" s="137"/>
      <c r="N305" s="137"/>
      <c r="R305" s="138"/>
      <c r="T305" s="139"/>
      <c r="AA305" s="140"/>
      <c r="AT305" s="137" t="s">
        <v>158</v>
      </c>
      <c r="AU305" s="137" t="s">
        <v>103</v>
      </c>
      <c r="AV305" s="137" t="s">
        <v>21</v>
      </c>
      <c r="AW305" s="137" t="s">
        <v>113</v>
      </c>
      <c r="AX305" s="137" t="s">
        <v>82</v>
      </c>
      <c r="AY305" s="137" t="s">
        <v>151</v>
      </c>
    </row>
    <row r="306" spans="2:51" s="6" customFormat="1" ht="15.75" customHeight="1">
      <c r="B306" s="129"/>
      <c r="E306" s="130"/>
      <c r="F306" s="210" t="s">
        <v>414</v>
      </c>
      <c r="G306" s="211"/>
      <c r="H306" s="211"/>
      <c r="I306" s="211"/>
      <c r="K306" s="131">
        <v>50.742</v>
      </c>
      <c r="N306" s="130"/>
      <c r="R306" s="132"/>
      <c r="T306" s="133"/>
      <c r="AA306" s="134"/>
      <c r="AT306" s="130" t="s">
        <v>158</v>
      </c>
      <c r="AU306" s="130" t="s">
        <v>103</v>
      </c>
      <c r="AV306" s="130" t="s">
        <v>103</v>
      </c>
      <c r="AW306" s="130" t="s">
        <v>113</v>
      </c>
      <c r="AX306" s="130" t="s">
        <v>82</v>
      </c>
      <c r="AY306" s="130" t="s">
        <v>151</v>
      </c>
    </row>
    <row r="307" spans="2:51" s="6" customFormat="1" ht="15.75" customHeight="1">
      <c r="B307" s="136"/>
      <c r="E307" s="137"/>
      <c r="F307" s="208" t="s">
        <v>415</v>
      </c>
      <c r="G307" s="209"/>
      <c r="H307" s="209"/>
      <c r="I307" s="209"/>
      <c r="K307" s="137"/>
      <c r="N307" s="137"/>
      <c r="R307" s="138"/>
      <c r="T307" s="139"/>
      <c r="AA307" s="140"/>
      <c r="AT307" s="137" t="s">
        <v>158</v>
      </c>
      <c r="AU307" s="137" t="s">
        <v>103</v>
      </c>
      <c r="AV307" s="137" t="s">
        <v>21</v>
      </c>
      <c r="AW307" s="137" t="s">
        <v>113</v>
      </c>
      <c r="AX307" s="137" t="s">
        <v>82</v>
      </c>
      <c r="AY307" s="137" t="s">
        <v>151</v>
      </c>
    </row>
    <row r="308" spans="2:51" s="6" customFormat="1" ht="15.75" customHeight="1">
      <c r="B308" s="129"/>
      <c r="E308" s="130"/>
      <c r="F308" s="210" t="s">
        <v>416</v>
      </c>
      <c r="G308" s="211"/>
      <c r="H308" s="211"/>
      <c r="I308" s="211"/>
      <c r="K308" s="131">
        <v>2.113</v>
      </c>
      <c r="N308" s="130"/>
      <c r="R308" s="132"/>
      <c r="T308" s="133"/>
      <c r="AA308" s="134"/>
      <c r="AT308" s="130" t="s">
        <v>158</v>
      </c>
      <c r="AU308" s="130" t="s">
        <v>103</v>
      </c>
      <c r="AV308" s="130" t="s">
        <v>103</v>
      </c>
      <c r="AW308" s="130" t="s">
        <v>113</v>
      </c>
      <c r="AX308" s="130" t="s">
        <v>82</v>
      </c>
      <c r="AY308" s="130" t="s">
        <v>151</v>
      </c>
    </row>
    <row r="309" spans="2:64" s="6" customFormat="1" ht="27" customHeight="1">
      <c r="B309" s="22"/>
      <c r="C309" s="122" t="s">
        <v>417</v>
      </c>
      <c r="D309" s="122" t="s">
        <v>152</v>
      </c>
      <c r="E309" s="123" t="s">
        <v>418</v>
      </c>
      <c r="F309" s="212" t="s">
        <v>419</v>
      </c>
      <c r="G309" s="213"/>
      <c r="H309" s="213"/>
      <c r="I309" s="213"/>
      <c r="J309" s="124" t="s">
        <v>196</v>
      </c>
      <c r="K309" s="125">
        <v>207.736</v>
      </c>
      <c r="L309" s="214">
        <v>0</v>
      </c>
      <c r="M309" s="213"/>
      <c r="N309" s="215">
        <f>ROUND($L$309*$K$309,2)</f>
        <v>0</v>
      </c>
      <c r="O309" s="213"/>
      <c r="P309" s="213"/>
      <c r="Q309" s="213"/>
      <c r="R309" s="23"/>
      <c r="T309" s="126"/>
      <c r="U309" s="29" t="s">
        <v>47</v>
      </c>
      <c r="V309" s="127">
        <v>0.002</v>
      </c>
      <c r="W309" s="127">
        <f>$V$309*$K$309</f>
        <v>0.415472</v>
      </c>
      <c r="X309" s="127">
        <v>0</v>
      </c>
      <c r="Y309" s="127">
        <f>$X$309*$K$309</f>
        <v>0</v>
      </c>
      <c r="Z309" s="127">
        <v>0</v>
      </c>
      <c r="AA309" s="128">
        <f>$Z$309*$K$309</f>
        <v>0</v>
      </c>
      <c r="AR309" s="6" t="s">
        <v>156</v>
      </c>
      <c r="AT309" s="6" t="s">
        <v>152</v>
      </c>
      <c r="AU309" s="6" t="s">
        <v>103</v>
      </c>
      <c r="AY309" s="6" t="s">
        <v>151</v>
      </c>
      <c r="BE309" s="82">
        <f>IF($U$309="základní",$N$309,0)</f>
        <v>0</v>
      </c>
      <c r="BF309" s="82">
        <f>IF($U$309="snížená",$N$309,0)</f>
        <v>0</v>
      </c>
      <c r="BG309" s="82">
        <f>IF($U$309="zákl. přenesená",$N$309,0)</f>
        <v>0</v>
      </c>
      <c r="BH309" s="82">
        <f>IF($U$309="sníž. přenesená",$N$309,0)</f>
        <v>0</v>
      </c>
      <c r="BI309" s="82">
        <f>IF($U$309="nulová",$N$309,0)</f>
        <v>0</v>
      </c>
      <c r="BJ309" s="6" t="s">
        <v>21</v>
      </c>
      <c r="BK309" s="82">
        <f>ROUND($L$309*$K$309,2)</f>
        <v>0</v>
      </c>
      <c r="BL309" s="6" t="s">
        <v>156</v>
      </c>
    </row>
    <row r="310" spans="2:51" s="6" customFormat="1" ht="15.75" customHeight="1">
      <c r="B310" s="136"/>
      <c r="E310" s="137"/>
      <c r="F310" s="208" t="s">
        <v>411</v>
      </c>
      <c r="G310" s="209"/>
      <c r="H310" s="209"/>
      <c r="I310" s="209"/>
      <c r="K310" s="137"/>
      <c r="N310" s="137"/>
      <c r="R310" s="138"/>
      <c r="T310" s="139"/>
      <c r="AA310" s="140"/>
      <c r="AT310" s="137" t="s">
        <v>158</v>
      </c>
      <c r="AU310" s="137" t="s">
        <v>103</v>
      </c>
      <c r="AV310" s="137" t="s">
        <v>21</v>
      </c>
      <c r="AW310" s="137" t="s">
        <v>113</v>
      </c>
      <c r="AX310" s="137" t="s">
        <v>82</v>
      </c>
      <c r="AY310" s="137" t="s">
        <v>151</v>
      </c>
    </row>
    <row r="311" spans="2:51" s="6" customFormat="1" ht="15.75" customHeight="1">
      <c r="B311" s="129"/>
      <c r="E311" s="130"/>
      <c r="F311" s="210" t="s">
        <v>420</v>
      </c>
      <c r="G311" s="211"/>
      <c r="H311" s="211"/>
      <c r="I311" s="211"/>
      <c r="K311" s="131">
        <v>128.453</v>
      </c>
      <c r="N311" s="130"/>
      <c r="R311" s="132"/>
      <c r="T311" s="133"/>
      <c r="AA311" s="134"/>
      <c r="AT311" s="130" t="s">
        <v>158</v>
      </c>
      <c r="AU311" s="130" t="s">
        <v>103</v>
      </c>
      <c r="AV311" s="130" t="s">
        <v>103</v>
      </c>
      <c r="AW311" s="130" t="s">
        <v>113</v>
      </c>
      <c r="AX311" s="130" t="s">
        <v>82</v>
      </c>
      <c r="AY311" s="130" t="s">
        <v>151</v>
      </c>
    </row>
    <row r="312" spans="2:51" s="6" customFormat="1" ht="15.75" customHeight="1">
      <c r="B312" s="136"/>
      <c r="E312" s="137"/>
      <c r="F312" s="208" t="s">
        <v>413</v>
      </c>
      <c r="G312" s="209"/>
      <c r="H312" s="209"/>
      <c r="I312" s="209"/>
      <c r="K312" s="137"/>
      <c r="N312" s="137"/>
      <c r="R312" s="138"/>
      <c r="T312" s="139"/>
      <c r="AA312" s="140"/>
      <c r="AT312" s="137" t="s">
        <v>158</v>
      </c>
      <c r="AU312" s="137" t="s">
        <v>103</v>
      </c>
      <c r="AV312" s="137" t="s">
        <v>21</v>
      </c>
      <c r="AW312" s="137" t="s">
        <v>113</v>
      </c>
      <c r="AX312" s="137" t="s">
        <v>82</v>
      </c>
      <c r="AY312" s="137" t="s">
        <v>151</v>
      </c>
    </row>
    <row r="313" spans="2:51" s="6" customFormat="1" ht="15.75" customHeight="1">
      <c r="B313" s="129"/>
      <c r="E313" s="130"/>
      <c r="F313" s="210" t="s">
        <v>421</v>
      </c>
      <c r="G313" s="211"/>
      <c r="H313" s="211"/>
      <c r="I313" s="211"/>
      <c r="K313" s="131">
        <v>76.113</v>
      </c>
      <c r="N313" s="130"/>
      <c r="R313" s="132"/>
      <c r="T313" s="133"/>
      <c r="AA313" s="134"/>
      <c r="AT313" s="130" t="s">
        <v>158</v>
      </c>
      <c r="AU313" s="130" t="s">
        <v>103</v>
      </c>
      <c r="AV313" s="130" t="s">
        <v>103</v>
      </c>
      <c r="AW313" s="130" t="s">
        <v>113</v>
      </c>
      <c r="AX313" s="130" t="s">
        <v>82</v>
      </c>
      <c r="AY313" s="130" t="s">
        <v>151</v>
      </c>
    </row>
    <row r="314" spans="2:51" s="6" customFormat="1" ht="15.75" customHeight="1">
      <c r="B314" s="136"/>
      <c r="E314" s="137"/>
      <c r="F314" s="208" t="s">
        <v>415</v>
      </c>
      <c r="G314" s="209"/>
      <c r="H314" s="209"/>
      <c r="I314" s="209"/>
      <c r="K314" s="137"/>
      <c r="N314" s="137"/>
      <c r="R314" s="138"/>
      <c r="T314" s="139"/>
      <c r="AA314" s="140"/>
      <c r="AT314" s="137" t="s">
        <v>158</v>
      </c>
      <c r="AU314" s="137" t="s">
        <v>103</v>
      </c>
      <c r="AV314" s="137" t="s">
        <v>21</v>
      </c>
      <c r="AW314" s="137" t="s">
        <v>113</v>
      </c>
      <c r="AX314" s="137" t="s">
        <v>82</v>
      </c>
      <c r="AY314" s="137" t="s">
        <v>151</v>
      </c>
    </row>
    <row r="315" spans="2:51" s="6" customFormat="1" ht="15.75" customHeight="1">
      <c r="B315" s="129"/>
      <c r="E315" s="130"/>
      <c r="F315" s="210" t="s">
        <v>422</v>
      </c>
      <c r="G315" s="211"/>
      <c r="H315" s="211"/>
      <c r="I315" s="211"/>
      <c r="K315" s="131">
        <v>3.17</v>
      </c>
      <c r="N315" s="130"/>
      <c r="R315" s="132"/>
      <c r="T315" s="133"/>
      <c r="AA315" s="134"/>
      <c r="AT315" s="130" t="s">
        <v>158</v>
      </c>
      <c r="AU315" s="130" t="s">
        <v>103</v>
      </c>
      <c r="AV315" s="130" t="s">
        <v>103</v>
      </c>
      <c r="AW315" s="130" t="s">
        <v>113</v>
      </c>
      <c r="AX315" s="130" t="s">
        <v>82</v>
      </c>
      <c r="AY315" s="130" t="s">
        <v>151</v>
      </c>
    </row>
    <row r="316" spans="2:64" s="6" customFormat="1" ht="27" customHeight="1">
      <c r="B316" s="22"/>
      <c r="C316" s="122" t="s">
        <v>423</v>
      </c>
      <c r="D316" s="122" t="s">
        <v>152</v>
      </c>
      <c r="E316" s="123" t="s">
        <v>424</v>
      </c>
      <c r="F316" s="212" t="s">
        <v>425</v>
      </c>
      <c r="G316" s="213"/>
      <c r="H316" s="213"/>
      <c r="I316" s="213"/>
      <c r="J316" s="124" t="s">
        <v>196</v>
      </c>
      <c r="K316" s="125">
        <v>273.708</v>
      </c>
      <c r="L316" s="214">
        <v>0</v>
      </c>
      <c r="M316" s="213"/>
      <c r="N316" s="215">
        <f>ROUND($L$316*$K$316,2)</f>
        <v>0</v>
      </c>
      <c r="O316" s="213"/>
      <c r="P316" s="213"/>
      <c r="Q316" s="213"/>
      <c r="R316" s="23"/>
      <c r="T316" s="126"/>
      <c r="U316" s="29" t="s">
        <v>47</v>
      </c>
      <c r="V316" s="127">
        <v>0.032</v>
      </c>
      <c r="W316" s="127">
        <f>$V$316*$K$316</f>
        <v>8.758656</v>
      </c>
      <c r="X316" s="127">
        <v>0</v>
      </c>
      <c r="Y316" s="127">
        <f>$X$316*$K$316</f>
        <v>0</v>
      </c>
      <c r="Z316" s="127">
        <v>0</v>
      </c>
      <c r="AA316" s="128">
        <f>$Z$316*$K$316</f>
        <v>0</v>
      </c>
      <c r="AR316" s="6" t="s">
        <v>156</v>
      </c>
      <c r="AT316" s="6" t="s">
        <v>152</v>
      </c>
      <c r="AU316" s="6" t="s">
        <v>103</v>
      </c>
      <c r="AY316" s="6" t="s">
        <v>151</v>
      </c>
      <c r="BE316" s="82">
        <f>IF($U$316="základní",$N$316,0)</f>
        <v>0</v>
      </c>
      <c r="BF316" s="82">
        <f>IF($U$316="snížená",$N$316,0)</f>
        <v>0</v>
      </c>
      <c r="BG316" s="82">
        <f>IF($U$316="zákl. přenesená",$N$316,0)</f>
        <v>0</v>
      </c>
      <c r="BH316" s="82">
        <f>IF($U$316="sníž. přenesená",$N$316,0)</f>
        <v>0</v>
      </c>
      <c r="BI316" s="82">
        <f>IF($U$316="nulová",$N$316,0)</f>
        <v>0</v>
      </c>
      <c r="BJ316" s="6" t="s">
        <v>21</v>
      </c>
      <c r="BK316" s="82">
        <f>ROUND($L$316*$K$316,2)</f>
        <v>0</v>
      </c>
      <c r="BL316" s="6" t="s">
        <v>156</v>
      </c>
    </row>
    <row r="317" spans="2:51" s="6" customFormat="1" ht="15.75" customHeight="1">
      <c r="B317" s="136"/>
      <c r="E317" s="137"/>
      <c r="F317" s="208" t="s">
        <v>426</v>
      </c>
      <c r="G317" s="209"/>
      <c r="H317" s="209"/>
      <c r="I317" s="209"/>
      <c r="K317" s="137"/>
      <c r="N317" s="137"/>
      <c r="R317" s="138"/>
      <c r="T317" s="139"/>
      <c r="AA317" s="140"/>
      <c r="AT317" s="137" t="s">
        <v>158</v>
      </c>
      <c r="AU317" s="137" t="s">
        <v>103</v>
      </c>
      <c r="AV317" s="137" t="s">
        <v>21</v>
      </c>
      <c r="AW317" s="137" t="s">
        <v>113</v>
      </c>
      <c r="AX317" s="137" t="s">
        <v>82</v>
      </c>
      <c r="AY317" s="137" t="s">
        <v>151</v>
      </c>
    </row>
    <row r="318" spans="2:51" s="6" customFormat="1" ht="15.75" customHeight="1">
      <c r="B318" s="129"/>
      <c r="E318" s="130"/>
      <c r="F318" s="210" t="s">
        <v>427</v>
      </c>
      <c r="G318" s="211"/>
      <c r="H318" s="211"/>
      <c r="I318" s="211"/>
      <c r="K318" s="131">
        <v>101.371</v>
      </c>
      <c r="N318" s="130"/>
      <c r="R318" s="132"/>
      <c r="T318" s="133"/>
      <c r="AA318" s="134"/>
      <c r="AT318" s="130" t="s">
        <v>158</v>
      </c>
      <c r="AU318" s="130" t="s">
        <v>103</v>
      </c>
      <c r="AV318" s="130" t="s">
        <v>103</v>
      </c>
      <c r="AW318" s="130" t="s">
        <v>113</v>
      </c>
      <c r="AX318" s="130" t="s">
        <v>82</v>
      </c>
      <c r="AY318" s="130" t="s">
        <v>151</v>
      </c>
    </row>
    <row r="319" spans="2:51" s="6" customFormat="1" ht="15.75" customHeight="1">
      <c r="B319" s="136"/>
      <c r="E319" s="137"/>
      <c r="F319" s="208" t="s">
        <v>428</v>
      </c>
      <c r="G319" s="209"/>
      <c r="H319" s="209"/>
      <c r="I319" s="209"/>
      <c r="K319" s="137"/>
      <c r="N319" s="137"/>
      <c r="R319" s="138"/>
      <c r="T319" s="139"/>
      <c r="AA319" s="140"/>
      <c r="AT319" s="137" t="s">
        <v>158</v>
      </c>
      <c r="AU319" s="137" t="s">
        <v>103</v>
      </c>
      <c r="AV319" s="137" t="s">
        <v>21</v>
      </c>
      <c r="AW319" s="137" t="s">
        <v>113</v>
      </c>
      <c r="AX319" s="137" t="s">
        <v>82</v>
      </c>
      <c r="AY319" s="137" t="s">
        <v>151</v>
      </c>
    </row>
    <row r="320" spans="2:51" s="6" customFormat="1" ht="15.75" customHeight="1">
      <c r="B320" s="129"/>
      <c r="E320" s="130"/>
      <c r="F320" s="210" t="s">
        <v>429</v>
      </c>
      <c r="G320" s="211"/>
      <c r="H320" s="211"/>
      <c r="I320" s="211"/>
      <c r="K320" s="131">
        <v>172.25</v>
      </c>
      <c r="N320" s="130"/>
      <c r="R320" s="132"/>
      <c r="T320" s="133"/>
      <c r="AA320" s="134"/>
      <c r="AT320" s="130" t="s">
        <v>158</v>
      </c>
      <c r="AU320" s="130" t="s">
        <v>103</v>
      </c>
      <c r="AV320" s="130" t="s">
        <v>103</v>
      </c>
      <c r="AW320" s="130" t="s">
        <v>113</v>
      </c>
      <c r="AX320" s="130" t="s">
        <v>82</v>
      </c>
      <c r="AY320" s="130" t="s">
        <v>151</v>
      </c>
    </row>
    <row r="321" spans="2:51" s="6" customFormat="1" ht="15.75" customHeight="1">
      <c r="B321" s="136"/>
      <c r="E321" s="137"/>
      <c r="F321" s="208" t="s">
        <v>430</v>
      </c>
      <c r="G321" s="209"/>
      <c r="H321" s="209"/>
      <c r="I321" s="209"/>
      <c r="K321" s="137"/>
      <c r="N321" s="137"/>
      <c r="R321" s="138"/>
      <c r="T321" s="139"/>
      <c r="AA321" s="140"/>
      <c r="AT321" s="137" t="s">
        <v>158</v>
      </c>
      <c r="AU321" s="137" t="s">
        <v>103</v>
      </c>
      <c r="AV321" s="137" t="s">
        <v>21</v>
      </c>
      <c r="AW321" s="137" t="s">
        <v>113</v>
      </c>
      <c r="AX321" s="137" t="s">
        <v>82</v>
      </c>
      <c r="AY321" s="137" t="s">
        <v>151</v>
      </c>
    </row>
    <row r="322" spans="2:51" s="6" customFormat="1" ht="15.75" customHeight="1">
      <c r="B322" s="129"/>
      <c r="E322" s="130"/>
      <c r="F322" s="210" t="s">
        <v>431</v>
      </c>
      <c r="G322" s="211"/>
      <c r="H322" s="211"/>
      <c r="I322" s="211"/>
      <c r="K322" s="131">
        <v>0.087</v>
      </c>
      <c r="N322" s="130"/>
      <c r="R322" s="132"/>
      <c r="T322" s="133"/>
      <c r="AA322" s="134"/>
      <c r="AT322" s="130" t="s">
        <v>158</v>
      </c>
      <c r="AU322" s="130" t="s">
        <v>103</v>
      </c>
      <c r="AV322" s="130" t="s">
        <v>103</v>
      </c>
      <c r="AW322" s="130" t="s">
        <v>113</v>
      </c>
      <c r="AX322" s="130" t="s">
        <v>82</v>
      </c>
      <c r="AY322" s="130" t="s">
        <v>151</v>
      </c>
    </row>
    <row r="323" spans="2:64" s="6" customFormat="1" ht="27" customHeight="1">
      <c r="B323" s="22"/>
      <c r="C323" s="122" t="s">
        <v>432</v>
      </c>
      <c r="D323" s="122" t="s">
        <v>152</v>
      </c>
      <c r="E323" s="123" t="s">
        <v>433</v>
      </c>
      <c r="F323" s="212" t="s">
        <v>434</v>
      </c>
      <c r="G323" s="213"/>
      <c r="H323" s="213"/>
      <c r="I323" s="213"/>
      <c r="J323" s="124" t="s">
        <v>196</v>
      </c>
      <c r="K323" s="125">
        <v>410.563</v>
      </c>
      <c r="L323" s="214">
        <v>0</v>
      </c>
      <c r="M323" s="213"/>
      <c r="N323" s="215">
        <f>ROUND($L$323*$K$323,2)</f>
        <v>0</v>
      </c>
      <c r="O323" s="213"/>
      <c r="P323" s="213"/>
      <c r="Q323" s="213"/>
      <c r="R323" s="23"/>
      <c r="T323" s="126"/>
      <c r="U323" s="29" t="s">
        <v>47</v>
      </c>
      <c r="V323" s="127">
        <v>0.003</v>
      </c>
      <c r="W323" s="127">
        <f>$V$323*$K$323</f>
        <v>1.231689</v>
      </c>
      <c r="X323" s="127">
        <v>0</v>
      </c>
      <c r="Y323" s="127">
        <f>$X$323*$K$323</f>
        <v>0</v>
      </c>
      <c r="Z323" s="127">
        <v>0</v>
      </c>
      <c r="AA323" s="128">
        <f>$Z$323*$K$323</f>
        <v>0</v>
      </c>
      <c r="AR323" s="6" t="s">
        <v>156</v>
      </c>
      <c r="AT323" s="6" t="s">
        <v>152</v>
      </c>
      <c r="AU323" s="6" t="s">
        <v>103</v>
      </c>
      <c r="AY323" s="6" t="s">
        <v>151</v>
      </c>
      <c r="BE323" s="82">
        <f>IF($U$323="základní",$N$323,0)</f>
        <v>0</v>
      </c>
      <c r="BF323" s="82">
        <f>IF($U$323="snížená",$N$323,0)</f>
        <v>0</v>
      </c>
      <c r="BG323" s="82">
        <f>IF($U$323="zákl. přenesená",$N$323,0)</f>
        <v>0</v>
      </c>
      <c r="BH323" s="82">
        <f>IF($U$323="sníž. přenesená",$N$323,0)</f>
        <v>0</v>
      </c>
      <c r="BI323" s="82">
        <f>IF($U$323="nulová",$N$323,0)</f>
        <v>0</v>
      </c>
      <c r="BJ323" s="6" t="s">
        <v>21</v>
      </c>
      <c r="BK323" s="82">
        <f>ROUND($L$323*$K$323,2)</f>
        <v>0</v>
      </c>
      <c r="BL323" s="6" t="s">
        <v>156</v>
      </c>
    </row>
    <row r="324" spans="2:51" s="6" customFormat="1" ht="15.75" customHeight="1">
      <c r="B324" s="136"/>
      <c r="E324" s="137"/>
      <c r="F324" s="208" t="s">
        <v>426</v>
      </c>
      <c r="G324" s="209"/>
      <c r="H324" s="209"/>
      <c r="I324" s="209"/>
      <c r="K324" s="137"/>
      <c r="N324" s="137"/>
      <c r="R324" s="138"/>
      <c r="T324" s="139"/>
      <c r="AA324" s="140"/>
      <c r="AT324" s="137" t="s">
        <v>158</v>
      </c>
      <c r="AU324" s="137" t="s">
        <v>103</v>
      </c>
      <c r="AV324" s="137" t="s">
        <v>21</v>
      </c>
      <c r="AW324" s="137" t="s">
        <v>113</v>
      </c>
      <c r="AX324" s="137" t="s">
        <v>82</v>
      </c>
      <c r="AY324" s="137" t="s">
        <v>151</v>
      </c>
    </row>
    <row r="325" spans="2:51" s="6" customFormat="1" ht="15.75" customHeight="1">
      <c r="B325" s="129"/>
      <c r="E325" s="130"/>
      <c r="F325" s="210" t="s">
        <v>435</v>
      </c>
      <c r="G325" s="211"/>
      <c r="H325" s="211"/>
      <c r="I325" s="211"/>
      <c r="K325" s="131">
        <v>152.057</v>
      </c>
      <c r="N325" s="130"/>
      <c r="R325" s="132"/>
      <c r="T325" s="133"/>
      <c r="AA325" s="134"/>
      <c r="AT325" s="130" t="s">
        <v>158</v>
      </c>
      <c r="AU325" s="130" t="s">
        <v>103</v>
      </c>
      <c r="AV325" s="130" t="s">
        <v>103</v>
      </c>
      <c r="AW325" s="130" t="s">
        <v>113</v>
      </c>
      <c r="AX325" s="130" t="s">
        <v>82</v>
      </c>
      <c r="AY325" s="130" t="s">
        <v>151</v>
      </c>
    </row>
    <row r="326" spans="2:51" s="6" customFormat="1" ht="15.75" customHeight="1">
      <c r="B326" s="136"/>
      <c r="E326" s="137"/>
      <c r="F326" s="208" t="s">
        <v>428</v>
      </c>
      <c r="G326" s="209"/>
      <c r="H326" s="209"/>
      <c r="I326" s="209"/>
      <c r="K326" s="137"/>
      <c r="N326" s="137"/>
      <c r="R326" s="138"/>
      <c r="T326" s="139"/>
      <c r="AA326" s="140"/>
      <c r="AT326" s="137" t="s">
        <v>158</v>
      </c>
      <c r="AU326" s="137" t="s">
        <v>103</v>
      </c>
      <c r="AV326" s="137" t="s">
        <v>21</v>
      </c>
      <c r="AW326" s="137" t="s">
        <v>113</v>
      </c>
      <c r="AX326" s="137" t="s">
        <v>82</v>
      </c>
      <c r="AY326" s="137" t="s">
        <v>151</v>
      </c>
    </row>
    <row r="327" spans="2:51" s="6" customFormat="1" ht="15.75" customHeight="1">
      <c r="B327" s="129"/>
      <c r="E327" s="130"/>
      <c r="F327" s="210" t="s">
        <v>436</v>
      </c>
      <c r="G327" s="211"/>
      <c r="H327" s="211"/>
      <c r="I327" s="211"/>
      <c r="K327" s="131">
        <v>258.375</v>
      </c>
      <c r="N327" s="130"/>
      <c r="R327" s="132"/>
      <c r="T327" s="133"/>
      <c r="AA327" s="134"/>
      <c r="AT327" s="130" t="s">
        <v>158</v>
      </c>
      <c r="AU327" s="130" t="s">
        <v>103</v>
      </c>
      <c r="AV327" s="130" t="s">
        <v>103</v>
      </c>
      <c r="AW327" s="130" t="s">
        <v>113</v>
      </c>
      <c r="AX327" s="130" t="s">
        <v>82</v>
      </c>
      <c r="AY327" s="130" t="s">
        <v>151</v>
      </c>
    </row>
    <row r="328" spans="2:51" s="6" customFormat="1" ht="15.75" customHeight="1">
      <c r="B328" s="136"/>
      <c r="E328" s="137"/>
      <c r="F328" s="208" t="s">
        <v>430</v>
      </c>
      <c r="G328" s="209"/>
      <c r="H328" s="209"/>
      <c r="I328" s="209"/>
      <c r="K328" s="137"/>
      <c r="N328" s="137"/>
      <c r="R328" s="138"/>
      <c r="T328" s="139"/>
      <c r="AA328" s="140"/>
      <c r="AT328" s="137" t="s">
        <v>158</v>
      </c>
      <c r="AU328" s="137" t="s">
        <v>103</v>
      </c>
      <c r="AV328" s="137" t="s">
        <v>21</v>
      </c>
      <c r="AW328" s="137" t="s">
        <v>113</v>
      </c>
      <c r="AX328" s="137" t="s">
        <v>82</v>
      </c>
      <c r="AY328" s="137" t="s">
        <v>151</v>
      </c>
    </row>
    <row r="329" spans="2:51" s="6" customFormat="1" ht="15.75" customHeight="1">
      <c r="B329" s="129"/>
      <c r="E329" s="130"/>
      <c r="F329" s="210" t="s">
        <v>437</v>
      </c>
      <c r="G329" s="211"/>
      <c r="H329" s="211"/>
      <c r="I329" s="211"/>
      <c r="K329" s="131">
        <v>0.131</v>
      </c>
      <c r="N329" s="130"/>
      <c r="R329" s="132"/>
      <c r="T329" s="133"/>
      <c r="AA329" s="134"/>
      <c r="AT329" s="130" t="s">
        <v>158</v>
      </c>
      <c r="AU329" s="130" t="s">
        <v>103</v>
      </c>
      <c r="AV329" s="130" t="s">
        <v>103</v>
      </c>
      <c r="AW329" s="130" t="s">
        <v>113</v>
      </c>
      <c r="AX329" s="130" t="s">
        <v>82</v>
      </c>
      <c r="AY329" s="130" t="s">
        <v>151</v>
      </c>
    </row>
    <row r="330" spans="2:64" s="6" customFormat="1" ht="27" customHeight="1">
      <c r="B330" s="22"/>
      <c r="C330" s="122" t="s">
        <v>438</v>
      </c>
      <c r="D330" s="122" t="s">
        <v>152</v>
      </c>
      <c r="E330" s="123" t="s">
        <v>439</v>
      </c>
      <c r="F330" s="212" t="s">
        <v>440</v>
      </c>
      <c r="G330" s="213"/>
      <c r="H330" s="213"/>
      <c r="I330" s="213"/>
      <c r="J330" s="124" t="s">
        <v>196</v>
      </c>
      <c r="K330" s="125">
        <v>92.318</v>
      </c>
      <c r="L330" s="214">
        <v>0</v>
      </c>
      <c r="M330" s="213"/>
      <c r="N330" s="215">
        <f>ROUND($L$330*$K$330,2)</f>
        <v>0</v>
      </c>
      <c r="O330" s="213"/>
      <c r="P330" s="213"/>
      <c r="Q330" s="213"/>
      <c r="R330" s="23"/>
      <c r="T330" s="126"/>
      <c r="U330" s="29" t="s">
        <v>47</v>
      </c>
      <c r="V330" s="127">
        <v>0</v>
      </c>
      <c r="W330" s="127">
        <f>$V$330*$K$330</f>
        <v>0</v>
      </c>
      <c r="X330" s="127">
        <v>0</v>
      </c>
      <c r="Y330" s="127">
        <f>$X$330*$K$330</f>
        <v>0</v>
      </c>
      <c r="Z330" s="127">
        <v>0</v>
      </c>
      <c r="AA330" s="128">
        <f>$Z$330*$K$330</f>
        <v>0</v>
      </c>
      <c r="AR330" s="6" t="s">
        <v>156</v>
      </c>
      <c r="AT330" s="6" t="s">
        <v>152</v>
      </c>
      <c r="AU330" s="6" t="s">
        <v>103</v>
      </c>
      <c r="AY330" s="6" t="s">
        <v>151</v>
      </c>
      <c r="BE330" s="82">
        <f>IF($U$330="základní",$N$330,0)</f>
        <v>0</v>
      </c>
      <c r="BF330" s="82">
        <f>IF($U$330="snížená",$N$330,0)</f>
        <v>0</v>
      </c>
      <c r="BG330" s="82">
        <f>IF($U$330="zákl. přenesená",$N$330,0)</f>
        <v>0</v>
      </c>
      <c r="BH330" s="82">
        <f>IF($U$330="sníž. přenesená",$N$330,0)</f>
        <v>0</v>
      </c>
      <c r="BI330" s="82">
        <f>IF($U$330="nulová",$N$330,0)</f>
        <v>0</v>
      </c>
      <c r="BJ330" s="6" t="s">
        <v>21</v>
      </c>
      <c r="BK330" s="82">
        <f>ROUND($L$330*$K$330,2)</f>
        <v>0</v>
      </c>
      <c r="BL330" s="6" t="s">
        <v>156</v>
      </c>
    </row>
    <row r="331" spans="2:51" s="6" customFormat="1" ht="15.75" customHeight="1">
      <c r="B331" s="136"/>
      <c r="E331" s="137"/>
      <c r="F331" s="208" t="s">
        <v>441</v>
      </c>
      <c r="G331" s="209"/>
      <c r="H331" s="209"/>
      <c r="I331" s="209"/>
      <c r="K331" s="137"/>
      <c r="N331" s="137"/>
      <c r="R331" s="138"/>
      <c r="T331" s="139"/>
      <c r="AA331" s="140"/>
      <c r="AT331" s="137" t="s">
        <v>158</v>
      </c>
      <c r="AU331" s="137" t="s">
        <v>103</v>
      </c>
      <c r="AV331" s="137" t="s">
        <v>21</v>
      </c>
      <c r="AW331" s="137" t="s">
        <v>113</v>
      </c>
      <c r="AX331" s="137" t="s">
        <v>82</v>
      </c>
      <c r="AY331" s="137" t="s">
        <v>151</v>
      </c>
    </row>
    <row r="332" spans="2:51" s="6" customFormat="1" ht="15.75" customHeight="1">
      <c r="B332" s="129"/>
      <c r="E332" s="130"/>
      <c r="F332" s="210" t="s">
        <v>442</v>
      </c>
      <c r="G332" s="211"/>
      <c r="H332" s="211"/>
      <c r="I332" s="211"/>
      <c r="K332" s="131">
        <v>92.318</v>
      </c>
      <c r="N332" s="130"/>
      <c r="R332" s="132"/>
      <c r="T332" s="133"/>
      <c r="AA332" s="134"/>
      <c r="AT332" s="130" t="s">
        <v>158</v>
      </c>
      <c r="AU332" s="130" t="s">
        <v>103</v>
      </c>
      <c r="AV332" s="130" t="s">
        <v>103</v>
      </c>
      <c r="AW332" s="130" t="s">
        <v>113</v>
      </c>
      <c r="AX332" s="130" t="s">
        <v>82</v>
      </c>
      <c r="AY332" s="130" t="s">
        <v>151</v>
      </c>
    </row>
    <row r="333" spans="2:64" s="6" customFormat="1" ht="27" customHeight="1">
      <c r="B333" s="22"/>
      <c r="C333" s="122" t="s">
        <v>443</v>
      </c>
      <c r="D333" s="122" t="s">
        <v>152</v>
      </c>
      <c r="E333" s="123" t="s">
        <v>444</v>
      </c>
      <c r="F333" s="212" t="s">
        <v>445</v>
      </c>
      <c r="G333" s="213"/>
      <c r="H333" s="213"/>
      <c r="I333" s="213"/>
      <c r="J333" s="124" t="s">
        <v>196</v>
      </c>
      <c r="K333" s="125">
        <v>181.675</v>
      </c>
      <c r="L333" s="214">
        <v>0</v>
      </c>
      <c r="M333" s="213"/>
      <c r="N333" s="215">
        <f>ROUND($L$333*$K$333,2)</f>
        <v>0</v>
      </c>
      <c r="O333" s="213"/>
      <c r="P333" s="213"/>
      <c r="Q333" s="213"/>
      <c r="R333" s="23"/>
      <c r="T333" s="126"/>
      <c r="U333" s="29" t="s">
        <v>47</v>
      </c>
      <c r="V333" s="127">
        <v>0</v>
      </c>
      <c r="W333" s="127">
        <f>$V$333*$K$333</f>
        <v>0</v>
      </c>
      <c r="X333" s="127">
        <v>0</v>
      </c>
      <c r="Y333" s="127">
        <f>$X$333*$K$333</f>
        <v>0</v>
      </c>
      <c r="Z333" s="127">
        <v>0</v>
      </c>
      <c r="AA333" s="128">
        <f>$Z$333*$K$333</f>
        <v>0</v>
      </c>
      <c r="AR333" s="6" t="s">
        <v>156</v>
      </c>
      <c r="AT333" s="6" t="s">
        <v>152</v>
      </c>
      <c r="AU333" s="6" t="s">
        <v>103</v>
      </c>
      <c r="AY333" s="6" t="s">
        <v>151</v>
      </c>
      <c r="BE333" s="82">
        <f>IF($U$333="základní",$N$333,0)</f>
        <v>0</v>
      </c>
      <c r="BF333" s="82">
        <f>IF($U$333="snížená",$N$333,0)</f>
        <v>0</v>
      </c>
      <c r="BG333" s="82">
        <f>IF($U$333="zákl. přenesená",$N$333,0)</f>
        <v>0</v>
      </c>
      <c r="BH333" s="82">
        <f>IF($U$333="sníž. přenesená",$N$333,0)</f>
        <v>0</v>
      </c>
      <c r="BI333" s="82">
        <f>IF($U$333="nulová",$N$333,0)</f>
        <v>0</v>
      </c>
      <c r="BJ333" s="6" t="s">
        <v>21</v>
      </c>
      <c r="BK333" s="82">
        <f>ROUND($L$333*$K$333,2)</f>
        <v>0</v>
      </c>
      <c r="BL333" s="6" t="s">
        <v>156</v>
      </c>
    </row>
    <row r="334" spans="2:51" s="6" customFormat="1" ht="15.75" customHeight="1">
      <c r="B334" s="129"/>
      <c r="E334" s="130"/>
      <c r="F334" s="210" t="s">
        <v>446</v>
      </c>
      <c r="G334" s="211"/>
      <c r="H334" s="211"/>
      <c r="I334" s="211"/>
      <c r="K334" s="131">
        <v>181.675</v>
      </c>
      <c r="N334" s="130"/>
      <c r="R334" s="132"/>
      <c r="T334" s="133"/>
      <c r="AA334" s="134"/>
      <c r="AT334" s="130" t="s">
        <v>158</v>
      </c>
      <c r="AU334" s="130" t="s">
        <v>103</v>
      </c>
      <c r="AV334" s="130" t="s">
        <v>103</v>
      </c>
      <c r="AW334" s="130" t="s">
        <v>113</v>
      </c>
      <c r="AX334" s="130" t="s">
        <v>82</v>
      </c>
      <c r="AY334" s="130" t="s">
        <v>151</v>
      </c>
    </row>
    <row r="335" spans="2:64" s="6" customFormat="1" ht="27" customHeight="1">
      <c r="B335" s="22"/>
      <c r="C335" s="122" t="s">
        <v>447</v>
      </c>
      <c r="D335" s="122" t="s">
        <v>152</v>
      </c>
      <c r="E335" s="123" t="s">
        <v>448</v>
      </c>
      <c r="F335" s="212" t="s">
        <v>449</v>
      </c>
      <c r="G335" s="213"/>
      <c r="H335" s="213"/>
      <c r="I335" s="213"/>
      <c r="J335" s="124" t="s">
        <v>196</v>
      </c>
      <c r="K335" s="125">
        <v>85.635</v>
      </c>
      <c r="L335" s="214">
        <v>0</v>
      </c>
      <c r="M335" s="213"/>
      <c r="N335" s="215">
        <f>ROUND($L$335*$K$335,2)</f>
        <v>0</v>
      </c>
      <c r="O335" s="213"/>
      <c r="P335" s="213"/>
      <c r="Q335" s="213"/>
      <c r="R335" s="23"/>
      <c r="T335" s="126"/>
      <c r="U335" s="29" t="s">
        <v>47</v>
      </c>
      <c r="V335" s="127">
        <v>0</v>
      </c>
      <c r="W335" s="127">
        <f>$V$335*$K$335</f>
        <v>0</v>
      </c>
      <c r="X335" s="127">
        <v>0</v>
      </c>
      <c r="Y335" s="127">
        <f>$X$335*$K$335</f>
        <v>0</v>
      </c>
      <c r="Z335" s="127">
        <v>0</v>
      </c>
      <c r="AA335" s="128">
        <f>$Z$335*$K$335</f>
        <v>0</v>
      </c>
      <c r="AR335" s="6" t="s">
        <v>156</v>
      </c>
      <c r="AT335" s="6" t="s">
        <v>152</v>
      </c>
      <c r="AU335" s="6" t="s">
        <v>103</v>
      </c>
      <c r="AY335" s="6" t="s">
        <v>151</v>
      </c>
      <c r="BE335" s="82">
        <f>IF($U$335="základní",$N$335,0)</f>
        <v>0</v>
      </c>
      <c r="BF335" s="82">
        <f>IF($U$335="snížená",$N$335,0)</f>
        <v>0</v>
      </c>
      <c r="BG335" s="82">
        <f>IF($U$335="zákl. přenesená",$N$335,0)</f>
        <v>0</v>
      </c>
      <c r="BH335" s="82">
        <f>IF($U$335="sníž. přenesená",$N$335,0)</f>
        <v>0</v>
      </c>
      <c r="BI335" s="82">
        <f>IF($U$335="nulová",$N$335,0)</f>
        <v>0</v>
      </c>
      <c r="BJ335" s="6" t="s">
        <v>21</v>
      </c>
      <c r="BK335" s="82">
        <f>ROUND($L$335*$K$335,2)</f>
        <v>0</v>
      </c>
      <c r="BL335" s="6" t="s">
        <v>156</v>
      </c>
    </row>
    <row r="336" spans="2:51" s="6" customFormat="1" ht="15.75" customHeight="1">
      <c r="B336" s="136"/>
      <c r="E336" s="137"/>
      <c r="F336" s="208" t="s">
        <v>450</v>
      </c>
      <c r="G336" s="209"/>
      <c r="H336" s="209"/>
      <c r="I336" s="209"/>
      <c r="K336" s="137"/>
      <c r="N336" s="137"/>
      <c r="R336" s="138"/>
      <c r="T336" s="139"/>
      <c r="AA336" s="140"/>
      <c r="AT336" s="137" t="s">
        <v>158</v>
      </c>
      <c r="AU336" s="137" t="s">
        <v>103</v>
      </c>
      <c r="AV336" s="137" t="s">
        <v>21</v>
      </c>
      <c r="AW336" s="137" t="s">
        <v>113</v>
      </c>
      <c r="AX336" s="137" t="s">
        <v>82</v>
      </c>
      <c r="AY336" s="137" t="s">
        <v>151</v>
      </c>
    </row>
    <row r="337" spans="2:51" s="6" customFormat="1" ht="15.75" customHeight="1">
      <c r="B337" s="129"/>
      <c r="E337" s="130"/>
      <c r="F337" s="210" t="s">
        <v>412</v>
      </c>
      <c r="G337" s="211"/>
      <c r="H337" s="211"/>
      <c r="I337" s="211"/>
      <c r="K337" s="131">
        <v>85.635</v>
      </c>
      <c r="N337" s="130"/>
      <c r="R337" s="132"/>
      <c r="T337" s="133"/>
      <c r="AA337" s="134"/>
      <c r="AT337" s="130" t="s">
        <v>158</v>
      </c>
      <c r="AU337" s="130" t="s">
        <v>103</v>
      </c>
      <c r="AV337" s="130" t="s">
        <v>103</v>
      </c>
      <c r="AW337" s="130" t="s">
        <v>113</v>
      </c>
      <c r="AX337" s="130" t="s">
        <v>82</v>
      </c>
      <c r="AY337" s="130" t="s">
        <v>151</v>
      </c>
    </row>
    <row r="338" spans="2:64" s="6" customFormat="1" ht="27" customHeight="1">
      <c r="B338" s="22"/>
      <c r="C338" s="122" t="s">
        <v>451</v>
      </c>
      <c r="D338" s="122" t="s">
        <v>152</v>
      </c>
      <c r="E338" s="123" t="s">
        <v>452</v>
      </c>
      <c r="F338" s="212" t="s">
        <v>453</v>
      </c>
      <c r="G338" s="213"/>
      <c r="H338" s="213"/>
      <c r="I338" s="213"/>
      <c r="J338" s="124" t="s">
        <v>196</v>
      </c>
      <c r="K338" s="125">
        <v>50.742</v>
      </c>
      <c r="L338" s="214">
        <v>0</v>
      </c>
      <c r="M338" s="213"/>
      <c r="N338" s="215">
        <f>ROUND($L$338*$K$338,2)</f>
        <v>0</v>
      </c>
      <c r="O338" s="213"/>
      <c r="P338" s="213"/>
      <c r="Q338" s="213"/>
      <c r="R338" s="23"/>
      <c r="T338" s="126"/>
      <c r="U338" s="29" t="s">
        <v>47</v>
      </c>
      <c r="V338" s="127">
        <v>0</v>
      </c>
      <c r="W338" s="127">
        <f>$V$338*$K$338</f>
        <v>0</v>
      </c>
      <c r="X338" s="127">
        <v>0</v>
      </c>
      <c r="Y338" s="127">
        <f>$X$338*$K$338</f>
        <v>0</v>
      </c>
      <c r="Z338" s="127">
        <v>0</v>
      </c>
      <c r="AA338" s="128">
        <f>$Z$338*$K$338</f>
        <v>0</v>
      </c>
      <c r="AR338" s="6" t="s">
        <v>156</v>
      </c>
      <c r="AT338" s="6" t="s">
        <v>152</v>
      </c>
      <c r="AU338" s="6" t="s">
        <v>103</v>
      </c>
      <c r="AY338" s="6" t="s">
        <v>151</v>
      </c>
      <c r="BE338" s="82">
        <f>IF($U$338="základní",$N$338,0)</f>
        <v>0</v>
      </c>
      <c r="BF338" s="82">
        <f>IF($U$338="snížená",$N$338,0)</f>
        <v>0</v>
      </c>
      <c r="BG338" s="82">
        <f>IF($U$338="zákl. přenesená",$N$338,0)</f>
        <v>0</v>
      </c>
      <c r="BH338" s="82">
        <f>IF($U$338="sníž. přenesená",$N$338,0)</f>
        <v>0</v>
      </c>
      <c r="BI338" s="82">
        <f>IF($U$338="nulová",$N$338,0)</f>
        <v>0</v>
      </c>
      <c r="BJ338" s="6" t="s">
        <v>21</v>
      </c>
      <c r="BK338" s="82">
        <f>ROUND($L$338*$K$338,2)</f>
        <v>0</v>
      </c>
      <c r="BL338" s="6" t="s">
        <v>156</v>
      </c>
    </row>
    <row r="339" spans="2:51" s="6" customFormat="1" ht="15.75" customHeight="1">
      <c r="B339" s="136"/>
      <c r="E339" s="137"/>
      <c r="F339" s="208" t="s">
        <v>413</v>
      </c>
      <c r="G339" s="209"/>
      <c r="H339" s="209"/>
      <c r="I339" s="209"/>
      <c r="K339" s="137"/>
      <c r="N339" s="137"/>
      <c r="R339" s="138"/>
      <c r="T339" s="139"/>
      <c r="AA339" s="140"/>
      <c r="AT339" s="137" t="s">
        <v>158</v>
      </c>
      <c r="AU339" s="137" t="s">
        <v>103</v>
      </c>
      <c r="AV339" s="137" t="s">
        <v>21</v>
      </c>
      <c r="AW339" s="137" t="s">
        <v>113</v>
      </c>
      <c r="AX339" s="137" t="s">
        <v>82</v>
      </c>
      <c r="AY339" s="137" t="s">
        <v>151</v>
      </c>
    </row>
    <row r="340" spans="2:51" s="6" customFormat="1" ht="15.75" customHeight="1">
      <c r="B340" s="129"/>
      <c r="E340" s="130"/>
      <c r="F340" s="210" t="s">
        <v>414</v>
      </c>
      <c r="G340" s="211"/>
      <c r="H340" s="211"/>
      <c r="I340" s="211"/>
      <c r="K340" s="131">
        <v>50.742</v>
      </c>
      <c r="N340" s="130"/>
      <c r="R340" s="132"/>
      <c r="T340" s="133"/>
      <c r="AA340" s="134"/>
      <c r="AT340" s="130" t="s">
        <v>158</v>
      </c>
      <c r="AU340" s="130" t="s">
        <v>103</v>
      </c>
      <c r="AV340" s="130" t="s">
        <v>103</v>
      </c>
      <c r="AW340" s="130" t="s">
        <v>113</v>
      </c>
      <c r="AX340" s="130" t="s">
        <v>82</v>
      </c>
      <c r="AY340" s="130" t="s">
        <v>151</v>
      </c>
    </row>
    <row r="341" spans="2:63" s="113" customFormat="1" ht="30.75" customHeight="1">
      <c r="B341" s="114"/>
      <c r="D341" s="135" t="s">
        <v>126</v>
      </c>
      <c r="N341" s="206">
        <f>$BK$341</f>
        <v>0</v>
      </c>
      <c r="O341" s="207"/>
      <c r="P341" s="207"/>
      <c r="Q341" s="207"/>
      <c r="R341" s="117"/>
      <c r="T341" s="118"/>
      <c r="W341" s="119">
        <f>SUM($W$342:$W$343)</f>
        <v>92.96033000000001</v>
      </c>
      <c r="Y341" s="119">
        <f>SUM($Y$342:$Y$343)</f>
        <v>0</v>
      </c>
      <c r="AA341" s="120">
        <f>SUM($AA$342:$AA$343)</f>
        <v>0</v>
      </c>
      <c r="AR341" s="116" t="s">
        <v>21</v>
      </c>
      <c r="AT341" s="116" t="s">
        <v>81</v>
      </c>
      <c r="AU341" s="116" t="s">
        <v>21</v>
      </c>
      <c r="AY341" s="116" t="s">
        <v>151</v>
      </c>
      <c r="BK341" s="121">
        <f>SUM($BK$342:$BK$343)</f>
        <v>0</v>
      </c>
    </row>
    <row r="342" spans="2:64" s="6" customFormat="1" ht="39" customHeight="1">
      <c r="B342" s="22"/>
      <c r="C342" s="122" t="s">
        <v>454</v>
      </c>
      <c r="D342" s="122" t="s">
        <v>152</v>
      </c>
      <c r="E342" s="123" t="s">
        <v>455</v>
      </c>
      <c r="F342" s="212" t="s">
        <v>456</v>
      </c>
      <c r="G342" s="213"/>
      <c r="H342" s="213"/>
      <c r="I342" s="213"/>
      <c r="J342" s="124" t="s">
        <v>196</v>
      </c>
      <c r="K342" s="125">
        <v>1396.605</v>
      </c>
      <c r="L342" s="214">
        <v>0</v>
      </c>
      <c r="M342" s="213"/>
      <c r="N342" s="215">
        <f>ROUND($L$342*$K$342,2)</f>
        <v>0</v>
      </c>
      <c r="O342" s="213"/>
      <c r="P342" s="213"/>
      <c r="Q342" s="213"/>
      <c r="R342" s="23"/>
      <c r="T342" s="126"/>
      <c r="U342" s="29" t="s">
        <v>47</v>
      </c>
      <c r="V342" s="127">
        <v>0.066</v>
      </c>
      <c r="W342" s="127">
        <f>$V$342*$K$342</f>
        <v>92.17593000000001</v>
      </c>
      <c r="X342" s="127">
        <v>0</v>
      </c>
      <c r="Y342" s="127">
        <f>$X$342*$K$342</f>
        <v>0</v>
      </c>
      <c r="Z342" s="127">
        <v>0</v>
      </c>
      <c r="AA342" s="128">
        <f>$Z$342*$K$342</f>
        <v>0</v>
      </c>
      <c r="AR342" s="6" t="s">
        <v>156</v>
      </c>
      <c r="AT342" s="6" t="s">
        <v>152</v>
      </c>
      <c r="AU342" s="6" t="s">
        <v>103</v>
      </c>
      <c r="AY342" s="6" t="s">
        <v>151</v>
      </c>
      <c r="BE342" s="82">
        <f>IF($U$342="základní",$N$342,0)</f>
        <v>0</v>
      </c>
      <c r="BF342" s="82">
        <f>IF($U$342="snížená",$N$342,0)</f>
        <v>0</v>
      </c>
      <c r="BG342" s="82">
        <f>IF($U$342="zákl. přenesená",$N$342,0)</f>
        <v>0</v>
      </c>
      <c r="BH342" s="82">
        <f>IF($U$342="sníž. přenesená",$N$342,0)</f>
        <v>0</v>
      </c>
      <c r="BI342" s="82">
        <f>IF($U$342="nulová",$N$342,0)</f>
        <v>0</v>
      </c>
      <c r="BJ342" s="6" t="s">
        <v>21</v>
      </c>
      <c r="BK342" s="82">
        <f>ROUND($L$342*$K$342,2)</f>
        <v>0</v>
      </c>
      <c r="BL342" s="6" t="s">
        <v>156</v>
      </c>
    </row>
    <row r="343" spans="2:64" s="6" customFormat="1" ht="27" customHeight="1">
      <c r="B343" s="22"/>
      <c r="C343" s="122" t="s">
        <v>457</v>
      </c>
      <c r="D343" s="122" t="s">
        <v>152</v>
      </c>
      <c r="E343" s="123" t="s">
        <v>458</v>
      </c>
      <c r="F343" s="212" t="s">
        <v>459</v>
      </c>
      <c r="G343" s="213"/>
      <c r="H343" s="213"/>
      <c r="I343" s="213"/>
      <c r="J343" s="124" t="s">
        <v>196</v>
      </c>
      <c r="K343" s="125">
        <v>0.53</v>
      </c>
      <c r="L343" s="214">
        <v>0</v>
      </c>
      <c r="M343" s="213"/>
      <c r="N343" s="215">
        <f>ROUND($L$343*$K$343,2)</f>
        <v>0</v>
      </c>
      <c r="O343" s="213"/>
      <c r="P343" s="213"/>
      <c r="Q343" s="213"/>
      <c r="R343" s="23"/>
      <c r="T343" s="126"/>
      <c r="U343" s="29" t="s">
        <v>47</v>
      </c>
      <c r="V343" s="127">
        <v>1.48</v>
      </c>
      <c r="W343" s="127">
        <f>$V$343*$K$343</f>
        <v>0.7844</v>
      </c>
      <c r="X343" s="127">
        <v>0</v>
      </c>
      <c r="Y343" s="127">
        <f>$X$343*$K$343</f>
        <v>0</v>
      </c>
      <c r="Z343" s="127">
        <v>0</v>
      </c>
      <c r="AA343" s="128">
        <f>$Z$343*$K$343</f>
        <v>0</v>
      </c>
      <c r="AR343" s="6" t="s">
        <v>156</v>
      </c>
      <c r="AT343" s="6" t="s">
        <v>152</v>
      </c>
      <c r="AU343" s="6" t="s">
        <v>103</v>
      </c>
      <c r="AY343" s="6" t="s">
        <v>151</v>
      </c>
      <c r="BE343" s="82">
        <f>IF($U$343="základní",$N$343,0)</f>
        <v>0</v>
      </c>
      <c r="BF343" s="82">
        <f>IF($U$343="snížená",$N$343,0)</f>
        <v>0</v>
      </c>
      <c r="BG343" s="82">
        <f>IF($U$343="zákl. přenesená",$N$343,0)</f>
        <v>0</v>
      </c>
      <c r="BH343" s="82">
        <f>IF($U$343="sníž. přenesená",$N$343,0)</f>
        <v>0</v>
      </c>
      <c r="BI343" s="82">
        <f>IF($U$343="nulová",$N$343,0)</f>
        <v>0</v>
      </c>
      <c r="BJ343" s="6" t="s">
        <v>21</v>
      </c>
      <c r="BK343" s="82">
        <f>ROUND($L$343*$K$343,2)</f>
        <v>0</v>
      </c>
      <c r="BL343" s="6" t="s">
        <v>156</v>
      </c>
    </row>
    <row r="344" spans="2:63" s="6" customFormat="1" ht="51" customHeight="1">
      <c r="B344" s="22"/>
      <c r="D344" s="115" t="s">
        <v>460</v>
      </c>
      <c r="N344" s="204">
        <f>$BK$344</f>
        <v>0</v>
      </c>
      <c r="O344" s="173"/>
      <c r="P344" s="173"/>
      <c r="Q344" s="173"/>
      <c r="R344" s="23"/>
      <c r="T344" s="145"/>
      <c r="U344" s="41"/>
      <c r="V344" s="41"/>
      <c r="W344" s="41"/>
      <c r="X344" s="41"/>
      <c r="Y344" s="41"/>
      <c r="Z344" s="41"/>
      <c r="AA344" s="43"/>
      <c r="AT344" s="6" t="s">
        <v>81</v>
      </c>
      <c r="AU344" s="6" t="s">
        <v>82</v>
      </c>
      <c r="AY344" s="6" t="s">
        <v>461</v>
      </c>
      <c r="BK344" s="82">
        <v>0</v>
      </c>
    </row>
    <row r="345" spans="2:18" s="6" customFormat="1" ht="7.5" customHeight="1">
      <c r="B345" s="44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6"/>
    </row>
    <row r="346" s="2" customFormat="1" ht="14.25" customHeight="1">
      <c r="N346" s="1"/>
    </row>
    <row r="347" ht="14.25" customHeight="1">
      <c r="N347" s="1"/>
    </row>
    <row r="348" ht="14.25" customHeight="1">
      <c r="N348" s="1"/>
    </row>
    <row r="349" ht="14.25" customHeight="1">
      <c r="N349" s="1"/>
    </row>
    <row r="350" ht="14.25" customHeight="1">
      <c r="N350" s="1"/>
    </row>
    <row r="351" ht="14.25" customHeight="1">
      <c r="N351" s="1"/>
    </row>
    <row r="352" ht="14.25" customHeight="1">
      <c r="N352" s="1"/>
    </row>
    <row r="353" ht="14.25" customHeight="1">
      <c r="N353" s="1"/>
    </row>
    <row r="354" ht="14.25" customHeight="1">
      <c r="N354" s="1"/>
    </row>
    <row r="355" ht="14.25" customHeight="1">
      <c r="N355" s="1"/>
    </row>
    <row r="356" ht="14.25" customHeight="1">
      <c r="N356" s="1"/>
    </row>
    <row r="357" ht="14.25" customHeight="1">
      <c r="N357" s="1"/>
    </row>
    <row r="358" ht="14.25" customHeight="1">
      <c r="N358" s="1"/>
    </row>
    <row r="359" ht="14.25" customHeight="1">
      <c r="N359" s="1"/>
    </row>
    <row r="360" ht="14.25" customHeight="1">
      <c r="N360" s="1"/>
    </row>
    <row r="361" ht="14.25" customHeight="1">
      <c r="N361" s="1"/>
    </row>
    <row r="362" ht="14.25" customHeight="1">
      <c r="N362" s="1"/>
    </row>
    <row r="363" ht="14.25" customHeight="1">
      <c r="N363" s="1"/>
    </row>
    <row r="364" ht="14.25" customHeight="1">
      <c r="N364" s="1"/>
    </row>
    <row r="365" ht="14.25" customHeight="1">
      <c r="N365" s="1"/>
    </row>
    <row r="366" ht="14.25" customHeight="1">
      <c r="N366" s="1"/>
    </row>
    <row r="367" ht="14.25" customHeight="1">
      <c r="N367" s="1"/>
    </row>
    <row r="368" ht="14.25" customHeight="1">
      <c r="N368" s="1"/>
    </row>
    <row r="369" ht="14.25" customHeight="1">
      <c r="N369" s="1"/>
    </row>
    <row r="370" ht="14.25" customHeight="1">
      <c r="N370" s="1"/>
    </row>
    <row r="371" ht="14.25" customHeight="1">
      <c r="N371" s="1"/>
    </row>
    <row r="372" ht="14.25" customHeight="1">
      <c r="N372" s="1"/>
    </row>
    <row r="373" ht="14.25" customHeight="1">
      <c r="N373" s="1"/>
    </row>
    <row r="374" ht="14.25" customHeight="1">
      <c r="N374" s="1"/>
    </row>
    <row r="375" ht="14.25" customHeight="1">
      <c r="N375" s="1"/>
    </row>
    <row r="376" ht="14.25" customHeight="1">
      <c r="N376" s="1"/>
    </row>
    <row r="377" ht="14.25" customHeight="1">
      <c r="N377" s="1"/>
    </row>
    <row r="378" ht="14.25" customHeight="1">
      <c r="N378" s="1"/>
    </row>
    <row r="379" ht="14.25" customHeight="1">
      <c r="N379" s="1"/>
    </row>
    <row r="380" ht="14.25" customHeight="1">
      <c r="N380" s="1"/>
    </row>
    <row r="381" ht="14.25" customHeight="1">
      <c r="N381" s="1"/>
    </row>
    <row r="382" ht="14.25" customHeight="1">
      <c r="N382" s="1"/>
    </row>
    <row r="383" ht="14.25" customHeight="1">
      <c r="N383" s="1"/>
    </row>
    <row r="384" ht="14.25" customHeight="1">
      <c r="N384" s="1"/>
    </row>
    <row r="385" ht="14.25" customHeight="1">
      <c r="N385" s="1"/>
    </row>
    <row r="386" ht="14.25" customHeight="1">
      <c r="N386" s="1"/>
    </row>
    <row r="387" ht="14.25" customHeight="1">
      <c r="N387" s="1"/>
    </row>
    <row r="388" ht="14.25" customHeight="1">
      <c r="N388" s="1"/>
    </row>
    <row r="389" ht="14.25" customHeight="1">
      <c r="N389" s="1"/>
    </row>
    <row r="390" ht="14.25" customHeight="1">
      <c r="N390" s="1"/>
    </row>
    <row r="391" ht="14.25" customHeight="1">
      <c r="N391" s="1"/>
    </row>
    <row r="392" ht="14.25" customHeight="1">
      <c r="N392" s="1"/>
    </row>
    <row r="393" ht="14.25" customHeight="1">
      <c r="N393" s="1"/>
    </row>
    <row r="394" ht="14.25" customHeight="1">
      <c r="N394" s="1"/>
    </row>
    <row r="395" ht="14.25" customHeight="1">
      <c r="N395" s="1"/>
    </row>
    <row r="396" ht="14.25" customHeight="1">
      <c r="N396" s="1"/>
    </row>
    <row r="397" ht="14.25" customHeight="1">
      <c r="N397" s="1"/>
    </row>
    <row r="398" ht="14.25" customHeight="1">
      <c r="N398" s="1"/>
    </row>
    <row r="399" ht="14.25" customHeight="1">
      <c r="N399" s="1"/>
    </row>
    <row r="400" ht="14.25" customHeight="1">
      <c r="N400" s="1"/>
    </row>
    <row r="401" ht="14.25" customHeight="1">
      <c r="N401" s="1"/>
    </row>
    <row r="402" ht="14.25" customHeight="1">
      <c r="N402" s="1"/>
    </row>
    <row r="403" ht="14.25" customHeight="1">
      <c r="N403" s="1"/>
    </row>
    <row r="404" ht="14.25" customHeight="1">
      <c r="N404" s="1"/>
    </row>
    <row r="405" ht="14.25" customHeight="1">
      <c r="N405" s="1"/>
    </row>
    <row r="406" ht="14.25" customHeight="1">
      <c r="N406" s="1"/>
    </row>
    <row r="407" ht="14.25" customHeight="1">
      <c r="N407" s="1"/>
    </row>
    <row r="408" ht="14.25" customHeight="1">
      <c r="N408" s="1"/>
    </row>
    <row r="409" ht="14.25" customHeight="1">
      <c r="N409" s="1"/>
    </row>
    <row r="410" ht="14.25" customHeight="1">
      <c r="N410" s="1"/>
    </row>
    <row r="411" ht="14.25" customHeight="1">
      <c r="N411" s="1"/>
    </row>
    <row r="412" ht="14.25" customHeight="1">
      <c r="N412" s="1"/>
    </row>
    <row r="413" ht="14.25" customHeight="1">
      <c r="N413" s="1"/>
    </row>
    <row r="414" ht="14.25" customHeight="1">
      <c r="N414" s="1"/>
    </row>
    <row r="415" ht="14.25" customHeight="1">
      <c r="N415" s="1"/>
    </row>
    <row r="416" ht="14.25" customHeight="1">
      <c r="N416" s="1"/>
    </row>
    <row r="417" ht="14.25" customHeight="1">
      <c r="N417" s="1"/>
    </row>
    <row r="418" ht="14.25" customHeight="1">
      <c r="N418" s="1"/>
    </row>
    <row r="419" ht="14.25" customHeight="1">
      <c r="N419" s="1"/>
    </row>
    <row r="420" ht="14.25" customHeight="1">
      <c r="N420" s="1"/>
    </row>
    <row r="421" ht="14.25" customHeight="1">
      <c r="N421" s="1"/>
    </row>
    <row r="422" ht="14.25" customHeight="1">
      <c r="N422" s="1"/>
    </row>
    <row r="423" ht="14.25" customHeight="1">
      <c r="N423" s="1"/>
    </row>
    <row r="424" ht="14.25" customHeight="1">
      <c r="N424" s="1"/>
    </row>
    <row r="425" ht="14.25" customHeight="1">
      <c r="N425" s="1"/>
    </row>
    <row r="426" ht="14.25" customHeight="1">
      <c r="N426" s="1"/>
    </row>
    <row r="427" ht="14.25" customHeight="1">
      <c r="N427" s="1"/>
    </row>
    <row r="428" ht="14.25" customHeight="1">
      <c r="N428" s="1"/>
    </row>
    <row r="429" ht="14.25" customHeight="1">
      <c r="N429" s="1"/>
    </row>
    <row r="430" ht="14.25" customHeight="1">
      <c r="N430" s="1"/>
    </row>
    <row r="431" ht="14.25" customHeight="1">
      <c r="N431" s="1"/>
    </row>
    <row r="432" ht="14.25" customHeight="1">
      <c r="N432" s="1"/>
    </row>
    <row r="433" ht="14.25" customHeight="1">
      <c r="N433" s="1"/>
    </row>
    <row r="434" ht="14.25" customHeight="1">
      <c r="N434" s="1"/>
    </row>
    <row r="435" ht="14.25" customHeight="1">
      <c r="N435" s="1"/>
    </row>
    <row r="436" ht="14.25" customHeight="1">
      <c r="N436" s="1"/>
    </row>
    <row r="437" ht="14.25" customHeight="1">
      <c r="N437" s="1"/>
    </row>
    <row r="438" ht="14.25" customHeight="1">
      <c r="N438" s="1"/>
    </row>
    <row r="439" ht="14.25" customHeight="1">
      <c r="N439" s="1"/>
    </row>
    <row r="440" ht="14.25" customHeight="1">
      <c r="N440" s="1"/>
    </row>
    <row r="441" ht="14.25" customHeight="1">
      <c r="N441" s="1"/>
    </row>
    <row r="442" ht="14.25" customHeight="1">
      <c r="N442" s="1"/>
    </row>
    <row r="443" ht="14.25" customHeight="1">
      <c r="N443" s="1"/>
    </row>
    <row r="444" ht="14.25" customHeight="1">
      <c r="N444" s="1"/>
    </row>
    <row r="445" ht="14.25" customHeight="1">
      <c r="N445" s="1"/>
    </row>
    <row r="446" ht="14.25" customHeight="1">
      <c r="N446" s="1"/>
    </row>
    <row r="447" ht="14.25" customHeight="1">
      <c r="N447" s="1"/>
    </row>
    <row r="448" ht="14.25" customHeight="1">
      <c r="N448" s="1"/>
    </row>
    <row r="449" ht="14.25" customHeight="1">
      <c r="N449" s="1"/>
    </row>
    <row r="450" ht="14.25" customHeight="1">
      <c r="N450" s="1"/>
    </row>
    <row r="451" ht="14.25" customHeight="1">
      <c r="N451" s="1"/>
    </row>
    <row r="452" ht="14.25" customHeight="1">
      <c r="N452" s="1"/>
    </row>
    <row r="453" ht="14.25" customHeight="1">
      <c r="N453" s="1"/>
    </row>
    <row r="454" ht="14.25" customHeight="1">
      <c r="N454" s="1"/>
    </row>
    <row r="455" ht="14.25" customHeight="1">
      <c r="N455" s="1"/>
    </row>
    <row r="456" ht="14.25" customHeight="1">
      <c r="N456" s="1"/>
    </row>
    <row r="457" ht="14.25" customHeight="1">
      <c r="N457" s="1"/>
    </row>
    <row r="458" ht="14.25" customHeight="1">
      <c r="N458" s="1"/>
    </row>
    <row r="459" ht="14.25" customHeight="1">
      <c r="N459" s="1"/>
    </row>
    <row r="460" ht="14.25" customHeight="1">
      <c r="N460" s="1"/>
    </row>
    <row r="461" ht="14.25" customHeight="1">
      <c r="N461" s="1"/>
    </row>
    <row r="462" ht="14.25" customHeight="1">
      <c r="N462" s="1"/>
    </row>
    <row r="463" ht="14.25" customHeight="1">
      <c r="N463" s="1"/>
    </row>
    <row r="464" ht="14.25" customHeight="1">
      <c r="N464" s="1"/>
    </row>
    <row r="465" ht="14.25" customHeight="1">
      <c r="N465" s="1"/>
    </row>
    <row r="466" ht="14.25" customHeight="1">
      <c r="N466" s="1"/>
    </row>
    <row r="467" ht="14.25" customHeight="1">
      <c r="N467" s="1"/>
    </row>
    <row r="468" ht="14.25" customHeight="1">
      <c r="N468" s="1"/>
    </row>
    <row r="469" ht="14.25" customHeight="1">
      <c r="N469" s="1"/>
    </row>
    <row r="470" ht="14.25" customHeight="1">
      <c r="N470" s="1"/>
    </row>
    <row r="471" ht="14.25" customHeight="1">
      <c r="N471" s="1"/>
    </row>
    <row r="472" ht="14.25" customHeight="1">
      <c r="N472" s="1"/>
    </row>
    <row r="473" ht="14.25" customHeight="1">
      <c r="N473" s="1"/>
    </row>
    <row r="474" ht="14.25" customHeight="1">
      <c r="N474" s="1"/>
    </row>
    <row r="475" ht="14.25" customHeight="1">
      <c r="N475" s="1"/>
    </row>
    <row r="476" ht="14.25" customHeight="1">
      <c r="N476" s="1"/>
    </row>
    <row r="477" ht="14.25" customHeight="1">
      <c r="N477" s="1"/>
    </row>
    <row r="478" ht="14.25" customHeight="1">
      <c r="N478" s="1"/>
    </row>
    <row r="479" ht="14.25" customHeight="1">
      <c r="N479" s="1"/>
    </row>
    <row r="480" ht="14.25" customHeight="1">
      <c r="N480" s="1"/>
    </row>
    <row r="481" ht="14.25" customHeight="1">
      <c r="N481" s="1"/>
    </row>
    <row r="482" ht="14.25" customHeight="1">
      <c r="N482" s="1"/>
    </row>
    <row r="483" ht="14.25" customHeight="1">
      <c r="N483" s="1"/>
    </row>
    <row r="484" ht="14.25" customHeight="1">
      <c r="N484" s="1"/>
    </row>
    <row r="485" ht="14.25" customHeight="1">
      <c r="N485" s="1"/>
    </row>
    <row r="486" ht="14.25" customHeight="1">
      <c r="N486" s="1"/>
    </row>
    <row r="487" ht="14.25" customHeight="1">
      <c r="N487" s="1"/>
    </row>
    <row r="488" ht="14.25" customHeight="1">
      <c r="N488" s="1"/>
    </row>
    <row r="489" ht="14.25" customHeight="1">
      <c r="N489" s="1"/>
    </row>
    <row r="490" ht="14.25" customHeight="1">
      <c r="N490" s="1"/>
    </row>
    <row r="491" ht="14.25" customHeight="1">
      <c r="N491" s="1"/>
    </row>
    <row r="492" ht="14.25" customHeight="1">
      <c r="N492" s="1"/>
    </row>
    <row r="493" ht="14.25" customHeight="1">
      <c r="N493" s="1"/>
    </row>
    <row r="494" ht="14.25" customHeight="1">
      <c r="N494" s="1"/>
    </row>
    <row r="495" ht="14.25" customHeight="1">
      <c r="N495" s="1"/>
    </row>
    <row r="496" ht="14.25" customHeight="1">
      <c r="N496" s="1"/>
    </row>
    <row r="497" ht="14.25" customHeight="1">
      <c r="N497" s="1"/>
    </row>
    <row r="498" ht="14.25" customHeight="1">
      <c r="N498" s="1"/>
    </row>
    <row r="499" ht="14.25" customHeight="1">
      <c r="N499" s="1"/>
    </row>
    <row r="500" ht="14.25" customHeight="1">
      <c r="N500" s="1"/>
    </row>
    <row r="65535" ht="14.25" customHeight="1">
      <c r="N65535" s="2">
        <f>$N$344</f>
        <v>0</v>
      </c>
    </row>
  </sheetData>
  <sheetProtection/>
  <mergeCells count="445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3:Q103"/>
    <mergeCell ref="D104:H104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N109:Q109"/>
    <mergeCell ref="L111:Q111"/>
    <mergeCell ref="C117:Q117"/>
    <mergeCell ref="F119:P119"/>
    <mergeCell ref="F120:P120"/>
    <mergeCell ref="M122:P122"/>
    <mergeCell ref="M124:Q124"/>
    <mergeCell ref="M125:Q125"/>
    <mergeCell ref="F127:I127"/>
    <mergeCell ref="L127:M127"/>
    <mergeCell ref="N127:Q127"/>
    <mergeCell ref="F130:I130"/>
    <mergeCell ref="L130:M130"/>
    <mergeCell ref="N130:Q130"/>
    <mergeCell ref="N128:Q128"/>
    <mergeCell ref="N129:Q129"/>
    <mergeCell ref="F131:I131"/>
    <mergeCell ref="F132:I132"/>
    <mergeCell ref="F133:I133"/>
    <mergeCell ref="F135:I135"/>
    <mergeCell ref="L135:M135"/>
    <mergeCell ref="N135:Q135"/>
    <mergeCell ref="N134:Q134"/>
    <mergeCell ref="F136:I136"/>
    <mergeCell ref="F137:I137"/>
    <mergeCell ref="F138:I138"/>
    <mergeCell ref="L138:M138"/>
    <mergeCell ref="N138:Q138"/>
    <mergeCell ref="F139:I139"/>
    <mergeCell ref="F140:I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7:I147"/>
    <mergeCell ref="L147:M147"/>
    <mergeCell ref="N147:Q147"/>
    <mergeCell ref="N146:Q146"/>
    <mergeCell ref="F148:I148"/>
    <mergeCell ref="F149:I149"/>
    <mergeCell ref="F150:I150"/>
    <mergeCell ref="F151:I151"/>
    <mergeCell ref="F152:I152"/>
    <mergeCell ref="L152:M152"/>
    <mergeCell ref="N152:Q152"/>
    <mergeCell ref="F153:I153"/>
    <mergeCell ref="F154:I154"/>
    <mergeCell ref="F155:I155"/>
    <mergeCell ref="F156:I156"/>
    <mergeCell ref="L156:M156"/>
    <mergeCell ref="N156:Q156"/>
    <mergeCell ref="F157:I157"/>
    <mergeCell ref="L157:M157"/>
    <mergeCell ref="N157:Q157"/>
    <mergeCell ref="F158:I158"/>
    <mergeCell ref="F159:I159"/>
    <mergeCell ref="F160:I160"/>
    <mergeCell ref="L160:M160"/>
    <mergeCell ref="N160:Q160"/>
    <mergeCell ref="F161:I161"/>
    <mergeCell ref="L161:M161"/>
    <mergeCell ref="N161:Q161"/>
    <mergeCell ref="F163:I163"/>
    <mergeCell ref="L163:M163"/>
    <mergeCell ref="N163:Q163"/>
    <mergeCell ref="N162:Q162"/>
    <mergeCell ref="F164:I164"/>
    <mergeCell ref="F165:I165"/>
    <mergeCell ref="F166:I166"/>
    <mergeCell ref="F167:I167"/>
    <mergeCell ref="F168:I168"/>
    <mergeCell ref="L168:M168"/>
    <mergeCell ref="N168:Q168"/>
    <mergeCell ref="F169:I169"/>
    <mergeCell ref="F170:I170"/>
    <mergeCell ref="F171:I171"/>
    <mergeCell ref="F172:I172"/>
    <mergeCell ref="L172:M172"/>
    <mergeCell ref="N172:Q172"/>
    <mergeCell ref="F173:I173"/>
    <mergeCell ref="L173:M173"/>
    <mergeCell ref="N173:Q173"/>
    <mergeCell ref="F174:I174"/>
    <mergeCell ref="F175:I175"/>
    <mergeCell ref="F176:I176"/>
    <mergeCell ref="L176:M176"/>
    <mergeCell ref="N176:Q176"/>
    <mergeCell ref="F178:I178"/>
    <mergeCell ref="L178:M178"/>
    <mergeCell ref="N178:Q178"/>
    <mergeCell ref="F179:I179"/>
    <mergeCell ref="F180:I180"/>
    <mergeCell ref="F181:I181"/>
    <mergeCell ref="F182:I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8:I188"/>
    <mergeCell ref="L188:M188"/>
    <mergeCell ref="N188:Q188"/>
    <mergeCell ref="F189:I189"/>
    <mergeCell ref="F190:I190"/>
    <mergeCell ref="F191:I191"/>
    <mergeCell ref="F192:I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3:I203"/>
    <mergeCell ref="L203:M203"/>
    <mergeCell ref="N203:Q203"/>
    <mergeCell ref="F204:I204"/>
    <mergeCell ref="F205:I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10:I210"/>
    <mergeCell ref="L210:M210"/>
    <mergeCell ref="N210:Q210"/>
    <mergeCell ref="F211:I211"/>
    <mergeCell ref="L211:M211"/>
    <mergeCell ref="N211:Q211"/>
    <mergeCell ref="F212:I212"/>
    <mergeCell ref="F213:I213"/>
    <mergeCell ref="F214:I214"/>
    <mergeCell ref="L214:M214"/>
    <mergeCell ref="N214:Q214"/>
    <mergeCell ref="F215:I215"/>
    <mergeCell ref="F216:I216"/>
    <mergeCell ref="F217:I217"/>
    <mergeCell ref="L217:M217"/>
    <mergeCell ref="N217:Q217"/>
    <mergeCell ref="F218:I218"/>
    <mergeCell ref="F219:I219"/>
    <mergeCell ref="F220:I220"/>
    <mergeCell ref="L220:M220"/>
    <mergeCell ref="N220:Q220"/>
    <mergeCell ref="F221:I221"/>
    <mergeCell ref="L221:M221"/>
    <mergeCell ref="N221:Q221"/>
    <mergeCell ref="F222:I222"/>
    <mergeCell ref="F223:I223"/>
    <mergeCell ref="F224:I224"/>
    <mergeCell ref="F225:I225"/>
    <mergeCell ref="F226:I226"/>
    <mergeCell ref="F227:I227"/>
    <mergeCell ref="F228:I228"/>
    <mergeCell ref="L228:M228"/>
    <mergeCell ref="N228:Q228"/>
    <mergeCell ref="F229:I229"/>
    <mergeCell ref="F230:I230"/>
    <mergeCell ref="F231:I231"/>
    <mergeCell ref="F232:I232"/>
    <mergeCell ref="F233:I233"/>
    <mergeCell ref="F234:I234"/>
    <mergeCell ref="F235:I235"/>
    <mergeCell ref="L235:M235"/>
    <mergeCell ref="N235:Q235"/>
    <mergeCell ref="F236:I236"/>
    <mergeCell ref="F237:I237"/>
    <mergeCell ref="F238:I238"/>
    <mergeCell ref="F239:I239"/>
    <mergeCell ref="L239:M239"/>
    <mergeCell ref="N239:Q239"/>
    <mergeCell ref="F240:I240"/>
    <mergeCell ref="F241:I241"/>
    <mergeCell ref="F242:I242"/>
    <mergeCell ref="L242:M242"/>
    <mergeCell ref="N242:Q242"/>
    <mergeCell ref="F243:I243"/>
    <mergeCell ref="F244:I244"/>
    <mergeCell ref="L244:M244"/>
    <mergeCell ref="N244:Q244"/>
    <mergeCell ref="F245:I245"/>
    <mergeCell ref="F246:I246"/>
    <mergeCell ref="F247:I247"/>
    <mergeCell ref="F248:I248"/>
    <mergeCell ref="F249:I249"/>
    <mergeCell ref="F250:I250"/>
    <mergeCell ref="F251:I251"/>
    <mergeCell ref="F252:I252"/>
    <mergeCell ref="F254:I254"/>
    <mergeCell ref="L254:M254"/>
    <mergeCell ref="N254:Q254"/>
    <mergeCell ref="F255:I255"/>
    <mergeCell ref="L255:M255"/>
    <mergeCell ref="N255:Q255"/>
    <mergeCell ref="F256:I256"/>
    <mergeCell ref="F257:I257"/>
    <mergeCell ref="L257:M257"/>
    <mergeCell ref="N257:Q257"/>
    <mergeCell ref="F259:I259"/>
    <mergeCell ref="L259:M259"/>
    <mergeCell ref="N259:Q259"/>
    <mergeCell ref="N258:Q258"/>
    <mergeCell ref="F260:I260"/>
    <mergeCell ref="F261:I261"/>
    <mergeCell ref="F262:I262"/>
    <mergeCell ref="L262:M262"/>
    <mergeCell ref="N262:Q262"/>
    <mergeCell ref="F263:I263"/>
    <mergeCell ref="F264:I264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8:I268"/>
    <mergeCell ref="F269:I269"/>
    <mergeCell ref="L269:M269"/>
    <mergeCell ref="N269:Q269"/>
    <mergeCell ref="F270:I270"/>
    <mergeCell ref="F272:I272"/>
    <mergeCell ref="L272:M272"/>
    <mergeCell ref="N272:Q272"/>
    <mergeCell ref="F273:I273"/>
    <mergeCell ref="F274:I274"/>
    <mergeCell ref="N271:Q271"/>
    <mergeCell ref="F275:I275"/>
    <mergeCell ref="L275:M275"/>
    <mergeCell ref="N275:Q275"/>
    <mergeCell ref="F276:I276"/>
    <mergeCell ref="F277:I277"/>
    <mergeCell ref="F278:I278"/>
    <mergeCell ref="L278:M278"/>
    <mergeCell ref="N278:Q278"/>
    <mergeCell ref="F279:I279"/>
    <mergeCell ref="F280:I280"/>
    <mergeCell ref="F281:I281"/>
    <mergeCell ref="F282:I282"/>
    <mergeCell ref="F283:I283"/>
    <mergeCell ref="L283:M283"/>
    <mergeCell ref="N283:Q283"/>
    <mergeCell ref="F284:I284"/>
    <mergeCell ref="F285:I285"/>
    <mergeCell ref="F286:I286"/>
    <mergeCell ref="L286:M286"/>
    <mergeCell ref="N286:Q286"/>
    <mergeCell ref="F287:I287"/>
    <mergeCell ref="F288:I288"/>
    <mergeCell ref="F289:I289"/>
    <mergeCell ref="F290:I290"/>
    <mergeCell ref="F291:I291"/>
    <mergeCell ref="L291:M291"/>
    <mergeCell ref="N291:Q291"/>
    <mergeCell ref="F292:I292"/>
    <mergeCell ref="F293:I293"/>
    <mergeCell ref="F294:I294"/>
    <mergeCell ref="L294:M294"/>
    <mergeCell ref="N294:Q294"/>
    <mergeCell ref="F295:I295"/>
    <mergeCell ref="L295:M295"/>
    <mergeCell ref="N295:Q295"/>
    <mergeCell ref="F296:I296"/>
    <mergeCell ref="F297:I297"/>
    <mergeCell ref="F298:I298"/>
    <mergeCell ref="L298:M298"/>
    <mergeCell ref="N298:Q298"/>
    <mergeCell ref="F299:I299"/>
    <mergeCell ref="F300:I300"/>
    <mergeCell ref="F301:I301"/>
    <mergeCell ref="L301:M301"/>
    <mergeCell ref="N301:Q301"/>
    <mergeCell ref="F302:I302"/>
    <mergeCell ref="L302:M302"/>
    <mergeCell ref="N302:Q302"/>
    <mergeCell ref="F303:I303"/>
    <mergeCell ref="F304:I304"/>
    <mergeCell ref="F305:I305"/>
    <mergeCell ref="F306:I306"/>
    <mergeCell ref="F307:I307"/>
    <mergeCell ref="F308:I308"/>
    <mergeCell ref="F309:I309"/>
    <mergeCell ref="L309:M309"/>
    <mergeCell ref="N309:Q309"/>
    <mergeCell ref="F310:I310"/>
    <mergeCell ref="F311:I311"/>
    <mergeCell ref="F312:I312"/>
    <mergeCell ref="F313:I313"/>
    <mergeCell ref="F314:I314"/>
    <mergeCell ref="F315:I315"/>
    <mergeCell ref="F316:I316"/>
    <mergeCell ref="L316:M316"/>
    <mergeCell ref="N316:Q316"/>
    <mergeCell ref="F317:I317"/>
    <mergeCell ref="F318:I318"/>
    <mergeCell ref="F319:I319"/>
    <mergeCell ref="F320:I320"/>
    <mergeCell ref="F321:I321"/>
    <mergeCell ref="F322:I322"/>
    <mergeCell ref="F323:I323"/>
    <mergeCell ref="L323:M323"/>
    <mergeCell ref="N323:Q323"/>
    <mergeCell ref="F324:I324"/>
    <mergeCell ref="F325:I325"/>
    <mergeCell ref="F326:I326"/>
    <mergeCell ref="F327:I327"/>
    <mergeCell ref="F328:I328"/>
    <mergeCell ref="F329:I329"/>
    <mergeCell ref="F330:I330"/>
    <mergeCell ref="L330:M330"/>
    <mergeCell ref="N330:Q330"/>
    <mergeCell ref="F331:I331"/>
    <mergeCell ref="F332:I332"/>
    <mergeCell ref="F333:I333"/>
    <mergeCell ref="L333:M333"/>
    <mergeCell ref="N333:Q333"/>
    <mergeCell ref="F334:I334"/>
    <mergeCell ref="F335:I335"/>
    <mergeCell ref="L335:M335"/>
    <mergeCell ref="N335:Q335"/>
    <mergeCell ref="F336:I336"/>
    <mergeCell ref="F337:I337"/>
    <mergeCell ref="F338:I338"/>
    <mergeCell ref="L338:M338"/>
    <mergeCell ref="N338:Q338"/>
    <mergeCell ref="F340:I340"/>
    <mergeCell ref="F342:I342"/>
    <mergeCell ref="L342:M342"/>
    <mergeCell ref="N342:Q342"/>
    <mergeCell ref="F343:I343"/>
    <mergeCell ref="L343:M343"/>
    <mergeCell ref="N343:Q343"/>
    <mergeCell ref="N341:Q341"/>
    <mergeCell ref="N344:Q344"/>
    <mergeCell ref="H1:K1"/>
    <mergeCell ref="S2:AC2"/>
    <mergeCell ref="N177:Q177"/>
    <mergeCell ref="N187:Q187"/>
    <mergeCell ref="N197:Q197"/>
    <mergeCell ref="N202:Q202"/>
    <mergeCell ref="N209:Q209"/>
    <mergeCell ref="N253:Q253"/>
    <mergeCell ref="F339:I339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7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Petržílek David</dc:creator>
  <cp:keywords/>
  <dc:description/>
  <cp:lastModifiedBy>Administrator</cp:lastModifiedBy>
  <dcterms:created xsi:type="dcterms:W3CDTF">2017-10-06T08:58:10Z</dcterms:created>
  <dcterms:modified xsi:type="dcterms:W3CDTF">2017-10-06T08:58:10Z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