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44525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F22" i="4"/>
  <c r="I22" i="4"/>
  <c r="K13" i="1"/>
  <c r="K12" i="1" s="1"/>
  <c r="G11" i="2" s="1"/>
  <c r="I11" i="2" s="1"/>
  <c r="Z13" i="1"/>
  <c r="AD13" i="1"/>
  <c r="AE13" i="1"/>
  <c r="AF13" i="1"/>
  <c r="AG13" i="1"/>
  <c r="AH13" i="1"/>
  <c r="AJ13" i="1"/>
  <c r="AS12" i="1" s="1"/>
  <c r="AK13" i="1"/>
  <c r="AT12" i="1" s="1"/>
  <c r="AO13" i="1"/>
  <c r="I13" i="1" s="1"/>
  <c r="I12" i="1" s="1"/>
  <c r="E11" i="2" s="1"/>
  <c r="AP13" i="1"/>
  <c r="AX13" i="1" s="1"/>
  <c r="AW13" i="1"/>
  <c r="BD13" i="1"/>
  <c r="BF13" i="1"/>
  <c r="BI13" i="1"/>
  <c r="AC13" i="1" s="1"/>
  <c r="BJ13" i="1"/>
  <c r="I14" i="1"/>
  <c r="J14" i="1"/>
  <c r="K14" i="1"/>
  <c r="Z14" i="1"/>
  <c r="AB14" i="1"/>
  <c r="AC14" i="1"/>
  <c r="AD14" i="1"/>
  <c r="AE14" i="1"/>
  <c r="AF14" i="1"/>
  <c r="AG14" i="1"/>
  <c r="AH14" i="1"/>
  <c r="AJ14" i="1"/>
  <c r="AK14" i="1"/>
  <c r="AL14" i="1"/>
  <c r="AO14" i="1"/>
  <c r="AP14" i="1"/>
  <c r="AV14" i="1"/>
  <c r="AW14" i="1"/>
  <c r="AX14" i="1"/>
  <c r="BC14" i="1"/>
  <c r="BD14" i="1"/>
  <c r="BF14" i="1"/>
  <c r="BH14" i="1"/>
  <c r="BI14" i="1"/>
  <c r="BJ14" i="1"/>
  <c r="I15" i="1"/>
  <c r="J15" i="1"/>
  <c r="K15" i="1"/>
  <c r="AS15" i="1"/>
  <c r="AT15" i="1"/>
  <c r="AU15" i="1"/>
  <c r="I16" i="1"/>
  <c r="J16" i="1"/>
  <c r="K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I17" i="1"/>
  <c r="J17" i="1"/>
  <c r="K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I18" i="1"/>
  <c r="J18" i="1"/>
  <c r="K18" i="1"/>
  <c r="Z18" i="1"/>
  <c r="AB18" i="1"/>
  <c r="AC18" i="1"/>
  <c r="AD18" i="1"/>
  <c r="AE18" i="1"/>
  <c r="AF18" i="1"/>
  <c r="AG18" i="1"/>
  <c r="AH18" i="1"/>
  <c r="AJ18" i="1"/>
  <c r="AK18" i="1"/>
  <c r="AL18" i="1"/>
  <c r="AO18" i="1"/>
  <c r="AP18" i="1"/>
  <c r="AV18" i="1"/>
  <c r="AW18" i="1"/>
  <c r="AX18" i="1"/>
  <c r="BC18" i="1"/>
  <c r="BD18" i="1"/>
  <c r="BF18" i="1"/>
  <c r="BH18" i="1"/>
  <c r="BI18" i="1"/>
  <c r="BJ18" i="1"/>
  <c r="I19" i="1"/>
  <c r="J19" i="1"/>
  <c r="K19" i="1"/>
  <c r="AS19" i="1"/>
  <c r="AT19" i="1"/>
  <c r="AU19" i="1"/>
  <c r="I20" i="1"/>
  <c r="J20" i="1"/>
  <c r="K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I21" i="1"/>
  <c r="J21" i="1"/>
  <c r="K21" i="1"/>
  <c r="Z21" i="1"/>
  <c r="AB21" i="1"/>
  <c r="AC21" i="1"/>
  <c r="AD21" i="1"/>
  <c r="AE21" i="1"/>
  <c r="AF21" i="1"/>
  <c r="AG21" i="1"/>
  <c r="AH21" i="1"/>
  <c r="AJ21" i="1"/>
  <c r="AK21" i="1"/>
  <c r="AL21" i="1"/>
  <c r="AO21" i="1"/>
  <c r="AP21" i="1"/>
  <c r="AV21" i="1"/>
  <c r="AW21" i="1"/>
  <c r="AX21" i="1"/>
  <c r="BC21" i="1"/>
  <c r="BD21" i="1"/>
  <c r="BF21" i="1"/>
  <c r="BH21" i="1"/>
  <c r="BI21" i="1"/>
  <c r="BJ21" i="1"/>
  <c r="I22" i="1"/>
  <c r="J22" i="1"/>
  <c r="K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I23" i="1"/>
  <c r="J23" i="1"/>
  <c r="K23" i="1"/>
  <c r="AS23" i="1"/>
  <c r="AT23" i="1"/>
  <c r="AU23" i="1"/>
  <c r="I24" i="1"/>
  <c r="J24" i="1"/>
  <c r="K24" i="1"/>
  <c r="Z24" i="1"/>
  <c r="AB24" i="1"/>
  <c r="AC24" i="1"/>
  <c r="AD24" i="1"/>
  <c r="AE24" i="1"/>
  <c r="AF24" i="1"/>
  <c r="AG24" i="1"/>
  <c r="AH24" i="1"/>
  <c r="AJ24" i="1"/>
  <c r="AK24" i="1"/>
  <c r="AL24" i="1"/>
  <c r="AO24" i="1"/>
  <c r="AP24" i="1"/>
  <c r="AV24" i="1"/>
  <c r="AW24" i="1"/>
  <c r="AX24" i="1"/>
  <c r="BC24" i="1"/>
  <c r="BD24" i="1"/>
  <c r="BF24" i="1"/>
  <c r="BH24" i="1"/>
  <c r="BI24" i="1"/>
  <c r="BJ24" i="1"/>
  <c r="I25" i="1"/>
  <c r="J25" i="1"/>
  <c r="K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I26" i="1"/>
  <c r="J26" i="1"/>
  <c r="K26" i="1"/>
  <c r="AS26" i="1"/>
  <c r="AT26" i="1"/>
  <c r="AU26" i="1"/>
  <c r="I27" i="1"/>
  <c r="J27" i="1"/>
  <c r="K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I28" i="1"/>
  <c r="J28" i="1"/>
  <c r="K28" i="1"/>
  <c r="Z28" i="1"/>
  <c r="AB28" i="1"/>
  <c r="AC28" i="1"/>
  <c r="AD28" i="1"/>
  <c r="AE28" i="1"/>
  <c r="AF28" i="1"/>
  <c r="AG28" i="1"/>
  <c r="AH28" i="1"/>
  <c r="AJ28" i="1"/>
  <c r="AK28" i="1"/>
  <c r="AL28" i="1"/>
  <c r="AO28" i="1"/>
  <c r="AP28" i="1"/>
  <c r="AV28" i="1"/>
  <c r="AW28" i="1"/>
  <c r="AX28" i="1"/>
  <c r="BC28" i="1"/>
  <c r="BD28" i="1"/>
  <c r="BF28" i="1"/>
  <c r="BH28" i="1"/>
  <c r="BI28" i="1"/>
  <c r="BJ28" i="1"/>
  <c r="I29" i="1"/>
  <c r="J29" i="1"/>
  <c r="K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I30" i="1"/>
  <c r="J30" i="1"/>
  <c r="K30" i="1"/>
  <c r="Z30" i="1"/>
  <c r="AB30" i="1"/>
  <c r="AC30" i="1"/>
  <c r="AD30" i="1"/>
  <c r="AE30" i="1"/>
  <c r="AF30" i="1"/>
  <c r="AG30" i="1"/>
  <c r="AH30" i="1"/>
  <c r="AJ30" i="1"/>
  <c r="AK30" i="1"/>
  <c r="AL30" i="1"/>
  <c r="AO30" i="1"/>
  <c r="AP30" i="1"/>
  <c r="AV30" i="1"/>
  <c r="AW30" i="1"/>
  <c r="AX30" i="1"/>
  <c r="BC30" i="1"/>
  <c r="BD30" i="1"/>
  <c r="BF30" i="1"/>
  <c r="BH30" i="1"/>
  <c r="BI30" i="1"/>
  <c r="BJ30" i="1"/>
  <c r="I31" i="1"/>
  <c r="J31" i="1"/>
  <c r="K31" i="1"/>
  <c r="AS31" i="1"/>
  <c r="AT31" i="1"/>
  <c r="AU31" i="1"/>
  <c r="I32" i="1"/>
  <c r="J32" i="1"/>
  <c r="K32" i="1"/>
  <c r="Z32" i="1"/>
  <c r="AB32" i="1"/>
  <c r="AC32" i="1"/>
  <c r="AD32" i="1"/>
  <c r="AE32" i="1"/>
  <c r="AF32" i="1"/>
  <c r="AG32" i="1"/>
  <c r="AH32" i="1"/>
  <c r="AJ32" i="1"/>
  <c r="AK32" i="1"/>
  <c r="AL32" i="1"/>
  <c r="AO32" i="1"/>
  <c r="AP32" i="1"/>
  <c r="AV32" i="1"/>
  <c r="AW32" i="1"/>
  <c r="AX32" i="1"/>
  <c r="BC32" i="1"/>
  <c r="BD32" i="1"/>
  <c r="BF32" i="1"/>
  <c r="BH32" i="1"/>
  <c r="BI32" i="1"/>
  <c r="BJ32" i="1"/>
  <c r="I33" i="1"/>
  <c r="J33" i="1"/>
  <c r="K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I34" i="1"/>
  <c r="J34" i="1"/>
  <c r="K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I35" i="1"/>
  <c r="J35" i="1"/>
  <c r="K35" i="1"/>
  <c r="Z35" i="1"/>
  <c r="AB35" i="1"/>
  <c r="AC35" i="1"/>
  <c r="AD35" i="1"/>
  <c r="AE35" i="1"/>
  <c r="AF35" i="1"/>
  <c r="AG35" i="1"/>
  <c r="AH35" i="1"/>
  <c r="AJ35" i="1"/>
  <c r="AK35" i="1"/>
  <c r="AL35" i="1"/>
  <c r="AO35" i="1"/>
  <c r="AP35" i="1"/>
  <c r="AV35" i="1"/>
  <c r="AW35" i="1"/>
  <c r="AX35" i="1"/>
  <c r="BC35" i="1"/>
  <c r="BD35" i="1"/>
  <c r="BF35" i="1"/>
  <c r="BH35" i="1"/>
  <c r="BI35" i="1"/>
  <c r="BJ35" i="1"/>
  <c r="I36" i="1"/>
  <c r="J36" i="1"/>
  <c r="K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I37" i="1"/>
  <c r="J37" i="1"/>
  <c r="K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I38" i="1"/>
  <c r="J38" i="1"/>
  <c r="K38" i="1"/>
  <c r="AS38" i="1"/>
  <c r="AT38" i="1"/>
  <c r="AU38" i="1"/>
  <c r="I39" i="1"/>
  <c r="J39" i="1"/>
  <c r="K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I40" i="1"/>
  <c r="J40" i="1"/>
  <c r="K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I41" i="1"/>
  <c r="J41" i="1"/>
  <c r="K41" i="1"/>
  <c r="Z41" i="1"/>
  <c r="AB41" i="1"/>
  <c r="AC41" i="1"/>
  <c r="AD41" i="1"/>
  <c r="AE41" i="1"/>
  <c r="AF41" i="1"/>
  <c r="AG41" i="1"/>
  <c r="AH41" i="1"/>
  <c r="AJ41" i="1"/>
  <c r="AK41" i="1"/>
  <c r="AL41" i="1"/>
  <c r="AO41" i="1"/>
  <c r="AP41" i="1"/>
  <c r="AV41" i="1"/>
  <c r="AW41" i="1"/>
  <c r="AX41" i="1"/>
  <c r="BC41" i="1"/>
  <c r="BD41" i="1"/>
  <c r="BF41" i="1"/>
  <c r="BH41" i="1"/>
  <c r="BI41" i="1"/>
  <c r="BJ41" i="1"/>
  <c r="I42" i="1"/>
  <c r="J42" i="1"/>
  <c r="K42" i="1"/>
  <c r="AS42" i="1"/>
  <c r="AT42" i="1"/>
  <c r="AU42" i="1"/>
  <c r="I43" i="1"/>
  <c r="J43" i="1"/>
  <c r="K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I44" i="1"/>
  <c r="J44" i="1"/>
  <c r="K44" i="1"/>
  <c r="Z44" i="1"/>
  <c r="AB44" i="1"/>
  <c r="AC44" i="1"/>
  <c r="AD44" i="1"/>
  <c r="AE44" i="1"/>
  <c r="AF44" i="1"/>
  <c r="AG44" i="1"/>
  <c r="AH44" i="1"/>
  <c r="AJ44" i="1"/>
  <c r="AK44" i="1"/>
  <c r="AL44" i="1"/>
  <c r="AO44" i="1"/>
  <c r="AP44" i="1"/>
  <c r="AV44" i="1"/>
  <c r="AW44" i="1"/>
  <c r="AX44" i="1"/>
  <c r="BC44" i="1"/>
  <c r="BD44" i="1"/>
  <c r="BF44" i="1"/>
  <c r="BH44" i="1"/>
  <c r="BI44" i="1"/>
  <c r="BJ44" i="1"/>
  <c r="I45" i="1"/>
  <c r="J45" i="1"/>
  <c r="K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I46" i="1"/>
  <c r="J46" i="1"/>
  <c r="K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I47" i="1"/>
  <c r="J47" i="1"/>
  <c r="K47" i="1"/>
  <c r="Z47" i="1"/>
  <c r="AB47" i="1"/>
  <c r="AC47" i="1"/>
  <c r="AD47" i="1"/>
  <c r="AE47" i="1"/>
  <c r="AF47" i="1"/>
  <c r="AG47" i="1"/>
  <c r="AH47" i="1"/>
  <c r="AJ47" i="1"/>
  <c r="AK47" i="1"/>
  <c r="AL47" i="1"/>
  <c r="AO47" i="1"/>
  <c r="AP47" i="1"/>
  <c r="AV47" i="1"/>
  <c r="AW47" i="1"/>
  <c r="AX47" i="1"/>
  <c r="BC47" i="1"/>
  <c r="BD47" i="1"/>
  <c r="BF47" i="1"/>
  <c r="BH47" i="1"/>
  <c r="BI47" i="1"/>
  <c r="BJ47" i="1"/>
  <c r="I48" i="1"/>
  <c r="J48" i="1"/>
  <c r="K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I49" i="1"/>
  <c r="J49" i="1"/>
  <c r="K49" i="1"/>
  <c r="AS49" i="1"/>
  <c r="AT49" i="1"/>
  <c r="AU49" i="1"/>
  <c r="I50" i="1"/>
  <c r="J50" i="1"/>
  <c r="K50" i="1"/>
  <c r="Z50" i="1"/>
  <c r="AB50" i="1"/>
  <c r="AC50" i="1"/>
  <c r="AD50" i="1"/>
  <c r="AE50" i="1"/>
  <c r="AF50" i="1"/>
  <c r="AG50" i="1"/>
  <c r="AH50" i="1"/>
  <c r="AJ50" i="1"/>
  <c r="AK50" i="1"/>
  <c r="AL50" i="1"/>
  <c r="AO50" i="1"/>
  <c r="AP50" i="1"/>
  <c r="AV50" i="1"/>
  <c r="AW50" i="1"/>
  <c r="AX50" i="1"/>
  <c r="BC50" i="1"/>
  <c r="BD50" i="1"/>
  <c r="BF50" i="1"/>
  <c r="BH50" i="1"/>
  <c r="BI50" i="1"/>
  <c r="BJ50" i="1"/>
  <c r="I51" i="1"/>
  <c r="J51" i="1"/>
  <c r="K51" i="1"/>
  <c r="AS51" i="1"/>
  <c r="AT51" i="1"/>
  <c r="AU51" i="1"/>
  <c r="I52" i="1"/>
  <c r="J52" i="1"/>
  <c r="K52" i="1"/>
  <c r="Z52" i="1"/>
  <c r="AB52" i="1"/>
  <c r="AC52" i="1"/>
  <c r="AD52" i="1"/>
  <c r="AE52" i="1"/>
  <c r="AF52" i="1"/>
  <c r="AG52" i="1"/>
  <c r="AH52" i="1"/>
  <c r="AJ52" i="1"/>
  <c r="AK52" i="1"/>
  <c r="AL52" i="1"/>
  <c r="AO52" i="1"/>
  <c r="AP52" i="1"/>
  <c r="AV52" i="1"/>
  <c r="AW52" i="1"/>
  <c r="AX52" i="1"/>
  <c r="BC52" i="1"/>
  <c r="BD52" i="1"/>
  <c r="BF52" i="1"/>
  <c r="BH52" i="1"/>
  <c r="BI52" i="1"/>
  <c r="BJ52" i="1"/>
  <c r="I53" i="1"/>
  <c r="J53" i="1"/>
  <c r="K53" i="1"/>
  <c r="Z53" i="1"/>
  <c r="AB53" i="1"/>
  <c r="AC53" i="1"/>
  <c r="AD53" i="1"/>
  <c r="AE53" i="1"/>
  <c r="AF53" i="1"/>
  <c r="AG53" i="1"/>
  <c r="AH53" i="1"/>
  <c r="AJ53" i="1"/>
  <c r="AK53" i="1"/>
  <c r="AL53" i="1"/>
  <c r="AO53" i="1"/>
  <c r="AP53" i="1"/>
  <c r="AV53" i="1"/>
  <c r="AW53" i="1"/>
  <c r="AX53" i="1"/>
  <c r="BC53" i="1"/>
  <c r="BD53" i="1"/>
  <c r="BF53" i="1"/>
  <c r="BH53" i="1"/>
  <c r="BI53" i="1"/>
  <c r="BJ53" i="1"/>
  <c r="I54" i="1"/>
  <c r="J54" i="1"/>
  <c r="K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I55" i="1"/>
  <c r="J55" i="1"/>
  <c r="K55" i="1"/>
  <c r="Z55" i="1"/>
  <c r="AB55" i="1"/>
  <c r="AC55" i="1"/>
  <c r="AD55" i="1"/>
  <c r="AE55" i="1"/>
  <c r="AF55" i="1"/>
  <c r="AG55" i="1"/>
  <c r="AH55" i="1"/>
  <c r="AJ55" i="1"/>
  <c r="AK55" i="1"/>
  <c r="AL55" i="1"/>
  <c r="AO55" i="1"/>
  <c r="AP55" i="1"/>
  <c r="AV55" i="1"/>
  <c r="AW55" i="1"/>
  <c r="AX55" i="1"/>
  <c r="BC55" i="1"/>
  <c r="BD55" i="1"/>
  <c r="BF55" i="1"/>
  <c r="BH55" i="1"/>
  <c r="BI55" i="1"/>
  <c r="BJ55" i="1"/>
  <c r="I56" i="1"/>
  <c r="J56" i="1"/>
  <c r="K56" i="1"/>
  <c r="AS56" i="1"/>
  <c r="AT56" i="1"/>
  <c r="AU56" i="1"/>
  <c r="I57" i="1"/>
  <c r="J57" i="1"/>
  <c r="K57" i="1"/>
  <c r="Z57" i="1"/>
  <c r="AB57" i="1"/>
  <c r="AC57" i="1"/>
  <c r="AD57" i="1"/>
  <c r="AE57" i="1"/>
  <c r="AF57" i="1"/>
  <c r="AG57" i="1"/>
  <c r="AH57" i="1"/>
  <c r="AJ57" i="1"/>
  <c r="AK57" i="1"/>
  <c r="AL57" i="1"/>
  <c r="AO57" i="1"/>
  <c r="AP57" i="1"/>
  <c r="AV57" i="1"/>
  <c r="AW57" i="1"/>
  <c r="AX57" i="1"/>
  <c r="BC57" i="1"/>
  <c r="BD57" i="1"/>
  <c r="BF57" i="1"/>
  <c r="BH57" i="1"/>
  <c r="BI57" i="1"/>
  <c r="BJ57" i="1"/>
  <c r="I58" i="1"/>
  <c r="J58" i="1"/>
  <c r="K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I59" i="1"/>
  <c r="J59" i="1"/>
  <c r="K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I60" i="1"/>
  <c r="J60" i="1"/>
  <c r="K60" i="1"/>
  <c r="AS60" i="1"/>
  <c r="AT60" i="1"/>
  <c r="AU60" i="1"/>
  <c r="I61" i="1"/>
  <c r="J61" i="1"/>
  <c r="K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I62" i="1"/>
  <c r="J62" i="1"/>
  <c r="K62" i="1"/>
  <c r="Z62" i="1"/>
  <c r="AB62" i="1"/>
  <c r="AC62" i="1"/>
  <c r="AD62" i="1"/>
  <c r="AE62" i="1"/>
  <c r="AF62" i="1"/>
  <c r="AG62" i="1"/>
  <c r="AH62" i="1"/>
  <c r="AJ62" i="1"/>
  <c r="AK62" i="1"/>
  <c r="AL62" i="1"/>
  <c r="AO62" i="1"/>
  <c r="AP62" i="1"/>
  <c r="AV62" i="1"/>
  <c r="AW62" i="1"/>
  <c r="AX62" i="1"/>
  <c r="BC62" i="1"/>
  <c r="BD62" i="1"/>
  <c r="BF62" i="1"/>
  <c r="BH62" i="1"/>
  <c r="BI62" i="1"/>
  <c r="BJ62" i="1"/>
  <c r="I63" i="1"/>
  <c r="J63" i="1"/>
  <c r="K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I64" i="1"/>
  <c r="J64" i="1"/>
  <c r="K64" i="1"/>
  <c r="Z64" i="1"/>
  <c r="AB64" i="1"/>
  <c r="AC64" i="1"/>
  <c r="AD64" i="1"/>
  <c r="AE64" i="1"/>
  <c r="AF64" i="1"/>
  <c r="AG64" i="1"/>
  <c r="AH64" i="1"/>
  <c r="AJ64" i="1"/>
  <c r="AK64" i="1"/>
  <c r="AL64" i="1"/>
  <c r="AO64" i="1"/>
  <c r="AP64" i="1"/>
  <c r="AV64" i="1"/>
  <c r="AW64" i="1"/>
  <c r="AX64" i="1"/>
  <c r="BC64" i="1"/>
  <c r="BD64" i="1"/>
  <c r="BF64" i="1"/>
  <c r="BH64" i="1"/>
  <c r="BI64" i="1"/>
  <c r="BJ64" i="1"/>
  <c r="I65" i="1"/>
  <c r="J65" i="1"/>
  <c r="K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V65" i="1"/>
  <c r="AW65" i="1"/>
  <c r="AX65" i="1"/>
  <c r="BC65" i="1"/>
  <c r="BD65" i="1"/>
  <c r="BF65" i="1"/>
  <c r="BH65" i="1"/>
  <c r="BI65" i="1"/>
  <c r="BJ65" i="1"/>
  <c r="I66" i="1"/>
  <c r="J66" i="1"/>
  <c r="K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I67" i="1"/>
  <c r="J67" i="1"/>
  <c r="K67" i="1"/>
  <c r="Z67" i="1"/>
  <c r="AB67" i="1"/>
  <c r="AC67" i="1"/>
  <c r="AD67" i="1"/>
  <c r="AE67" i="1"/>
  <c r="AF67" i="1"/>
  <c r="AG67" i="1"/>
  <c r="AH67" i="1"/>
  <c r="AJ67" i="1"/>
  <c r="AK67" i="1"/>
  <c r="AL67" i="1"/>
  <c r="AO67" i="1"/>
  <c r="AP67" i="1"/>
  <c r="AV67" i="1"/>
  <c r="AW67" i="1"/>
  <c r="AX67" i="1"/>
  <c r="BC67" i="1"/>
  <c r="BD67" i="1"/>
  <c r="BF67" i="1"/>
  <c r="BH67" i="1"/>
  <c r="BI67" i="1"/>
  <c r="BJ67" i="1"/>
  <c r="I68" i="1"/>
  <c r="J68" i="1"/>
  <c r="K68" i="1"/>
  <c r="Z68" i="1"/>
  <c r="AB68" i="1"/>
  <c r="AC68" i="1"/>
  <c r="AD68" i="1"/>
  <c r="AE68" i="1"/>
  <c r="AF68" i="1"/>
  <c r="AG68" i="1"/>
  <c r="AH68" i="1"/>
  <c r="AJ68" i="1"/>
  <c r="AK68" i="1"/>
  <c r="AL68" i="1"/>
  <c r="AO68" i="1"/>
  <c r="AP68" i="1"/>
  <c r="AV68" i="1"/>
  <c r="AW68" i="1"/>
  <c r="AX68" i="1"/>
  <c r="BC68" i="1"/>
  <c r="BD68" i="1"/>
  <c r="BF68" i="1"/>
  <c r="BH68" i="1"/>
  <c r="BI68" i="1"/>
  <c r="BJ68" i="1"/>
  <c r="I69" i="1"/>
  <c r="J69" i="1"/>
  <c r="K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I70" i="1"/>
  <c r="J70" i="1"/>
  <c r="K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I71" i="1"/>
  <c r="J71" i="1"/>
  <c r="K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I72" i="1"/>
  <c r="J72" i="1"/>
  <c r="K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I73" i="1"/>
  <c r="J73" i="1"/>
  <c r="K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I74" i="1"/>
  <c r="J74" i="1"/>
  <c r="K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I75" i="1"/>
  <c r="J75" i="1"/>
  <c r="K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I76" i="1"/>
  <c r="J76" i="1"/>
  <c r="K76" i="1"/>
  <c r="Z76" i="1"/>
  <c r="AB76" i="1"/>
  <c r="AC76" i="1"/>
  <c r="AD76" i="1"/>
  <c r="AE76" i="1"/>
  <c r="AF76" i="1"/>
  <c r="AG76" i="1"/>
  <c r="AH76" i="1"/>
  <c r="AJ76" i="1"/>
  <c r="AK76" i="1"/>
  <c r="AL76" i="1"/>
  <c r="AO76" i="1"/>
  <c r="AP76" i="1"/>
  <c r="AV76" i="1"/>
  <c r="AW76" i="1"/>
  <c r="AX76" i="1"/>
  <c r="BC76" i="1"/>
  <c r="BD76" i="1"/>
  <c r="BF76" i="1"/>
  <c r="BH76" i="1"/>
  <c r="BI76" i="1"/>
  <c r="BJ76" i="1"/>
  <c r="I77" i="1"/>
  <c r="J77" i="1"/>
  <c r="K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I78" i="1"/>
  <c r="J78" i="1"/>
  <c r="K78" i="1"/>
  <c r="Z78" i="1"/>
  <c r="AB78" i="1"/>
  <c r="AC78" i="1"/>
  <c r="AD78" i="1"/>
  <c r="AE78" i="1"/>
  <c r="AF78" i="1"/>
  <c r="AG78" i="1"/>
  <c r="AH78" i="1"/>
  <c r="AJ78" i="1"/>
  <c r="AK78" i="1"/>
  <c r="AL78" i="1"/>
  <c r="AO78" i="1"/>
  <c r="AP78" i="1"/>
  <c r="AV78" i="1"/>
  <c r="AW78" i="1"/>
  <c r="AX78" i="1"/>
  <c r="BC78" i="1"/>
  <c r="BD78" i="1"/>
  <c r="BF78" i="1"/>
  <c r="BH78" i="1"/>
  <c r="BI78" i="1"/>
  <c r="BJ78" i="1"/>
  <c r="I79" i="1"/>
  <c r="J79" i="1"/>
  <c r="K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I80" i="1"/>
  <c r="J80" i="1"/>
  <c r="K80" i="1"/>
  <c r="Z80" i="1"/>
  <c r="AB80" i="1"/>
  <c r="AC80" i="1"/>
  <c r="AD80" i="1"/>
  <c r="AE80" i="1"/>
  <c r="AF80" i="1"/>
  <c r="AG80" i="1"/>
  <c r="AH80" i="1"/>
  <c r="AJ80" i="1"/>
  <c r="AK80" i="1"/>
  <c r="AL80" i="1"/>
  <c r="AO80" i="1"/>
  <c r="AP80" i="1"/>
  <c r="AV80" i="1"/>
  <c r="AW80" i="1"/>
  <c r="AX80" i="1"/>
  <c r="BC80" i="1"/>
  <c r="BD80" i="1"/>
  <c r="BF80" i="1"/>
  <c r="BH80" i="1"/>
  <c r="BI80" i="1"/>
  <c r="BJ80" i="1"/>
  <c r="I81" i="1"/>
  <c r="J81" i="1"/>
  <c r="K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I82" i="1"/>
  <c r="J82" i="1"/>
  <c r="K82" i="1"/>
  <c r="Z82" i="1"/>
  <c r="AB82" i="1"/>
  <c r="AC82" i="1"/>
  <c r="AD82" i="1"/>
  <c r="AE82" i="1"/>
  <c r="AF82" i="1"/>
  <c r="AG82" i="1"/>
  <c r="AH82" i="1"/>
  <c r="AJ82" i="1"/>
  <c r="AK82" i="1"/>
  <c r="AL82" i="1"/>
  <c r="AO82" i="1"/>
  <c r="AP82" i="1"/>
  <c r="AV82" i="1"/>
  <c r="AW82" i="1"/>
  <c r="AX82" i="1"/>
  <c r="BC82" i="1"/>
  <c r="BD82" i="1"/>
  <c r="BF82" i="1"/>
  <c r="BH82" i="1"/>
  <c r="BI82" i="1"/>
  <c r="BJ82" i="1"/>
  <c r="I83" i="1"/>
  <c r="J83" i="1"/>
  <c r="K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I84" i="1"/>
  <c r="J84" i="1"/>
  <c r="K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I85" i="1"/>
  <c r="J85" i="1"/>
  <c r="K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I86" i="1"/>
  <c r="J86" i="1"/>
  <c r="K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I87" i="1"/>
  <c r="J87" i="1"/>
  <c r="K87" i="1"/>
  <c r="Z87" i="1"/>
  <c r="AB87" i="1"/>
  <c r="AC87" i="1"/>
  <c r="AD87" i="1"/>
  <c r="AE87" i="1"/>
  <c r="AF87" i="1"/>
  <c r="AG87" i="1"/>
  <c r="AH87" i="1"/>
  <c r="AJ87" i="1"/>
  <c r="AK87" i="1"/>
  <c r="AL87" i="1"/>
  <c r="AO87" i="1"/>
  <c r="AP87" i="1"/>
  <c r="AV87" i="1"/>
  <c r="AW87" i="1"/>
  <c r="AX87" i="1"/>
  <c r="BC87" i="1"/>
  <c r="BD87" i="1"/>
  <c r="BF87" i="1"/>
  <c r="BH87" i="1"/>
  <c r="BI87" i="1"/>
  <c r="BJ87" i="1"/>
  <c r="I88" i="1"/>
  <c r="J88" i="1"/>
  <c r="K88" i="1"/>
  <c r="AS88" i="1"/>
  <c r="AT88" i="1"/>
  <c r="AU88" i="1"/>
  <c r="I89" i="1"/>
  <c r="J89" i="1"/>
  <c r="K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I90" i="1"/>
  <c r="J90" i="1"/>
  <c r="K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I91" i="1"/>
  <c r="J91" i="1"/>
  <c r="K91" i="1"/>
  <c r="AS91" i="1"/>
  <c r="AT91" i="1"/>
  <c r="AU91" i="1"/>
  <c r="I92" i="1"/>
  <c r="J92" i="1"/>
  <c r="K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I93" i="1"/>
  <c r="J93" i="1"/>
  <c r="K93" i="1"/>
  <c r="AS93" i="1"/>
  <c r="AT93" i="1"/>
  <c r="AU93" i="1"/>
  <c r="I94" i="1"/>
  <c r="J94" i="1"/>
  <c r="K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I95" i="1"/>
  <c r="J95" i="1"/>
  <c r="K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I96" i="1"/>
  <c r="J96" i="1"/>
  <c r="K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I97" i="1"/>
  <c r="J97" i="1"/>
  <c r="K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I98" i="1"/>
  <c r="J98" i="1"/>
  <c r="K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I99" i="1"/>
  <c r="J99" i="1"/>
  <c r="K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I100" i="1"/>
  <c r="J100" i="1"/>
  <c r="K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I101" i="1"/>
  <c r="J101" i="1"/>
  <c r="K101" i="1"/>
  <c r="Z101" i="1"/>
  <c r="AB101" i="1"/>
  <c r="AC101" i="1"/>
  <c r="AD101" i="1"/>
  <c r="AE101" i="1"/>
  <c r="AF101" i="1"/>
  <c r="AG101" i="1"/>
  <c r="AH101" i="1"/>
  <c r="AJ101" i="1"/>
  <c r="AK101" i="1"/>
  <c r="AL101" i="1"/>
  <c r="AO101" i="1"/>
  <c r="AP101" i="1"/>
  <c r="AV101" i="1"/>
  <c r="AW101" i="1"/>
  <c r="AX101" i="1"/>
  <c r="BC101" i="1"/>
  <c r="BD101" i="1"/>
  <c r="BF101" i="1"/>
  <c r="BH101" i="1"/>
  <c r="BI101" i="1"/>
  <c r="BJ101" i="1"/>
  <c r="I102" i="1"/>
  <c r="J102" i="1"/>
  <c r="K102" i="1"/>
  <c r="AS102" i="1"/>
  <c r="AT102" i="1"/>
  <c r="AU102" i="1"/>
  <c r="I103" i="1"/>
  <c r="J103" i="1"/>
  <c r="K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I104" i="1"/>
  <c r="J104" i="1"/>
  <c r="K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I105" i="1"/>
  <c r="J105" i="1"/>
  <c r="K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I106" i="1"/>
  <c r="J106" i="1"/>
  <c r="K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I107" i="1"/>
  <c r="J107" i="1"/>
  <c r="K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I108" i="1"/>
  <c r="J108" i="1"/>
  <c r="K108" i="1"/>
  <c r="Z108" i="1"/>
  <c r="AB108" i="1"/>
  <c r="AC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AX108" i="1"/>
  <c r="BC108" i="1"/>
  <c r="BD108" i="1"/>
  <c r="BF108" i="1"/>
  <c r="BH108" i="1"/>
  <c r="BI108" i="1"/>
  <c r="BJ108" i="1"/>
  <c r="I109" i="1"/>
  <c r="J109" i="1"/>
  <c r="K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I110" i="1"/>
  <c r="J110" i="1"/>
  <c r="K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I111" i="1"/>
  <c r="J111" i="1"/>
  <c r="K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I112" i="1"/>
  <c r="J112" i="1"/>
  <c r="K112" i="1"/>
  <c r="Z112" i="1"/>
  <c r="AB112" i="1"/>
  <c r="AC112" i="1"/>
  <c r="AD112" i="1"/>
  <c r="AE112" i="1"/>
  <c r="AF112" i="1"/>
  <c r="AG112" i="1"/>
  <c r="AH112" i="1"/>
  <c r="AJ112" i="1"/>
  <c r="AK112" i="1"/>
  <c r="AL112" i="1"/>
  <c r="AO112" i="1"/>
  <c r="AP112" i="1"/>
  <c r="AV112" i="1"/>
  <c r="AW112" i="1"/>
  <c r="AX112" i="1"/>
  <c r="BC112" i="1"/>
  <c r="BD112" i="1"/>
  <c r="BF112" i="1"/>
  <c r="BH112" i="1"/>
  <c r="BI112" i="1"/>
  <c r="BJ112" i="1"/>
  <c r="I113" i="1"/>
  <c r="J113" i="1"/>
  <c r="K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I114" i="1"/>
  <c r="J114" i="1"/>
  <c r="K114" i="1"/>
  <c r="Z114" i="1"/>
  <c r="AB114" i="1"/>
  <c r="AC114" i="1"/>
  <c r="AD114" i="1"/>
  <c r="AE114" i="1"/>
  <c r="AF114" i="1"/>
  <c r="AG114" i="1"/>
  <c r="AH114" i="1"/>
  <c r="AJ114" i="1"/>
  <c r="AK114" i="1"/>
  <c r="AL114" i="1"/>
  <c r="AO114" i="1"/>
  <c r="AP114" i="1"/>
  <c r="AV114" i="1"/>
  <c r="AW114" i="1"/>
  <c r="AX114" i="1"/>
  <c r="BC114" i="1"/>
  <c r="BD114" i="1"/>
  <c r="BF114" i="1"/>
  <c r="BH114" i="1"/>
  <c r="BI114" i="1"/>
  <c r="BJ114" i="1"/>
  <c r="I115" i="1"/>
  <c r="J115" i="1"/>
  <c r="K115" i="1"/>
  <c r="AS115" i="1"/>
  <c r="AT115" i="1"/>
  <c r="AU115" i="1"/>
  <c r="I116" i="1"/>
  <c r="J116" i="1"/>
  <c r="K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I117" i="1"/>
  <c r="J117" i="1"/>
  <c r="K117" i="1"/>
  <c r="Z117" i="1"/>
  <c r="AB117" i="1"/>
  <c r="AC117" i="1"/>
  <c r="AD117" i="1"/>
  <c r="AE117" i="1"/>
  <c r="AF117" i="1"/>
  <c r="AG117" i="1"/>
  <c r="AH117" i="1"/>
  <c r="AJ117" i="1"/>
  <c r="AK117" i="1"/>
  <c r="AL117" i="1"/>
  <c r="AO117" i="1"/>
  <c r="AP117" i="1"/>
  <c r="AV117" i="1"/>
  <c r="AW117" i="1"/>
  <c r="AX117" i="1"/>
  <c r="BC117" i="1"/>
  <c r="BD117" i="1"/>
  <c r="BF117" i="1"/>
  <c r="BH117" i="1"/>
  <c r="BI117" i="1"/>
  <c r="BJ117" i="1"/>
  <c r="I118" i="1"/>
  <c r="J118" i="1"/>
  <c r="K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I119" i="1"/>
  <c r="J119" i="1"/>
  <c r="K119" i="1"/>
  <c r="Z119" i="1"/>
  <c r="AB119" i="1"/>
  <c r="AC119" i="1"/>
  <c r="AD119" i="1"/>
  <c r="AE119" i="1"/>
  <c r="AF119" i="1"/>
  <c r="AG119" i="1"/>
  <c r="AH119" i="1"/>
  <c r="AJ119" i="1"/>
  <c r="AK119" i="1"/>
  <c r="AL119" i="1"/>
  <c r="AO119" i="1"/>
  <c r="AP119" i="1"/>
  <c r="AV119" i="1"/>
  <c r="AW119" i="1"/>
  <c r="AX119" i="1"/>
  <c r="BC119" i="1"/>
  <c r="BD119" i="1"/>
  <c r="BF119" i="1"/>
  <c r="BH119" i="1"/>
  <c r="BI119" i="1"/>
  <c r="BJ119" i="1"/>
  <c r="I120" i="1"/>
  <c r="J120" i="1"/>
  <c r="K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I121" i="1"/>
  <c r="J121" i="1"/>
  <c r="K121" i="1"/>
  <c r="Z121" i="1"/>
  <c r="AB121" i="1"/>
  <c r="AC121" i="1"/>
  <c r="AD121" i="1"/>
  <c r="AE121" i="1"/>
  <c r="AF121" i="1"/>
  <c r="AG121" i="1"/>
  <c r="AH121" i="1"/>
  <c r="AJ121" i="1"/>
  <c r="AK121" i="1"/>
  <c r="AL121" i="1"/>
  <c r="AO121" i="1"/>
  <c r="AP121" i="1"/>
  <c r="AV121" i="1"/>
  <c r="AW121" i="1"/>
  <c r="AX121" i="1"/>
  <c r="BC121" i="1"/>
  <c r="BD121" i="1"/>
  <c r="BF121" i="1"/>
  <c r="BH121" i="1"/>
  <c r="BI121" i="1"/>
  <c r="BJ121" i="1"/>
  <c r="I122" i="1"/>
  <c r="J122" i="1"/>
  <c r="K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I123" i="1"/>
  <c r="J123" i="1"/>
  <c r="K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I124" i="1"/>
  <c r="J124" i="1"/>
  <c r="K124" i="1"/>
  <c r="Z124" i="1"/>
  <c r="AB124" i="1"/>
  <c r="AC124" i="1"/>
  <c r="AD124" i="1"/>
  <c r="AE124" i="1"/>
  <c r="AF124" i="1"/>
  <c r="AG124" i="1"/>
  <c r="AH124" i="1"/>
  <c r="AJ124" i="1"/>
  <c r="AK124" i="1"/>
  <c r="AL124" i="1"/>
  <c r="AO124" i="1"/>
  <c r="AP124" i="1"/>
  <c r="AV124" i="1"/>
  <c r="AW124" i="1"/>
  <c r="AX124" i="1"/>
  <c r="BC124" i="1"/>
  <c r="BD124" i="1"/>
  <c r="BF124" i="1"/>
  <c r="BH124" i="1"/>
  <c r="BI124" i="1"/>
  <c r="BJ124" i="1"/>
  <c r="I125" i="1"/>
  <c r="J125" i="1"/>
  <c r="K125" i="1"/>
  <c r="Z125" i="1"/>
  <c r="AB125" i="1"/>
  <c r="AC125" i="1"/>
  <c r="AD125" i="1"/>
  <c r="AE125" i="1"/>
  <c r="AF125" i="1"/>
  <c r="AG125" i="1"/>
  <c r="AH125" i="1"/>
  <c r="AJ125" i="1"/>
  <c r="AK125" i="1"/>
  <c r="AL125" i="1"/>
  <c r="AO125" i="1"/>
  <c r="AP125" i="1"/>
  <c r="AV125" i="1"/>
  <c r="AW125" i="1"/>
  <c r="AX125" i="1"/>
  <c r="BC125" i="1"/>
  <c r="BD125" i="1"/>
  <c r="BF125" i="1"/>
  <c r="BH125" i="1"/>
  <c r="BI125" i="1"/>
  <c r="BJ125" i="1"/>
  <c r="I126" i="1"/>
  <c r="J126" i="1"/>
  <c r="K126" i="1"/>
  <c r="Z126" i="1"/>
  <c r="AB126" i="1"/>
  <c r="AC126" i="1"/>
  <c r="AD126" i="1"/>
  <c r="AE126" i="1"/>
  <c r="AF126" i="1"/>
  <c r="AG126" i="1"/>
  <c r="AH126" i="1"/>
  <c r="AJ126" i="1"/>
  <c r="AK126" i="1"/>
  <c r="AL126" i="1"/>
  <c r="AO126" i="1"/>
  <c r="AP126" i="1"/>
  <c r="AV126" i="1"/>
  <c r="AW126" i="1"/>
  <c r="AX126" i="1"/>
  <c r="BC126" i="1"/>
  <c r="BD126" i="1"/>
  <c r="BF126" i="1"/>
  <c r="BH126" i="1"/>
  <c r="BI126" i="1"/>
  <c r="BJ126" i="1"/>
  <c r="I127" i="1"/>
  <c r="J127" i="1"/>
  <c r="K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I128" i="1"/>
  <c r="J128" i="1"/>
  <c r="K128" i="1"/>
  <c r="Z128" i="1"/>
  <c r="AB128" i="1"/>
  <c r="AC128" i="1"/>
  <c r="AD128" i="1"/>
  <c r="AE128" i="1"/>
  <c r="AF128" i="1"/>
  <c r="AG128" i="1"/>
  <c r="AH128" i="1"/>
  <c r="AJ128" i="1"/>
  <c r="AK128" i="1"/>
  <c r="AL128" i="1"/>
  <c r="AO128" i="1"/>
  <c r="AP128" i="1"/>
  <c r="AV128" i="1"/>
  <c r="AW128" i="1"/>
  <c r="AX128" i="1"/>
  <c r="BC128" i="1"/>
  <c r="BD128" i="1"/>
  <c r="BF128" i="1"/>
  <c r="BH128" i="1"/>
  <c r="BI128" i="1"/>
  <c r="BJ128" i="1"/>
  <c r="I129" i="1"/>
  <c r="J129" i="1"/>
  <c r="K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I130" i="1"/>
  <c r="J130" i="1"/>
  <c r="K130" i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V130" i="1"/>
  <c r="AW130" i="1"/>
  <c r="AX130" i="1"/>
  <c r="BC130" i="1"/>
  <c r="BD130" i="1"/>
  <c r="BF130" i="1"/>
  <c r="BH130" i="1"/>
  <c r="BI130" i="1"/>
  <c r="BJ130" i="1"/>
  <c r="I131" i="1"/>
  <c r="J131" i="1"/>
  <c r="K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I132" i="1"/>
  <c r="J132" i="1"/>
  <c r="K132" i="1"/>
  <c r="Z132" i="1"/>
  <c r="AB132" i="1"/>
  <c r="AC132" i="1"/>
  <c r="AD132" i="1"/>
  <c r="AE132" i="1"/>
  <c r="AF132" i="1"/>
  <c r="AG132" i="1"/>
  <c r="AH132" i="1"/>
  <c r="AJ132" i="1"/>
  <c r="AK132" i="1"/>
  <c r="AL132" i="1"/>
  <c r="AO132" i="1"/>
  <c r="AP132" i="1"/>
  <c r="AV132" i="1"/>
  <c r="AW132" i="1"/>
  <c r="AX132" i="1"/>
  <c r="BC132" i="1"/>
  <c r="BD132" i="1"/>
  <c r="BF132" i="1"/>
  <c r="BH132" i="1"/>
  <c r="BI132" i="1"/>
  <c r="BJ132" i="1"/>
  <c r="I133" i="1"/>
  <c r="J133" i="1"/>
  <c r="K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I134" i="1"/>
  <c r="J134" i="1"/>
  <c r="K134" i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V134" i="1"/>
  <c r="AW134" i="1"/>
  <c r="AX134" i="1"/>
  <c r="BC134" i="1"/>
  <c r="BD134" i="1"/>
  <c r="BF134" i="1"/>
  <c r="BH134" i="1"/>
  <c r="BI134" i="1"/>
  <c r="BJ134" i="1"/>
  <c r="I135" i="1"/>
  <c r="J135" i="1"/>
  <c r="K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I136" i="1"/>
  <c r="J136" i="1"/>
  <c r="K136" i="1"/>
  <c r="Z136" i="1"/>
  <c r="AB136" i="1"/>
  <c r="AC136" i="1"/>
  <c r="AD136" i="1"/>
  <c r="AE136" i="1"/>
  <c r="AF136" i="1"/>
  <c r="AG136" i="1"/>
  <c r="AH136" i="1"/>
  <c r="AJ136" i="1"/>
  <c r="AK136" i="1"/>
  <c r="AL136" i="1"/>
  <c r="AO136" i="1"/>
  <c r="AP136" i="1"/>
  <c r="AV136" i="1"/>
  <c r="AW136" i="1"/>
  <c r="AX136" i="1"/>
  <c r="BC136" i="1"/>
  <c r="BD136" i="1"/>
  <c r="BF136" i="1"/>
  <c r="BH136" i="1"/>
  <c r="BI136" i="1"/>
  <c r="BJ136" i="1"/>
  <c r="I137" i="1"/>
  <c r="J137" i="1"/>
  <c r="K137" i="1"/>
  <c r="Z137" i="1"/>
  <c r="AB137" i="1"/>
  <c r="AC137" i="1"/>
  <c r="AD137" i="1"/>
  <c r="AE137" i="1"/>
  <c r="AF137" i="1"/>
  <c r="AG137" i="1"/>
  <c r="AH137" i="1"/>
  <c r="AJ137" i="1"/>
  <c r="AK137" i="1"/>
  <c r="AL137" i="1"/>
  <c r="AO137" i="1"/>
  <c r="AP137" i="1"/>
  <c r="AV137" i="1"/>
  <c r="AW137" i="1"/>
  <c r="AX137" i="1"/>
  <c r="BC137" i="1"/>
  <c r="BD137" i="1"/>
  <c r="BF137" i="1"/>
  <c r="BH137" i="1"/>
  <c r="BI137" i="1"/>
  <c r="BJ137" i="1"/>
  <c r="I138" i="1"/>
  <c r="J138" i="1"/>
  <c r="K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I139" i="1"/>
  <c r="J139" i="1"/>
  <c r="K139" i="1"/>
  <c r="AS139" i="1"/>
  <c r="AT139" i="1"/>
  <c r="AU139" i="1"/>
  <c r="I140" i="1"/>
  <c r="J140" i="1"/>
  <c r="K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I141" i="1"/>
  <c r="J141" i="1"/>
  <c r="K141" i="1"/>
  <c r="Z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V141" i="1"/>
  <c r="AW141" i="1"/>
  <c r="AX141" i="1"/>
  <c r="BC141" i="1"/>
  <c r="BD141" i="1"/>
  <c r="BF141" i="1"/>
  <c r="BH141" i="1"/>
  <c r="BI141" i="1"/>
  <c r="BJ141" i="1"/>
  <c r="I142" i="1"/>
  <c r="J142" i="1"/>
  <c r="K142" i="1"/>
  <c r="Z142" i="1"/>
  <c r="AB142" i="1"/>
  <c r="AC142" i="1"/>
  <c r="AD142" i="1"/>
  <c r="AE142" i="1"/>
  <c r="AF142" i="1"/>
  <c r="AG142" i="1"/>
  <c r="AH142" i="1"/>
  <c r="AJ142" i="1"/>
  <c r="AK142" i="1"/>
  <c r="AL142" i="1"/>
  <c r="AO142" i="1"/>
  <c r="AP142" i="1"/>
  <c r="AV142" i="1"/>
  <c r="AW142" i="1"/>
  <c r="AX142" i="1"/>
  <c r="BC142" i="1"/>
  <c r="BD142" i="1"/>
  <c r="BF142" i="1"/>
  <c r="BH142" i="1"/>
  <c r="BI142" i="1"/>
  <c r="BJ142" i="1"/>
  <c r="I143" i="1"/>
  <c r="J143" i="1"/>
  <c r="K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I144" i="1"/>
  <c r="J144" i="1"/>
  <c r="K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I145" i="1"/>
  <c r="J145" i="1"/>
  <c r="K145" i="1"/>
  <c r="Z145" i="1"/>
  <c r="AB145" i="1"/>
  <c r="AC145" i="1"/>
  <c r="AD145" i="1"/>
  <c r="AE145" i="1"/>
  <c r="AF145" i="1"/>
  <c r="AG145" i="1"/>
  <c r="AH145" i="1"/>
  <c r="AJ145" i="1"/>
  <c r="AK145" i="1"/>
  <c r="AL145" i="1"/>
  <c r="AO145" i="1"/>
  <c r="AP145" i="1"/>
  <c r="AV145" i="1"/>
  <c r="AW145" i="1"/>
  <c r="AX145" i="1"/>
  <c r="BC145" i="1"/>
  <c r="BD145" i="1"/>
  <c r="BF145" i="1"/>
  <c r="BH145" i="1"/>
  <c r="BI145" i="1"/>
  <c r="BJ145" i="1"/>
  <c r="I146" i="1"/>
  <c r="J146" i="1"/>
  <c r="K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I147" i="1"/>
  <c r="J147" i="1"/>
  <c r="K147" i="1"/>
  <c r="Z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V147" i="1"/>
  <c r="AW147" i="1"/>
  <c r="AX147" i="1"/>
  <c r="BC147" i="1"/>
  <c r="BD147" i="1"/>
  <c r="BF147" i="1"/>
  <c r="BH147" i="1"/>
  <c r="BI147" i="1"/>
  <c r="BJ147" i="1"/>
  <c r="I148" i="1"/>
  <c r="J148" i="1"/>
  <c r="K148" i="1"/>
  <c r="Z148" i="1"/>
  <c r="AB148" i="1"/>
  <c r="AC148" i="1"/>
  <c r="AD148" i="1"/>
  <c r="AE148" i="1"/>
  <c r="AF148" i="1"/>
  <c r="AG148" i="1"/>
  <c r="AH148" i="1"/>
  <c r="AJ148" i="1"/>
  <c r="AK148" i="1"/>
  <c r="AL148" i="1"/>
  <c r="AO148" i="1"/>
  <c r="AP148" i="1"/>
  <c r="AV148" i="1"/>
  <c r="AW148" i="1"/>
  <c r="AX148" i="1"/>
  <c r="BC148" i="1"/>
  <c r="BD148" i="1"/>
  <c r="BF148" i="1"/>
  <c r="BH148" i="1"/>
  <c r="BI148" i="1"/>
  <c r="BJ148" i="1"/>
  <c r="I149" i="1"/>
  <c r="J149" i="1"/>
  <c r="K149" i="1"/>
  <c r="AS149" i="1"/>
  <c r="AT149" i="1"/>
  <c r="AU149" i="1"/>
  <c r="I150" i="1"/>
  <c r="J150" i="1"/>
  <c r="K150" i="1"/>
  <c r="Z150" i="1"/>
  <c r="AB150" i="1"/>
  <c r="AC150" i="1"/>
  <c r="AD150" i="1"/>
  <c r="AE150" i="1"/>
  <c r="AF150" i="1"/>
  <c r="AG150" i="1"/>
  <c r="AH150" i="1"/>
  <c r="AJ150" i="1"/>
  <c r="AK150" i="1"/>
  <c r="AL150" i="1"/>
  <c r="AO150" i="1"/>
  <c r="AP150" i="1"/>
  <c r="AV150" i="1"/>
  <c r="AW150" i="1"/>
  <c r="AX150" i="1"/>
  <c r="BC150" i="1"/>
  <c r="BD150" i="1"/>
  <c r="BF150" i="1"/>
  <c r="BH150" i="1"/>
  <c r="BI150" i="1"/>
  <c r="BJ150" i="1"/>
  <c r="I151" i="1"/>
  <c r="J151" i="1"/>
  <c r="K151" i="1"/>
  <c r="AS151" i="1"/>
  <c r="AT151" i="1"/>
  <c r="AU151" i="1"/>
  <c r="I152" i="1"/>
  <c r="J152" i="1"/>
  <c r="K152" i="1"/>
  <c r="Z152" i="1"/>
  <c r="AB152" i="1"/>
  <c r="AC152" i="1"/>
  <c r="AD152" i="1"/>
  <c r="AE152" i="1"/>
  <c r="AF152" i="1"/>
  <c r="AG152" i="1"/>
  <c r="AH152" i="1"/>
  <c r="AJ152" i="1"/>
  <c r="AK152" i="1"/>
  <c r="AL152" i="1"/>
  <c r="AO152" i="1"/>
  <c r="AP152" i="1"/>
  <c r="AV152" i="1"/>
  <c r="AW152" i="1"/>
  <c r="AX152" i="1"/>
  <c r="BC152" i="1"/>
  <c r="BD152" i="1"/>
  <c r="BF152" i="1"/>
  <c r="BH152" i="1"/>
  <c r="BI152" i="1"/>
  <c r="BJ152" i="1"/>
  <c r="I153" i="1"/>
  <c r="J153" i="1"/>
  <c r="K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I154" i="1"/>
  <c r="J154" i="1"/>
  <c r="K154" i="1"/>
  <c r="Z154" i="1"/>
  <c r="AB154" i="1"/>
  <c r="AC154" i="1"/>
  <c r="AD154" i="1"/>
  <c r="AE154" i="1"/>
  <c r="AF154" i="1"/>
  <c r="AG154" i="1"/>
  <c r="AH154" i="1"/>
  <c r="AJ154" i="1"/>
  <c r="AK154" i="1"/>
  <c r="AL154" i="1"/>
  <c r="AO154" i="1"/>
  <c r="AP154" i="1"/>
  <c r="AV154" i="1"/>
  <c r="AW154" i="1"/>
  <c r="AX154" i="1"/>
  <c r="BC154" i="1"/>
  <c r="BD154" i="1"/>
  <c r="BF154" i="1"/>
  <c r="BH154" i="1"/>
  <c r="BI154" i="1"/>
  <c r="BJ154" i="1"/>
  <c r="I155" i="1"/>
  <c r="J155" i="1"/>
  <c r="K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I156" i="1"/>
  <c r="J156" i="1"/>
  <c r="K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I157" i="1"/>
  <c r="J157" i="1"/>
  <c r="K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I158" i="1"/>
  <c r="J158" i="1"/>
  <c r="K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I159" i="1"/>
  <c r="J159" i="1"/>
  <c r="K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I160" i="1"/>
  <c r="J160" i="1"/>
  <c r="K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I161" i="1"/>
  <c r="J161" i="1"/>
  <c r="K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I162" i="1"/>
  <c r="J162" i="1"/>
  <c r="K162" i="1"/>
  <c r="Z162" i="1"/>
  <c r="AB162" i="1"/>
  <c r="AC162" i="1"/>
  <c r="AD162" i="1"/>
  <c r="AE162" i="1"/>
  <c r="AF162" i="1"/>
  <c r="AG162" i="1"/>
  <c r="AH162" i="1"/>
  <c r="AJ162" i="1"/>
  <c r="AK162" i="1"/>
  <c r="AL162" i="1"/>
  <c r="AO162" i="1"/>
  <c r="AP162" i="1"/>
  <c r="AV162" i="1"/>
  <c r="AW162" i="1"/>
  <c r="AX162" i="1"/>
  <c r="BC162" i="1"/>
  <c r="BD162" i="1"/>
  <c r="BF162" i="1"/>
  <c r="BH162" i="1"/>
  <c r="BI162" i="1"/>
  <c r="BJ162" i="1"/>
  <c r="I163" i="1"/>
  <c r="J163" i="1"/>
  <c r="K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I164" i="1"/>
  <c r="J164" i="1"/>
  <c r="K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I165" i="1"/>
  <c r="J165" i="1"/>
  <c r="K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I166" i="1"/>
  <c r="J166" i="1"/>
  <c r="K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I167" i="1"/>
  <c r="J167" i="1"/>
  <c r="K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I168" i="1"/>
  <c r="J168" i="1"/>
  <c r="K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I169" i="1"/>
  <c r="J169" i="1"/>
  <c r="K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I170" i="1"/>
  <c r="J170" i="1"/>
  <c r="K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I171" i="1"/>
  <c r="J171" i="1"/>
  <c r="K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I172" i="1"/>
  <c r="J172" i="1"/>
  <c r="K172" i="1"/>
  <c r="AS172" i="1"/>
  <c r="AT172" i="1"/>
  <c r="AU172" i="1"/>
  <c r="I173" i="1"/>
  <c r="J173" i="1"/>
  <c r="K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I174" i="1"/>
  <c r="J174" i="1"/>
  <c r="K174" i="1"/>
  <c r="AS174" i="1"/>
  <c r="AT174" i="1"/>
  <c r="AU174" i="1"/>
  <c r="I175" i="1"/>
  <c r="J175" i="1"/>
  <c r="K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I176" i="1"/>
  <c r="J176" i="1"/>
  <c r="K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I177" i="1"/>
  <c r="J177" i="1"/>
  <c r="K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I178" i="1"/>
  <c r="J178" i="1"/>
  <c r="K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I180" i="1"/>
  <c r="J180" i="1"/>
  <c r="K180" i="1"/>
  <c r="Z180" i="1"/>
  <c r="AB180" i="1"/>
  <c r="AC180" i="1"/>
  <c r="AD180" i="1"/>
  <c r="AE180" i="1"/>
  <c r="AF180" i="1"/>
  <c r="AG180" i="1"/>
  <c r="AH180" i="1"/>
  <c r="AJ180" i="1"/>
  <c r="AK180" i="1"/>
  <c r="AL180" i="1"/>
  <c r="AO180" i="1"/>
  <c r="AP180" i="1"/>
  <c r="AV180" i="1"/>
  <c r="AW180" i="1"/>
  <c r="AX180" i="1"/>
  <c r="BC180" i="1"/>
  <c r="BD180" i="1"/>
  <c r="BF180" i="1"/>
  <c r="BH180" i="1"/>
  <c r="BI180" i="1"/>
  <c r="BJ180" i="1"/>
  <c r="I181" i="1"/>
  <c r="J181" i="1"/>
  <c r="K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I182" i="1"/>
  <c r="J182" i="1"/>
  <c r="K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I183" i="1"/>
  <c r="J183" i="1"/>
  <c r="K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I184" i="1"/>
  <c r="J184" i="1"/>
  <c r="K184" i="1"/>
  <c r="AS184" i="1"/>
  <c r="AT184" i="1"/>
  <c r="AU184" i="1"/>
  <c r="I185" i="1"/>
  <c r="J185" i="1"/>
  <c r="K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I186" i="1"/>
  <c r="J186" i="1"/>
  <c r="K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I187" i="1"/>
  <c r="J187" i="1"/>
  <c r="K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I188" i="1"/>
  <c r="J188" i="1"/>
  <c r="K188" i="1"/>
  <c r="Z188" i="1"/>
  <c r="AB188" i="1"/>
  <c r="AC188" i="1"/>
  <c r="AD188" i="1"/>
  <c r="AE188" i="1"/>
  <c r="AF188" i="1"/>
  <c r="AG188" i="1"/>
  <c r="AH188" i="1"/>
  <c r="AJ188" i="1"/>
  <c r="AK188" i="1"/>
  <c r="AL188" i="1"/>
  <c r="AO188" i="1"/>
  <c r="AP188" i="1"/>
  <c r="AV188" i="1"/>
  <c r="AW188" i="1"/>
  <c r="AX188" i="1"/>
  <c r="BC188" i="1"/>
  <c r="BD188" i="1"/>
  <c r="BF188" i="1"/>
  <c r="BH188" i="1"/>
  <c r="BI188" i="1"/>
  <c r="BJ188" i="1"/>
  <c r="I189" i="1"/>
  <c r="J189" i="1"/>
  <c r="K189" i="1"/>
  <c r="Z189" i="1"/>
  <c r="AB189" i="1"/>
  <c r="AC189" i="1"/>
  <c r="AD189" i="1"/>
  <c r="AE189" i="1"/>
  <c r="AF189" i="1"/>
  <c r="AG189" i="1"/>
  <c r="AH189" i="1"/>
  <c r="AJ189" i="1"/>
  <c r="AK189" i="1"/>
  <c r="AL189" i="1"/>
  <c r="AO189" i="1"/>
  <c r="AP189" i="1"/>
  <c r="AV189" i="1"/>
  <c r="AW189" i="1"/>
  <c r="AX189" i="1"/>
  <c r="BC189" i="1"/>
  <c r="BD189" i="1"/>
  <c r="BF189" i="1"/>
  <c r="BH189" i="1"/>
  <c r="BI189" i="1"/>
  <c r="BJ189" i="1"/>
  <c r="I190" i="1"/>
  <c r="J190" i="1"/>
  <c r="K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I191" i="1"/>
  <c r="J191" i="1"/>
  <c r="K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I192" i="1"/>
  <c r="J192" i="1"/>
  <c r="K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I193" i="1"/>
  <c r="J193" i="1"/>
  <c r="K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I194" i="1"/>
  <c r="J194" i="1"/>
  <c r="K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I195" i="1"/>
  <c r="J195" i="1"/>
  <c r="K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I196" i="1"/>
  <c r="J196" i="1"/>
  <c r="K196" i="1"/>
  <c r="Z196" i="1"/>
  <c r="AB196" i="1"/>
  <c r="AC196" i="1"/>
  <c r="AD196" i="1"/>
  <c r="AE196" i="1"/>
  <c r="AF196" i="1"/>
  <c r="AG196" i="1"/>
  <c r="AH196" i="1"/>
  <c r="AJ196" i="1"/>
  <c r="AK196" i="1"/>
  <c r="AL196" i="1"/>
  <c r="AO196" i="1"/>
  <c r="AP196" i="1"/>
  <c r="AV196" i="1"/>
  <c r="AW196" i="1"/>
  <c r="AX196" i="1"/>
  <c r="BC196" i="1"/>
  <c r="BD196" i="1"/>
  <c r="BF196" i="1"/>
  <c r="BH196" i="1"/>
  <c r="BI196" i="1"/>
  <c r="BJ196" i="1"/>
  <c r="I197" i="1"/>
  <c r="J197" i="1"/>
  <c r="K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I198" i="1"/>
  <c r="J198" i="1"/>
  <c r="K198" i="1"/>
  <c r="Z198" i="1"/>
  <c r="AB198" i="1"/>
  <c r="AC198" i="1"/>
  <c r="AD198" i="1"/>
  <c r="AE198" i="1"/>
  <c r="AF198" i="1"/>
  <c r="AG198" i="1"/>
  <c r="AH198" i="1"/>
  <c r="AJ198" i="1"/>
  <c r="AK198" i="1"/>
  <c r="AL198" i="1"/>
  <c r="AO198" i="1"/>
  <c r="AP198" i="1"/>
  <c r="AV198" i="1"/>
  <c r="AW198" i="1"/>
  <c r="AX198" i="1"/>
  <c r="BC198" i="1"/>
  <c r="BD198" i="1"/>
  <c r="BF198" i="1"/>
  <c r="BH198" i="1"/>
  <c r="BI198" i="1"/>
  <c r="BJ198" i="1"/>
  <c r="I199" i="1"/>
  <c r="J199" i="1"/>
  <c r="K199" i="1"/>
  <c r="Z199" i="1"/>
  <c r="AB199" i="1"/>
  <c r="AC199" i="1"/>
  <c r="AD199" i="1"/>
  <c r="AE199" i="1"/>
  <c r="AF199" i="1"/>
  <c r="AG199" i="1"/>
  <c r="AH199" i="1"/>
  <c r="AJ199" i="1"/>
  <c r="AK199" i="1"/>
  <c r="AL199" i="1"/>
  <c r="AO199" i="1"/>
  <c r="AP199" i="1"/>
  <c r="AV199" i="1"/>
  <c r="AW199" i="1"/>
  <c r="AX199" i="1"/>
  <c r="BC199" i="1"/>
  <c r="BD199" i="1"/>
  <c r="BF199" i="1"/>
  <c r="BH199" i="1"/>
  <c r="BI199" i="1"/>
  <c r="BJ199" i="1"/>
  <c r="I200" i="1"/>
  <c r="J200" i="1"/>
  <c r="K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I201" i="1"/>
  <c r="J201" i="1"/>
  <c r="K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I202" i="1"/>
  <c r="J202" i="1"/>
  <c r="K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I203" i="1"/>
  <c r="J203" i="1"/>
  <c r="K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I204" i="1"/>
  <c r="J204" i="1"/>
  <c r="K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I205" i="1"/>
  <c r="J205" i="1"/>
  <c r="K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I206" i="1"/>
  <c r="J206" i="1"/>
  <c r="K206" i="1"/>
  <c r="Z206" i="1"/>
  <c r="AB206" i="1"/>
  <c r="AC206" i="1"/>
  <c r="AD206" i="1"/>
  <c r="AE206" i="1"/>
  <c r="AF206" i="1"/>
  <c r="AG206" i="1"/>
  <c r="AH206" i="1"/>
  <c r="AJ206" i="1"/>
  <c r="AK206" i="1"/>
  <c r="AL206" i="1"/>
  <c r="AO206" i="1"/>
  <c r="AP206" i="1"/>
  <c r="AV206" i="1"/>
  <c r="AW206" i="1"/>
  <c r="AX206" i="1"/>
  <c r="BC206" i="1"/>
  <c r="BD206" i="1"/>
  <c r="BF206" i="1"/>
  <c r="BH206" i="1"/>
  <c r="BI206" i="1"/>
  <c r="BJ206" i="1"/>
  <c r="I207" i="1"/>
  <c r="J207" i="1"/>
  <c r="K207" i="1"/>
  <c r="AS207" i="1"/>
  <c r="AT207" i="1"/>
  <c r="AU207" i="1"/>
  <c r="I208" i="1"/>
  <c r="J208" i="1"/>
  <c r="K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I210" i="1"/>
  <c r="J210" i="1"/>
  <c r="K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I211" i="1"/>
  <c r="J211" i="1"/>
  <c r="K211" i="1"/>
  <c r="Z211" i="1"/>
  <c r="AB211" i="1"/>
  <c r="AC211" i="1"/>
  <c r="AD211" i="1"/>
  <c r="AE211" i="1"/>
  <c r="AF211" i="1"/>
  <c r="AG211" i="1"/>
  <c r="AH211" i="1"/>
  <c r="AJ211" i="1"/>
  <c r="AK211" i="1"/>
  <c r="AL211" i="1"/>
  <c r="AO211" i="1"/>
  <c r="AP211" i="1"/>
  <c r="AV211" i="1"/>
  <c r="AW211" i="1"/>
  <c r="AX211" i="1"/>
  <c r="BC211" i="1"/>
  <c r="BD211" i="1"/>
  <c r="BF211" i="1"/>
  <c r="BH211" i="1"/>
  <c r="BI211" i="1"/>
  <c r="BJ211" i="1"/>
  <c r="I212" i="1"/>
  <c r="J212" i="1"/>
  <c r="K212" i="1"/>
  <c r="Z212" i="1"/>
  <c r="AB212" i="1"/>
  <c r="AC212" i="1"/>
  <c r="AD212" i="1"/>
  <c r="AE212" i="1"/>
  <c r="AF212" i="1"/>
  <c r="AG212" i="1"/>
  <c r="AH212" i="1"/>
  <c r="AJ212" i="1"/>
  <c r="AK212" i="1"/>
  <c r="AL212" i="1"/>
  <c r="AO212" i="1"/>
  <c r="AP212" i="1"/>
  <c r="AV212" i="1"/>
  <c r="AW212" i="1"/>
  <c r="AX212" i="1"/>
  <c r="BC212" i="1"/>
  <c r="BD212" i="1"/>
  <c r="BF212" i="1"/>
  <c r="BH212" i="1"/>
  <c r="BI212" i="1"/>
  <c r="BJ212" i="1"/>
  <c r="I214" i="1"/>
  <c r="J214" i="1"/>
  <c r="K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I216" i="1"/>
  <c r="J216" i="1"/>
  <c r="K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I218" i="1"/>
  <c r="J218" i="1"/>
  <c r="K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I220" i="1"/>
  <c r="J220" i="1"/>
  <c r="K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I222" i="1"/>
  <c r="J222" i="1"/>
  <c r="K222" i="1"/>
  <c r="Z222" i="1"/>
  <c r="AB222" i="1"/>
  <c r="AC222" i="1"/>
  <c r="AD222" i="1"/>
  <c r="AE222" i="1"/>
  <c r="AF222" i="1"/>
  <c r="AG222" i="1"/>
  <c r="AH222" i="1"/>
  <c r="AJ222" i="1"/>
  <c r="AK222" i="1"/>
  <c r="AL222" i="1"/>
  <c r="AO222" i="1"/>
  <c r="AP222" i="1"/>
  <c r="AV222" i="1"/>
  <c r="AW222" i="1"/>
  <c r="AX222" i="1"/>
  <c r="BC222" i="1"/>
  <c r="BD222" i="1"/>
  <c r="BF222" i="1"/>
  <c r="BH222" i="1"/>
  <c r="BI222" i="1"/>
  <c r="BJ222" i="1"/>
  <c r="I223" i="1"/>
  <c r="J223" i="1"/>
  <c r="K223" i="1"/>
  <c r="Z223" i="1"/>
  <c r="AB223" i="1"/>
  <c r="AC223" i="1"/>
  <c r="AD223" i="1"/>
  <c r="AE223" i="1"/>
  <c r="AF223" i="1"/>
  <c r="AG223" i="1"/>
  <c r="AH223" i="1"/>
  <c r="AJ223" i="1"/>
  <c r="AK223" i="1"/>
  <c r="AL223" i="1"/>
  <c r="AO223" i="1"/>
  <c r="AP223" i="1"/>
  <c r="AV223" i="1"/>
  <c r="AW223" i="1"/>
  <c r="AX223" i="1"/>
  <c r="BC223" i="1"/>
  <c r="BD223" i="1"/>
  <c r="BF223" i="1"/>
  <c r="BH223" i="1"/>
  <c r="BI223" i="1"/>
  <c r="BJ223" i="1"/>
  <c r="I224" i="1"/>
  <c r="J224" i="1"/>
  <c r="K224" i="1"/>
  <c r="Z224" i="1"/>
  <c r="AB224" i="1"/>
  <c r="AC224" i="1"/>
  <c r="AD224" i="1"/>
  <c r="AE224" i="1"/>
  <c r="AF224" i="1"/>
  <c r="AG224" i="1"/>
  <c r="AH224" i="1"/>
  <c r="AJ224" i="1"/>
  <c r="AK224" i="1"/>
  <c r="AL224" i="1"/>
  <c r="AO224" i="1"/>
  <c r="AP224" i="1"/>
  <c r="AV224" i="1"/>
  <c r="AW224" i="1"/>
  <c r="AX224" i="1"/>
  <c r="BC224" i="1"/>
  <c r="BD224" i="1"/>
  <c r="BF224" i="1"/>
  <c r="BH224" i="1"/>
  <c r="BI224" i="1"/>
  <c r="BJ224" i="1"/>
  <c r="I225" i="1"/>
  <c r="J225" i="1"/>
  <c r="K225" i="1"/>
  <c r="Z225" i="1"/>
  <c r="AB225" i="1"/>
  <c r="AC225" i="1"/>
  <c r="AD225" i="1"/>
  <c r="AE225" i="1"/>
  <c r="AF225" i="1"/>
  <c r="AG225" i="1"/>
  <c r="AH225" i="1"/>
  <c r="AJ225" i="1"/>
  <c r="AK225" i="1"/>
  <c r="AL225" i="1"/>
  <c r="AO225" i="1"/>
  <c r="AP225" i="1"/>
  <c r="AV225" i="1"/>
  <c r="AW225" i="1"/>
  <c r="AX225" i="1"/>
  <c r="BC225" i="1"/>
  <c r="BD225" i="1"/>
  <c r="BF225" i="1"/>
  <c r="BH225" i="1"/>
  <c r="BI225" i="1"/>
  <c r="BJ225" i="1"/>
  <c r="I226" i="1"/>
  <c r="J226" i="1"/>
  <c r="K226" i="1"/>
  <c r="Z226" i="1"/>
  <c r="AB226" i="1"/>
  <c r="AC226" i="1"/>
  <c r="AD226" i="1"/>
  <c r="AE226" i="1"/>
  <c r="AF226" i="1"/>
  <c r="AG226" i="1"/>
  <c r="AH226" i="1"/>
  <c r="AJ226" i="1"/>
  <c r="AK226" i="1"/>
  <c r="AL226" i="1"/>
  <c r="AO226" i="1"/>
  <c r="AP226" i="1"/>
  <c r="AV226" i="1"/>
  <c r="AW226" i="1"/>
  <c r="AX226" i="1"/>
  <c r="BC226" i="1"/>
  <c r="BD226" i="1"/>
  <c r="BF226" i="1"/>
  <c r="BH226" i="1"/>
  <c r="BI226" i="1"/>
  <c r="BJ226" i="1"/>
  <c r="I227" i="1"/>
  <c r="J227" i="1"/>
  <c r="K227" i="1"/>
  <c r="Z227" i="1"/>
  <c r="AB227" i="1"/>
  <c r="AC227" i="1"/>
  <c r="AD227" i="1"/>
  <c r="AE227" i="1"/>
  <c r="AF227" i="1"/>
  <c r="AG227" i="1"/>
  <c r="AH227" i="1"/>
  <c r="AJ227" i="1"/>
  <c r="AK227" i="1"/>
  <c r="AL227" i="1"/>
  <c r="AO227" i="1"/>
  <c r="AP227" i="1"/>
  <c r="AV227" i="1"/>
  <c r="AW227" i="1"/>
  <c r="AX227" i="1"/>
  <c r="BC227" i="1"/>
  <c r="BD227" i="1"/>
  <c r="BF227" i="1"/>
  <c r="BH227" i="1"/>
  <c r="BI227" i="1"/>
  <c r="BJ227" i="1"/>
  <c r="I228" i="1"/>
  <c r="J228" i="1"/>
  <c r="K228" i="1"/>
  <c r="Z228" i="1"/>
  <c r="AB228" i="1"/>
  <c r="AC228" i="1"/>
  <c r="AD228" i="1"/>
  <c r="AE228" i="1"/>
  <c r="AF228" i="1"/>
  <c r="AG228" i="1"/>
  <c r="AH228" i="1"/>
  <c r="AJ228" i="1"/>
  <c r="AK228" i="1"/>
  <c r="AL228" i="1"/>
  <c r="AO228" i="1"/>
  <c r="AP228" i="1"/>
  <c r="AV228" i="1"/>
  <c r="AW228" i="1"/>
  <c r="AX228" i="1"/>
  <c r="BC228" i="1"/>
  <c r="BD228" i="1"/>
  <c r="BF228" i="1"/>
  <c r="BH228" i="1"/>
  <c r="BI228" i="1"/>
  <c r="BJ228" i="1"/>
  <c r="I229" i="1"/>
  <c r="J229" i="1"/>
  <c r="K229" i="1"/>
  <c r="Z229" i="1"/>
  <c r="AB229" i="1"/>
  <c r="AC229" i="1"/>
  <c r="AD229" i="1"/>
  <c r="AE229" i="1"/>
  <c r="AF229" i="1"/>
  <c r="AG229" i="1"/>
  <c r="AH229" i="1"/>
  <c r="AJ229" i="1"/>
  <c r="AK229" i="1"/>
  <c r="AL229" i="1"/>
  <c r="AO229" i="1"/>
  <c r="AP229" i="1"/>
  <c r="AV229" i="1"/>
  <c r="AW229" i="1"/>
  <c r="AX229" i="1"/>
  <c r="BC229" i="1"/>
  <c r="BD229" i="1"/>
  <c r="BF229" i="1"/>
  <c r="BH229" i="1"/>
  <c r="BI229" i="1"/>
  <c r="BJ229" i="1"/>
  <c r="I230" i="1"/>
  <c r="J230" i="1"/>
  <c r="K230" i="1"/>
  <c r="Z230" i="1"/>
  <c r="AB230" i="1"/>
  <c r="AC230" i="1"/>
  <c r="AD230" i="1"/>
  <c r="AE230" i="1"/>
  <c r="AF230" i="1"/>
  <c r="AG230" i="1"/>
  <c r="AH230" i="1"/>
  <c r="AJ230" i="1"/>
  <c r="AK230" i="1"/>
  <c r="AL230" i="1"/>
  <c r="AO230" i="1"/>
  <c r="AP230" i="1"/>
  <c r="AV230" i="1"/>
  <c r="AW230" i="1"/>
  <c r="AX230" i="1"/>
  <c r="BC230" i="1"/>
  <c r="BD230" i="1"/>
  <c r="BF230" i="1"/>
  <c r="BH230" i="1"/>
  <c r="BI230" i="1"/>
  <c r="BJ230" i="1"/>
  <c r="I231" i="1"/>
  <c r="J231" i="1"/>
  <c r="K231" i="1"/>
  <c r="Z231" i="1"/>
  <c r="AB231" i="1"/>
  <c r="AC231" i="1"/>
  <c r="AD231" i="1"/>
  <c r="AE231" i="1"/>
  <c r="AF231" i="1"/>
  <c r="AG231" i="1"/>
  <c r="AH231" i="1"/>
  <c r="AJ231" i="1"/>
  <c r="AK231" i="1"/>
  <c r="AL231" i="1"/>
  <c r="AO231" i="1"/>
  <c r="AP231" i="1"/>
  <c r="AV231" i="1"/>
  <c r="AW231" i="1"/>
  <c r="AX231" i="1"/>
  <c r="BC231" i="1"/>
  <c r="BD231" i="1"/>
  <c r="BF231" i="1"/>
  <c r="BH231" i="1"/>
  <c r="BI231" i="1"/>
  <c r="BJ231" i="1"/>
  <c r="I232" i="1"/>
  <c r="J232" i="1"/>
  <c r="K232" i="1"/>
  <c r="Z232" i="1"/>
  <c r="AB232" i="1"/>
  <c r="AC232" i="1"/>
  <c r="AD232" i="1"/>
  <c r="AE232" i="1"/>
  <c r="AF232" i="1"/>
  <c r="AG232" i="1"/>
  <c r="AH232" i="1"/>
  <c r="AJ232" i="1"/>
  <c r="AK232" i="1"/>
  <c r="AL232" i="1"/>
  <c r="AO232" i="1"/>
  <c r="AP232" i="1"/>
  <c r="AV232" i="1"/>
  <c r="AW232" i="1"/>
  <c r="AX232" i="1"/>
  <c r="BC232" i="1"/>
  <c r="BD232" i="1"/>
  <c r="BF232" i="1"/>
  <c r="BH232" i="1"/>
  <c r="BI232" i="1"/>
  <c r="BJ232" i="1"/>
  <c r="I234" i="1"/>
  <c r="J234" i="1"/>
  <c r="K234" i="1"/>
  <c r="AS234" i="1"/>
  <c r="AT234" i="1"/>
  <c r="AU234" i="1"/>
  <c r="I235" i="1"/>
  <c r="J235" i="1"/>
  <c r="K235" i="1"/>
  <c r="Z235" i="1"/>
  <c r="AB235" i="1"/>
  <c r="AC235" i="1"/>
  <c r="AD235" i="1"/>
  <c r="AE235" i="1"/>
  <c r="AF235" i="1"/>
  <c r="AG235" i="1"/>
  <c r="AH235" i="1"/>
  <c r="AJ235" i="1"/>
  <c r="AK235" i="1"/>
  <c r="AL235" i="1"/>
  <c r="AO235" i="1"/>
  <c r="AP235" i="1"/>
  <c r="AV235" i="1"/>
  <c r="AW235" i="1"/>
  <c r="AX235" i="1"/>
  <c r="BC235" i="1"/>
  <c r="BD235" i="1"/>
  <c r="BF235" i="1"/>
  <c r="BH235" i="1"/>
  <c r="BI235" i="1"/>
  <c r="BJ235" i="1"/>
  <c r="I237" i="1"/>
  <c r="J237" i="1"/>
  <c r="K237" i="1"/>
  <c r="Z237" i="1"/>
  <c r="AB237" i="1"/>
  <c r="AC237" i="1"/>
  <c r="AD237" i="1"/>
  <c r="AE237" i="1"/>
  <c r="AF237" i="1"/>
  <c r="AG237" i="1"/>
  <c r="AH237" i="1"/>
  <c r="AJ237" i="1"/>
  <c r="AK237" i="1"/>
  <c r="AL237" i="1"/>
  <c r="AO237" i="1"/>
  <c r="AP237" i="1"/>
  <c r="AV237" i="1"/>
  <c r="AW237" i="1"/>
  <c r="AX237" i="1"/>
  <c r="BC237" i="1"/>
  <c r="BD237" i="1"/>
  <c r="BF237" i="1"/>
  <c r="BH237" i="1"/>
  <c r="BI237" i="1"/>
  <c r="BJ237" i="1"/>
  <c r="I238" i="1"/>
  <c r="J238" i="1"/>
  <c r="K238" i="1"/>
  <c r="Z238" i="1"/>
  <c r="AB238" i="1"/>
  <c r="AC238" i="1"/>
  <c r="AD238" i="1"/>
  <c r="AE238" i="1"/>
  <c r="AF238" i="1"/>
  <c r="AG238" i="1"/>
  <c r="AH238" i="1"/>
  <c r="AJ238" i="1"/>
  <c r="AK238" i="1"/>
  <c r="AL238" i="1"/>
  <c r="AO238" i="1"/>
  <c r="AP238" i="1"/>
  <c r="AV238" i="1"/>
  <c r="AW238" i="1"/>
  <c r="AX238" i="1"/>
  <c r="BC238" i="1"/>
  <c r="BD238" i="1"/>
  <c r="BF238" i="1"/>
  <c r="BH238" i="1"/>
  <c r="BI238" i="1"/>
  <c r="BJ238" i="1"/>
  <c r="I239" i="1"/>
  <c r="J239" i="1"/>
  <c r="K239" i="1"/>
  <c r="Z239" i="1"/>
  <c r="AB239" i="1"/>
  <c r="AC239" i="1"/>
  <c r="AD239" i="1"/>
  <c r="AE239" i="1"/>
  <c r="AF239" i="1"/>
  <c r="AG239" i="1"/>
  <c r="AH239" i="1"/>
  <c r="AJ239" i="1"/>
  <c r="AK239" i="1"/>
  <c r="AL239" i="1"/>
  <c r="AO239" i="1"/>
  <c r="AP239" i="1"/>
  <c r="AV239" i="1"/>
  <c r="AW239" i="1"/>
  <c r="AX239" i="1"/>
  <c r="BC239" i="1"/>
  <c r="BD239" i="1"/>
  <c r="BF239" i="1"/>
  <c r="BH239" i="1"/>
  <c r="BI239" i="1"/>
  <c r="BJ239" i="1"/>
  <c r="I241" i="1"/>
  <c r="J241" i="1"/>
  <c r="K241" i="1"/>
  <c r="Z241" i="1"/>
  <c r="AB241" i="1"/>
  <c r="AC241" i="1"/>
  <c r="AD241" i="1"/>
  <c r="AE241" i="1"/>
  <c r="AF241" i="1"/>
  <c r="AG241" i="1"/>
  <c r="AH241" i="1"/>
  <c r="AJ241" i="1"/>
  <c r="AK241" i="1"/>
  <c r="AL241" i="1"/>
  <c r="AO241" i="1"/>
  <c r="AP241" i="1"/>
  <c r="AV241" i="1"/>
  <c r="AW241" i="1"/>
  <c r="AX241" i="1"/>
  <c r="BC241" i="1"/>
  <c r="BD241" i="1"/>
  <c r="BF241" i="1"/>
  <c r="BH241" i="1"/>
  <c r="BI241" i="1"/>
  <c r="BJ241" i="1"/>
  <c r="I243" i="1"/>
  <c r="J243" i="1"/>
  <c r="K243" i="1"/>
  <c r="Z243" i="1"/>
  <c r="AB243" i="1"/>
  <c r="AC243" i="1"/>
  <c r="AD243" i="1"/>
  <c r="AE243" i="1"/>
  <c r="AF243" i="1"/>
  <c r="AG243" i="1"/>
  <c r="AH243" i="1"/>
  <c r="AJ243" i="1"/>
  <c r="AK243" i="1"/>
  <c r="AL243" i="1"/>
  <c r="AO243" i="1"/>
  <c r="AP243" i="1"/>
  <c r="AV243" i="1"/>
  <c r="AW243" i="1"/>
  <c r="AX243" i="1"/>
  <c r="BC243" i="1"/>
  <c r="BD243" i="1"/>
  <c r="BF243" i="1"/>
  <c r="BH243" i="1"/>
  <c r="BI243" i="1"/>
  <c r="BJ243" i="1"/>
  <c r="I245" i="1"/>
  <c r="J245" i="1"/>
  <c r="K245" i="1"/>
  <c r="Z245" i="1"/>
  <c r="AB245" i="1"/>
  <c r="AC245" i="1"/>
  <c r="AD245" i="1"/>
  <c r="AE245" i="1"/>
  <c r="AF245" i="1"/>
  <c r="AG245" i="1"/>
  <c r="AH245" i="1"/>
  <c r="AJ245" i="1"/>
  <c r="AK245" i="1"/>
  <c r="AL245" i="1"/>
  <c r="AO245" i="1"/>
  <c r="AP245" i="1"/>
  <c r="AV245" i="1"/>
  <c r="AW245" i="1"/>
  <c r="AX245" i="1"/>
  <c r="BC245" i="1"/>
  <c r="BD245" i="1"/>
  <c r="BF245" i="1"/>
  <c r="BH245" i="1"/>
  <c r="BI245" i="1"/>
  <c r="BJ245" i="1"/>
  <c r="I247" i="1"/>
  <c r="J247" i="1"/>
  <c r="K247" i="1"/>
  <c r="Z247" i="1"/>
  <c r="AB247" i="1"/>
  <c r="AC247" i="1"/>
  <c r="AD247" i="1"/>
  <c r="AE247" i="1"/>
  <c r="AF247" i="1"/>
  <c r="AG247" i="1"/>
  <c r="AH247" i="1"/>
  <c r="AJ247" i="1"/>
  <c r="AK247" i="1"/>
  <c r="AL247" i="1"/>
  <c r="AO247" i="1"/>
  <c r="AP247" i="1"/>
  <c r="AV247" i="1"/>
  <c r="AW247" i="1"/>
  <c r="AX247" i="1"/>
  <c r="BC247" i="1"/>
  <c r="BD247" i="1"/>
  <c r="BF247" i="1"/>
  <c r="BH247" i="1"/>
  <c r="BI247" i="1"/>
  <c r="BJ247" i="1"/>
  <c r="I249" i="1"/>
  <c r="J249" i="1"/>
  <c r="K249" i="1"/>
  <c r="Z249" i="1"/>
  <c r="AB249" i="1"/>
  <c r="AC249" i="1"/>
  <c r="AD249" i="1"/>
  <c r="AE249" i="1"/>
  <c r="AF249" i="1"/>
  <c r="AG249" i="1"/>
  <c r="AH249" i="1"/>
  <c r="AJ249" i="1"/>
  <c r="AK249" i="1"/>
  <c r="AL249" i="1"/>
  <c r="AO249" i="1"/>
  <c r="AP249" i="1"/>
  <c r="AV249" i="1"/>
  <c r="AW249" i="1"/>
  <c r="AX249" i="1"/>
  <c r="BC249" i="1"/>
  <c r="BD249" i="1"/>
  <c r="BF249" i="1"/>
  <c r="BH249" i="1"/>
  <c r="BI249" i="1"/>
  <c r="BJ249" i="1"/>
  <c r="I250" i="1"/>
  <c r="J250" i="1"/>
  <c r="K250" i="1"/>
  <c r="Z250" i="1"/>
  <c r="AB250" i="1"/>
  <c r="AC250" i="1"/>
  <c r="AD250" i="1"/>
  <c r="AE250" i="1"/>
  <c r="AF250" i="1"/>
  <c r="AG250" i="1"/>
  <c r="AH250" i="1"/>
  <c r="AJ250" i="1"/>
  <c r="AK250" i="1"/>
  <c r="AL250" i="1"/>
  <c r="AO250" i="1"/>
  <c r="AP250" i="1"/>
  <c r="AV250" i="1"/>
  <c r="AW250" i="1"/>
  <c r="AX250" i="1"/>
  <c r="BC250" i="1"/>
  <c r="BD250" i="1"/>
  <c r="BF250" i="1"/>
  <c r="BH250" i="1"/>
  <c r="BI250" i="1"/>
  <c r="BJ250" i="1"/>
  <c r="I251" i="1"/>
  <c r="J251" i="1"/>
  <c r="K251" i="1"/>
  <c r="Z251" i="1"/>
  <c r="AB251" i="1"/>
  <c r="AC251" i="1"/>
  <c r="AD251" i="1"/>
  <c r="AE251" i="1"/>
  <c r="AF251" i="1"/>
  <c r="AG251" i="1"/>
  <c r="AH251" i="1"/>
  <c r="AJ251" i="1"/>
  <c r="AK251" i="1"/>
  <c r="AL251" i="1"/>
  <c r="AO251" i="1"/>
  <c r="AP251" i="1"/>
  <c r="AV251" i="1"/>
  <c r="AW251" i="1"/>
  <c r="AX251" i="1"/>
  <c r="BC251" i="1"/>
  <c r="BD251" i="1"/>
  <c r="BF251" i="1"/>
  <c r="BH251" i="1"/>
  <c r="BI251" i="1"/>
  <c r="BJ251" i="1"/>
  <c r="I252" i="1"/>
  <c r="J252" i="1"/>
  <c r="K252" i="1"/>
  <c r="Z252" i="1"/>
  <c r="AB252" i="1"/>
  <c r="AC252" i="1"/>
  <c r="AD252" i="1"/>
  <c r="AE252" i="1"/>
  <c r="AF252" i="1"/>
  <c r="AG252" i="1"/>
  <c r="AH252" i="1"/>
  <c r="AJ252" i="1"/>
  <c r="AK252" i="1"/>
  <c r="AL252" i="1"/>
  <c r="AO252" i="1"/>
  <c r="AP252" i="1"/>
  <c r="AV252" i="1"/>
  <c r="AW252" i="1"/>
  <c r="AX252" i="1"/>
  <c r="BC252" i="1"/>
  <c r="BD252" i="1"/>
  <c r="BF252" i="1"/>
  <c r="BH252" i="1"/>
  <c r="BI252" i="1"/>
  <c r="BJ252" i="1"/>
  <c r="I253" i="1"/>
  <c r="J253" i="1"/>
  <c r="K253" i="1"/>
  <c r="Z253" i="1"/>
  <c r="AB253" i="1"/>
  <c r="AC253" i="1"/>
  <c r="AD253" i="1"/>
  <c r="AE253" i="1"/>
  <c r="AF253" i="1"/>
  <c r="AG253" i="1"/>
  <c r="AH253" i="1"/>
  <c r="AJ253" i="1"/>
  <c r="AK253" i="1"/>
  <c r="AL253" i="1"/>
  <c r="AO253" i="1"/>
  <c r="AP253" i="1"/>
  <c r="AV253" i="1"/>
  <c r="AW253" i="1"/>
  <c r="AX253" i="1"/>
  <c r="BC253" i="1"/>
  <c r="BD253" i="1"/>
  <c r="BF253" i="1"/>
  <c r="BH253" i="1"/>
  <c r="BI253" i="1"/>
  <c r="BJ253" i="1"/>
  <c r="I254" i="1"/>
  <c r="J254" i="1"/>
  <c r="K254" i="1"/>
  <c r="Z254" i="1"/>
  <c r="AB254" i="1"/>
  <c r="AC254" i="1"/>
  <c r="AD254" i="1"/>
  <c r="AE254" i="1"/>
  <c r="AF254" i="1"/>
  <c r="AG254" i="1"/>
  <c r="AH254" i="1"/>
  <c r="AJ254" i="1"/>
  <c r="AK254" i="1"/>
  <c r="AL254" i="1"/>
  <c r="AO254" i="1"/>
  <c r="AP254" i="1"/>
  <c r="AV254" i="1"/>
  <c r="AW254" i="1"/>
  <c r="AX254" i="1"/>
  <c r="BC254" i="1"/>
  <c r="BD254" i="1"/>
  <c r="BF254" i="1"/>
  <c r="BH254" i="1"/>
  <c r="BI254" i="1"/>
  <c r="BJ254" i="1"/>
  <c r="I255" i="1"/>
  <c r="J255" i="1"/>
  <c r="K255" i="1"/>
  <c r="Z255" i="1"/>
  <c r="AB255" i="1"/>
  <c r="AC255" i="1"/>
  <c r="AD255" i="1"/>
  <c r="AE255" i="1"/>
  <c r="AF255" i="1"/>
  <c r="AG255" i="1"/>
  <c r="AH255" i="1"/>
  <c r="AJ255" i="1"/>
  <c r="AK255" i="1"/>
  <c r="AL255" i="1"/>
  <c r="AO255" i="1"/>
  <c r="AP255" i="1"/>
  <c r="AV255" i="1"/>
  <c r="AW255" i="1"/>
  <c r="AX255" i="1"/>
  <c r="BC255" i="1"/>
  <c r="BD255" i="1"/>
  <c r="BF255" i="1"/>
  <c r="BH255" i="1"/>
  <c r="BI255" i="1"/>
  <c r="BJ255" i="1"/>
  <c r="I257" i="1"/>
  <c r="J257" i="1"/>
  <c r="K257" i="1"/>
  <c r="Z257" i="1"/>
  <c r="AB257" i="1"/>
  <c r="AC257" i="1"/>
  <c r="AD257" i="1"/>
  <c r="AE257" i="1"/>
  <c r="AF257" i="1"/>
  <c r="AG257" i="1"/>
  <c r="AH257" i="1"/>
  <c r="AJ257" i="1"/>
  <c r="AK257" i="1"/>
  <c r="AL257" i="1"/>
  <c r="AO257" i="1"/>
  <c r="AP257" i="1"/>
  <c r="AV257" i="1"/>
  <c r="AW257" i="1"/>
  <c r="AX257" i="1"/>
  <c r="BC257" i="1"/>
  <c r="BD257" i="1"/>
  <c r="BF257" i="1"/>
  <c r="BH257" i="1"/>
  <c r="BI257" i="1"/>
  <c r="BJ257" i="1"/>
  <c r="I258" i="1"/>
  <c r="J258" i="1"/>
  <c r="K258" i="1"/>
  <c r="Z258" i="1"/>
  <c r="AB258" i="1"/>
  <c r="AC258" i="1"/>
  <c r="AD258" i="1"/>
  <c r="AE258" i="1"/>
  <c r="AF258" i="1"/>
  <c r="AG258" i="1"/>
  <c r="AH258" i="1"/>
  <c r="AJ258" i="1"/>
  <c r="AK258" i="1"/>
  <c r="AL258" i="1"/>
  <c r="AO258" i="1"/>
  <c r="AP258" i="1"/>
  <c r="AV258" i="1"/>
  <c r="AW258" i="1"/>
  <c r="AX258" i="1"/>
  <c r="BC258" i="1"/>
  <c r="BD258" i="1"/>
  <c r="BF258" i="1"/>
  <c r="BH258" i="1"/>
  <c r="BI258" i="1"/>
  <c r="BJ258" i="1"/>
  <c r="I259" i="1"/>
  <c r="J259" i="1"/>
  <c r="K259" i="1"/>
  <c r="Z259" i="1"/>
  <c r="AB259" i="1"/>
  <c r="AC259" i="1"/>
  <c r="AD259" i="1"/>
  <c r="AE259" i="1"/>
  <c r="AF259" i="1"/>
  <c r="AG259" i="1"/>
  <c r="AH259" i="1"/>
  <c r="AJ259" i="1"/>
  <c r="AK259" i="1"/>
  <c r="AL259" i="1"/>
  <c r="AO259" i="1"/>
  <c r="AP259" i="1"/>
  <c r="AV259" i="1"/>
  <c r="AW259" i="1"/>
  <c r="AX259" i="1"/>
  <c r="BC259" i="1"/>
  <c r="BD259" i="1"/>
  <c r="BF259" i="1"/>
  <c r="BH259" i="1"/>
  <c r="BI259" i="1"/>
  <c r="BJ259" i="1"/>
  <c r="I260" i="1"/>
  <c r="J260" i="1"/>
  <c r="K260" i="1"/>
  <c r="Z260" i="1"/>
  <c r="AB260" i="1"/>
  <c r="AC260" i="1"/>
  <c r="AD260" i="1"/>
  <c r="AE260" i="1"/>
  <c r="AF260" i="1"/>
  <c r="AG260" i="1"/>
  <c r="AH260" i="1"/>
  <c r="AJ260" i="1"/>
  <c r="AK260" i="1"/>
  <c r="AL260" i="1"/>
  <c r="AO260" i="1"/>
  <c r="AP260" i="1"/>
  <c r="AV260" i="1"/>
  <c r="AW260" i="1"/>
  <c r="AX260" i="1"/>
  <c r="BC260" i="1"/>
  <c r="BD260" i="1"/>
  <c r="BF260" i="1"/>
  <c r="BH260" i="1"/>
  <c r="BI260" i="1"/>
  <c r="BJ260" i="1"/>
  <c r="I261" i="1"/>
  <c r="J261" i="1"/>
  <c r="K261" i="1"/>
  <c r="Z261" i="1"/>
  <c r="AB261" i="1"/>
  <c r="AC261" i="1"/>
  <c r="AD261" i="1"/>
  <c r="AE261" i="1"/>
  <c r="AF261" i="1"/>
  <c r="AG261" i="1"/>
  <c r="AH261" i="1"/>
  <c r="AJ261" i="1"/>
  <c r="AK261" i="1"/>
  <c r="AL261" i="1"/>
  <c r="AO261" i="1"/>
  <c r="AP261" i="1"/>
  <c r="AV261" i="1"/>
  <c r="AW261" i="1"/>
  <c r="AX261" i="1"/>
  <c r="BC261" i="1"/>
  <c r="BD261" i="1"/>
  <c r="BF261" i="1"/>
  <c r="BH261" i="1"/>
  <c r="BI261" i="1"/>
  <c r="BJ261" i="1"/>
  <c r="I262" i="1"/>
  <c r="J262" i="1"/>
  <c r="K262" i="1"/>
  <c r="Z262" i="1"/>
  <c r="AB262" i="1"/>
  <c r="AC262" i="1"/>
  <c r="AD262" i="1"/>
  <c r="AE262" i="1"/>
  <c r="AF262" i="1"/>
  <c r="AG262" i="1"/>
  <c r="AH262" i="1"/>
  <c r="AJ262" i="1"/>
  <c r="AK262" i="1"/>
  <c r="AL262" i="1"/>
  <c r="AO262" i="1"/>
  <c r="AP262" i="1"/>
  <c r="AV262" i="1"/>
  <c r="AW262" i="1"/>
  <c r="AX262" i="1"/>
  <c r="BC262" i="1"/>
  <c r="BD262" i="1"/>
  <c r="BF262" i="1"/>
  <c r="BH262" i="1"/>
  <c r="BI262" i="1"/>
  <c r="BJ262" i="1"/>
  <c r="I263" i="1"/>
  <c r="J263" i="1"/>
  <c r="K263" i="1"/>
  <c r="Z263" i="1"/>
  <c r="AB263" i="1"/>
  <c r="AC263" i="1"/>
  <c r="AD263" i="1"/>
  <c r="AE263" i="1"/>
  <c r="AF263" i="1"/>
  <c r="AG263" i="1"/>
  <c r="AH263" i="1"/>
  <c r="AJ263" i="1"/>
  <c r="AK263" i="1"/>
  <c r="AL263" i="1"/>
  <c r="AO263" i="1"/>
  <c r="AP263" i="1"/>
  <c r="AV263" i="1"/>
  <c r="AW263" i="1"/>
  <c r="AX263" i="1"/>
  <c r="BC263" i="1"/>
  <c r="BD263" i="1"/>
  <c r="BF263" i="1"/>
  <c r="BH263" i="1"/>
  <c r="BI263" i="1"/>
  <c r="BJ263" i="1"/>
  <c r="I264" i="1"/>
  <c r="J264" i="1"/>
  <c r="K264" i="1"/>
  <c r="Z264" i="1"/>
  <c r="AB264" i="1"/>
  <c r="AC264" i="1"/>
  <c r="AD264" i="1"/>
  <c r="AE264" i="1"/>
  <c r="AF264" i="1"/>
  <c r="AG264" i="1"/>
  <c r="AH264" i="1"/>
  <c r="AJ264" i="1"/>
  <c r="AK264" i="1"/>
  <c r="AL264" i="1"/>
  <c r="AO264" i="1"/>
  <c r="AP264" i="1"/>
  <c r="AV264" i="1"/>
  <c r="AW264" i="1"/>
  <c r="AX264" i="1"/>
  <c r="BC264" i="1"/>
  <c r="BD264" i="1"/>
  <c r="BF264" i="1"/>
  <c r="BH264" i="1"/>
  <c r="BI264" i="1"/>
  <c r="BJ264" i="1"/>
  <c r="I265" i="1"/>
  <c r="J265" i="1"/>
  <c r="K265" i="1"/>
  <c r="Z265" i="1"/>
  <c r="AB265" i="1"/>
  <c r="AC265" i="1"/>
  <c r="AD265" i="1"/>
  <c r="AE265" i="1"/>
  <c r="AF265" i="1"/>
  <c r="AG265" i="1"/>
  <c r="AH265" i="1"/>
  <c r="AJ265" i="1"/>
  <c r="AK265" i="1"/>
  <c r="AL265" i="1"/>
  <c r="AO265" i="1"/>
  <c r="AP265" i="1"/>
  <c r="AV265" i="1"/>
  <c r="AW265" i="1"/>
  <c r="AX265" i="1"/>
  <c r="BC265" i="1"/>
  <c r="BD265" i="1"/>
  <c r="BF265" i="1"/>
  <c r="BH265" i="1"/>
  <c r="BI265" i="1"/>
  <c r="BJ265" i="1"/>
  <c r="I266" i="1"/>
  <c r="J266" i="1"/>
  <c r="K266" i="1"/>
  <c r="Z266" i="1"/>
  <c r="AB266" i="1"/>
  <c r="AC266" i="1"/>
  <c r="AD266" i="1"/>
  <c r="AE266" i="1"/>
  <c r="AF266" i="1"/>
  <c r="AG266" i="1"/>
  <c r="AH266" i="1"/>
  <c r="AJ266" i="1"/>
  <c r="AK266" i="1"/>
  <c r="AL266" i="1"/>
  <c r="AO266" i="1"/>
  <c r="AP266" i="1"/>
  <c r="AV266" i="1"/>
  <c r="AW266" i="1"/>
  <c r="AX266" i="1"/>
  <c r="BC266" i="1"/>
  <c r="BD266" i="1"/>
  <c r="BF266" i="1"/>
  <c r="BH266" i="1"/>
  <c r="BI266" i="1"/>
  <c r="BJ266" i="1"/>
  <c r="I267" i="1"/>
  <c r="J267" i="1"/>
  <c r="K267" i="1"/>
  <c r="Z267" i="1"/>
  <c r="AB267" i="1"/>
  <c r="AC267" i="1"/>
  <c r="AD267" i="1"/>
  <c r="AE267" i="1"/>
  <c r="AF267" i="1"/>
  <c r="AG267" i="1"/>
  <c r="AH267" i="1"/>
  <c r="AJ267" i="1"/>
  <c r="AK267" i="1"/>
  <c r="AL267" i="1"/>
  <c r="AO267" i="1"/>
  <c r="AP267" i="1"/>
  <c r="AV267" i="1"/>
  <c r="AW267" i="1"/>
  <c r="AX267" i="1"/>
  <c r="BC267" i="1"/>
  <c r="BD267" i="1"/>
  <c r="BF267" i="1"/>
  <c r="BH267" i="1"/>
  <c r="BI267" i="1"/>
  <c r="BJ267" i="1"/>
  <c r="I268" i="1"/>
  <c r="J268" i="1"/>
  <c r="K268" i="1"/>
  <c r="Z268" i="1"/>
  <c r="AB268" i="1"/>
  <c r="AC268" i="1"/>
  <c r="AD268" i="1"/>
  <c r="AE268" i="1"/>
  <c r="AF268" i="1"/>
  <c r="AG268" i="1"/>
  <c r="AH268" i="1"/>
  <c r="AJ268" i="1"/>
  <c r="AK268" i="1"/>
  <c r="AL268" i="1"/>
  <c r="AO268" i="1"/>
  <c r="AP268" i="1"/>
  <c r="AV268" i="1"/>
  <c r="AW268" i="1"/>
  <c r="AX268" i="1"/>
  <c r="BC268" i="1"/>
  <c r="BD268" i="1"/>
  <c r="BF268" i="1"/>
  <c r="BH268" i="1"/>
  <c r="BI268" i="1"/>
  <c r="BJ268" i="1"/>
  <c r="I270" i="1"/>
  <c r="J270" i="1"/>
  <c r="K270" i="1"/>
  <c r="AS270" i="1"/>
  <c r="AT270" i="1"/>
  <c r="AU270" i="1"/>
  <c r="I271" i="1"/>
  <c r="J271" i="1"/>
  <c r="K271" i="1"/>
  <c r="Z271" i="1"/>
  <c r="AB271" i="1"/>
  <c r="AC271" i="1"/>
  <c r="AD271" i="1"/>
  <c r="AE271" i="1"/>
  <c r="AF271" i="1"/>
  <c r="AG271" i="1"/>
  <c r="AH271" i="1"/>
  <c r="AJ271" i="1"/>
  <c r="AK271" i="1"/>
  <c r="AL271" i="1"/>
  <c r="AO271" i="1"/>
  <c r="AP271" i="1"/>
  <c r="AV271" i="1"/>
  <c r="AW271" i="1"/>
  <c r="AX271" i="1"/>
  <c r="BC271" i="1"/>
  <c r="BD271" i="1"/>
  <c r="BF271" i="1"/>
  <c r="BH271" i="1"/>
  <c r="BI271" i="1"/>
  <c r="BJ271" i="1"/>
  <c r="I273" i="1"/>
  <c r="J273" i="1"/>
  <c r="K273" i="1"/>
  <c r="Z273" i="1"/>
  <c r="AB273" i="1"/>
  <c r="AC273" i="1"/>
  <c r="AD273" i="1"/>
  <c r="AE273" i="1"/>
  <c r="AF273" i="1"/>
  <c r="AG273" i="1"/>
  <c r="AH273" i="1"/>
  <c r="AJ273" i="1"/>
  <c r="AK273" i="1"/>
  <c r="AL273" i="1"/>
  <c r="AO273" i="1"/>
  <c r="AP273" i="1"/>
  <c r="AV273" i="1"/>
  <c r="AW273" i="1"/>
  <c r="AX273" i="1"/>
  <c r="BC273" i="1"/>
  <c r="BD273" i="1"/>
  <c r="BF273" i="1"/>
  <c r="BH273" i="1"/>
  <c r="BI273" i="1"/>
  <c r="BJ273" i="1"/>
  <c r="I274" i="1"/>
  <c r="J274" i="1"/>
  <c r="K274" i="1"/>
  <c r="Z274" i="1"/>
  <c r="AB274" i="1"/>
  <c r="AC274" i="1"/>
  <c r="AD274" i="1"/>
  <c r="AE274" i="1"/>
  <c r="AF274" i="1"/>
  <c r="AG274" i="1"/>
  <c r="AH274" i="1"/>
  <c r="AJ274" i="1"/>
  <c r="AK274" i="1"/>
  <c r="AL274" i="1"/>
  <c r="AO274" i="1"/>
  <c r="AP274" i="1"/>
  <c r="AV274" i="1"/>
  <c r="AW274" i="1"/>
  <c r="AX274" i="1"/>
  <c r="BC274" i="1"/>
  <c r="BD274" i="1"/>
  <c r="BF274" i="1"/>
  <c r="BH274" i="1"/>
  <c r="BI274" i="1"/>
  <c r="BJ274" i="1"/>
  <c r="I275" i="1"/>
  <c r="J275" i="1"/>
  <c r="K275" i="1"/>
  <c r="Z275" i="1"/>
  <c r="AB275" i="1"/>
  <c r="AC275" i="1"/>
  <c r="AD275" i="1"/>
  <c r="AE275" i="1"/>
  <c r="AF275" i="1"/>
  <c r="AG275" i="1"/>
  <c r="AH275" i="1"/>
  <c r="AJ275" i="1"/>
  <c r="AK275" i="1"/>
  <c r="AL275" i="1"/>
  <c r="AO275" i="1"/>
  <c r="AP275" i="1"/>
  <c r="AV275" i="1"/>
  <c r="AW275" i="1"/>
  <c r="AX275" i="1"/>
  <c r="BC275" i="1"/>
  <c r="BD275" i="1"/>
  <c r="BF275" i="1"/>
  <c r="BH275" i="1"/>
  <c r="BI275" i="1"/>
  <c r="BJ275" i="1"/>
  <c r="I276" i="1"/>
  <c r="J276" i="1"/>
  <c r="K276" i="1"/>
  <c r="Z276" i="1"/>
  <c r="AB276" i="1"/>
  <c r="AC276" i="1"/>
  <c r="AD276" i="1"/>
  <c r="AE276" i="1"/>
  <c r="AF276" i="1"/>
  <c r="AG276" i="1"/>
  <c r="AH276" i="1"/>
  <c r="AJ276" i="1"/>
  <c r="AK276" i="1"/>
  <c r="AL276" i="1"/>
  <c r="AO276" i="1"/>
  <c r="AP276" i="1"/>
  <c r="AV276" i="1"/>
  <c r="AW276" i="1"/>
  <c r="AX276" i="1"/>
  <c r="BC276" i="1"/>
  <c r="BD276" i="1"/>
  <c r="BF276" i="1"/>
  <c r="BH276" i="1"/>
  <c r="BI276" i="1"/>
  <c r="BJ276" i="1"/>
  <c r="I277" i="1"/>
  <c r="J277" i="1"/>
  <c r="K277" i="1"/>
  <c r="Z277" i="1"/>
  <c r="AB277" i="1"/>
  <c r="AC277" i="1"/>
  <c r="AD277" i="1"/>
  <c r="AE277" i="1"/>
  <c r="AF277" i="1"/>
  <c r="AG277" i="1"/>
  <c r="AH277" i="1"/>
  <c r="AJ277" i="1"/>
  <c r="AK277" i="1"/>
  <c r="AL277" i="1"/>
  <c r="AO277" i="1"/>
  <c r="AP277" i="1"/>
  <c r="AV277" i="1"/>
  <c r="AW277" i="1"/>
  <c r="AX277" i="1"/>
  <c r="BC277" i="1"/>
  <c r="BD277" i="1"/>
  <c r="BF277" i="1"/>
  <c r="BH277" i="1"/>
  <c r="BI277" i="1"/>
  <c r="BJ277" i="1"/>
  <c r="I278" i="1"/>
  <c r="J278" i="1"/>
  <c r="K278" i="1"/>
  <c r="Z278" i="1"/>
  <c r="AB278" i="1"/>
  <c r="AC278" i="1"/>
  <c r="AD278" i="1"/>
  <c r="AE278" i="1"/>
  <c r="AF278" i="1"/>
  <c r="AG278" i="1"/>
  <c r="AH278" i="1"/>
  <c r="AJ278" i="1"/>
  <c r="AK278" i="1"/>
  <c r="AL278" i="1"/>
  <c r="AO278" i="1"/>
  <c r="AP278" i="1"/>
  <c r="AV278" i="1"/>
  <c r="AW278" i="1"/>
  <c r="AX278" i="1"/>
  <c r="BC278" i="1"/>
  <c r="BD278" i="1"/>
  <c r="BF278" i="1"/>
  <c r="BH278" i="1"/>
  <c r="BI278" i="1"/>
  <c r="BJ278" i="1"/>
  <c r="I279" i="1"/>
  <c r="J279" i="1"/>
  <c r="K279" i="1"/>
  <c r="Z279" i="1"/>
  <c r="AB279" i="1"/>
  <c r="AC279" i="1"/>
  <c r="AD279" i="1"/>
  <c r="AE279" i="1"/>
  <c r="AF279" i="1"/>
  <c r="AG279" i="1"/>
  <c r="AH279" i="1"/>
  <c r="AJ279" i="1"/>
  <c r="AK279" i="1"/>
  <c r="AL279" i="1"/>
  <c r="AO279" i="1"/>
  <c r="AP279" i="1"/>
  <c r="AV279" i="1"/>
  <c r="AW279" i="1"/>
  <c r="AX279" i="1"/>
  <c r="BC279" i="1"/>
  <c r="BD279" i="1"/>
  <c r="BF279" i="1"/>
  <c r="BH279" i="1"/>
  <c r="BI279" i="1"/>
  <c r="BJ279" i="1"/>
  <c r="I280" i="1"/>
  <c r="J280" i="1"/>
  <c r="K280" i="1"/>
  <c r="Z280" i="1"/>
  <c r="AB280" i="1"/>
  <c r="AC280" i="1"/>
  <c r="AD280" i="1"/>
  <c r="AE280" i="1"/>
  <c r="AF280" i="1"/>
  <c r="AG280" i="1"/>
  <c r="AH280" i="1"/>
  <c r="AJ280" i="1"/>
  <c r="AK280" i="1"/>
  <c r="AL280" i="1"/>
  <c r="AO280" i="1"/>
  <c r="AP280" i="1"/>
  <c r="AV280" i="1"/>
  <c r="AW280" i="1"/>
  <c r="AX280" i="1"/>
  <c r="BC280" i="1"/>
  <c r="BD280" i="1"/>
  <c r="BF280" i="1"/>
  <c r="BH280" i="1"/>
  <c r="BI280" i="1"/>
  <c r="BJ280" i="1"/>
  <c r="I282" i="1"/>
  <c r="J282" i="1"/>
  <c r="K282" i="1"/>
  <c r="Z282" i="1"/>
  <c r="AB282" i="1"/>
  <c r="AC282" i="1"/>
  <c r="AD282" i="1"/>
  <c r="AE282" i="1"/>
  <c r="AF282" i="1"/>
  <c r="AG282" i="1"/>
  <c r="AH282" i="1"/>
  <c r="AJ282" i="1"/>
  <c r="AK282" i="1"/>
  <c r="AL282" i="1"/>
  <c r="AO282" i="1"/>
  <c r="AP282" i="1"/>
  <c r="AV282" i="1"/>
  <c r="AW282" i="1"/>
  <c r="AX282" i="1"/>
  <c r="BC282" i="1"/>
  <c r="BD282" i="1"/>
  <c r="BF282" i="1"/>
  <c r="BH282" i="1"/>
  <c r="BI282" i="1"/>
  <c r="BJ282" i="1"/>
  <c r="I284" i="1"/>
  <c r="J284" i="1"/>
  <c r="K284" i="1"/>
  <c r="Z284" i="1"/>
  <c r="AB284" i="1"/>
  <c r="AC284" i="1"/>
  <c r="AD284" i="1"/>
  <c r="AE284" i="1"/>
  <c r="AF284" i="1"/>
  <c r="AG284" i="1"/>
  <c r="AH284" i="1"/>
  <c r="AJ284" i="1"/>
  <c r="AK284" i="1"/>
  <c r="AL284" i="1"/>
  <c r="AO284" i="1"/>
  <c r="AP284" i="1"/>
  <c r="AV284" i="1"/>
  <c r="AW284" i="1"/>
  <c r="AX284" i="1"/>
  <c r="BC284" i="1"/>
  <c r="BD284" i="1"/>
  <c r="BF284" i="1"/>
  <c r="BH284" i="1"/>
  <c r="BI284" i="1"/>
  <c r="BJ284" i="1"/>
  <c r="I286" i="1"/>
  <c r="J286" i="1"/>
  <c r="K286" i="1"/>
  <c r="Z286" i="1"/>
  <c r="AB286" i="1"/>
  <c r="AC286" i="1"/>
  <c r="AD286" i="1"/>
  <c r="AE286" i="1"/>
  <c r="AF286" i="1"/>
  <c r="AG286" i="1"/>
  <c r="AH286" i="1"/>
  <c r="AJ286" i="1"/>
  <c r="AK286" i="1"/>
  <c r="AL286" i="1"/>
  <c r="AO286" i="1"/>
  <c r="AP286" i="1"/>
  <c r="AV286" i="1"/>
  <c r="AW286" i="1"/>
  <c r="AX286" i="1"/>
  <c r="BC286" i="1"/>
  <c r="BD286" i="1"/>
  <c r="BF286" i="1"/>
  <c r="BH286" i="1"/>
  <c r="BI286" i="1"/>
  <c r="BJ286" i="1"/>
  <c r="I287" i="1"/>
  <c r="J287" i="1"/>
  <c r="K287" i="1"/>
  <c r="Z287" i="1"/>
  <c r="AB287" i="1"/>
  <c r="AC287" i="1"/>
  <c r="AD287" i="1"/>
  <c r="AE287" i="1"/>
  <c r="AF287" i="1"/>
  <c r="AG287" i="1"/>
  <c r="AH287" i="1"/>
  <c r="AJ287" i="1"/>
  <c r="AK287" i="1"/>
  <c r="AL287" i="1"/>
  <c r="AO287" i="1"/>
  <c r="AP287" i="1"/>
  <c r="AV287" i="1"/>
  <c r="AW287" i="1"/>
  <c r="AX287" i="1"/>
  <c r="BC287" i="1"/>
  <c r="BD287" i="1"/>
  <c r="BF287" i="1"/>
  <c r="BH287" i="1"/>
  <c r="BI287" i="1"/>
  <c r="BJ287" i="1"/>
  <c r="I288" i="1"/>
  <c r="J288" i="1"/>
  <c r="K288" i="1"/>
  <c r="Z288" i="1"/>
  <c r="AB288" i="1"/>
  <c r="AC288" i="1"/>
  <c r="AD288" i="1"/>
  <c r="AE288" i="1"/>
  <c r="AF288" i="1"/>
  <c r="AG288" i="1"/>
  <c r="AH288" i="1"/>
  <c r="AJ288" i="1"/>
  <c r="AK288" i="1"/>
  <c r="AL288" i="1"/>
  <c r="AO288" i="1"/>
  <c r="AP288" i="1"/>
  <c r="AV288" i="1"/>
  <c r="AW288" i="1"/>
  <c r="AX288" i="1"/>
  <c r="BC288" i="1"/>
  <c r="BD288" i="1"/>
  <c r="BF288" i="1"/>
  <c r="BH288" i="1"/>
  <c r="BI288" i="1"/>
  <c r="BJ288" i="1"/>
  <c r="I290" i="1"/>
  <c r="J290" i="1"/>
  <c r="K290" i="1"/>
  <c r="Z290" i="1"/>
  <c r="AB290" i="1"/>
  <c r="AC290" i="1"/>
  <c r="AD290" i="1"/>
  <c r="AE290" i="1"/>
  <c r="AF290" i="1"/>
  <c r="AG290" i="1"/>
  <c r="AH290" i="1"/>
  <c r="AJ290" i="1"/>
  <c r="AK290" i="1"/>
  <c r="AL290" i="1"/>
  <c r="AO290" i="1"/>
  <c r="AP290" i="1"/>
  <c r="AV290" i="1"/>
  <c r="AW290" i="1"/>
  <c r="AX290" i="1"/>
  <c r="BC290" i="1"/>
  <c r="BD290" i="1"/>
  <c r="BF290" i="1"/>
  <c r="BH290" i="1"/>
  <c r="BI290" i="1"/>
  <c r="BJ290" i="1"/>
  <c r="I291" i="1"/>
  <c r="J291" i="1"/>
  <c r="K291" i="1"/>
  <c r="Z291" i="1"/>
  <c r="AB291" i="1"/>
  <c r="AC291" i="1"/>
  <c r="AD291" i="1"/>
  <c r="AE291" i="1"/>
  <c r="AF291" i="1"/>
  <c r="AG291" i="1"/>
  <c r="AH291" i="1"/>
  <c r="AJ291" i="1"/>
  <c r="AK291" i="1"/>
  <c r="AL291" i="1"/>
  <c r="AO291" i="1"/>
  <c r="AP291" i="1"/>
  <c r="AV291" i="1"/>
  <c r="AW291" i="1"/>
  <c r="AX291" i="1"/>
  <c r="BC291" i="1"/>
  <c r="BD291" i="1"/>
  <c r="BF291" i="1"/>
  <c r="BH291" i="1"/>
  <c r="BI291" i="1"/>
  <c r="BJ291" i="1"/>
  <c r="I292" i="1"/>
  <c r="J292" i="1"/>
  <c r="K292" i="1"/>
  <c r="Z292" i="1"/>
  <c r="AB292" i="1"/>
  <c r="AC292" i="1"/>
  <c r="AD292" i="1"/>
  <c r="AE292" i="1"/>
  <c r="AF292" i="1"/>
  <c r="AG292" i="1"/>
  <c r="AH292" i="1"/>
  <c r="AJ292" i="1"/>
  <c r="AK292" i="1"/>
  <c r="AL292" i="1"/>
  <c r="AO292" i="1"/>
  <c r="AP292" i="1"/>
  <c r="AV292" i="1"/>
  <c r="AW292" i="1"/>
  <c r="AX292" i="1"/>
  <c r="BC292" i="1"/>
  <c r="BD292" i="1"/>
  <c r="BF292" i="1"/>
  <c r="BH292" i="1"/>
  <c r="BI292" i="1"/>
  <c r="BJ292" i="1"/>
  <c r="I293" i="1"/>
  <c r="J293" i="1"/>
  <c r="K293" i="1"/>
  <c r="Z293" i="1"/>
  <c r="AB293" i="1"/>
  <c r="AC293" i="1"/>
  <c r="AD293" i="1"/>
  <c r="AE293" i="1"/>
  <c r="AF293" i="1"/>
  <c r="AG293" i="1"/>
  <c r="AH293" i="1"/>
  <c r="AJ293" i="1"/>
  <c r="AK293" i="1"/>
  <c r="AL293" i="1"/>
  <c r="AO293" i="1"/>
  <c r="AP293" i="1"/>
  <c r="AV293" i="1"/>
  <c r="AW293" i="1"/>
  <c r="AX293" i="1"/>
  <c r="BC293" i="1"/>
  <c r="BD293" i="1"/>
  <c r="BF293" i="1"/>
  <c r="BH293" i="1"/>
  <c r="BI293" i="1"/>
  <c r="BJ293" i="1"/>
  <c r="I294" i="1"/>
  <c r="J294" i="1"/>
  <c r="K294" i="1"/>
  <c r="Z294" i="1"/>
  <c r="AB294" i="1"/>
  <c r="AC294" i="1"/>
  <c r="AD294" i="1"/>
  <c r="AE294" i="1"/>
  <c r="AF294" i="1"/>
  <c r="AG294" i="1"/>
  <c r="AH294" i="1"/>
  <c r="AJ294" i="1"/>
  <c r="AK294" i="1"/>
  <c r="AL294" i="1"/>
  <c r="AO294" i="1"/>
  <c r="AP294" i="1"/>
  <c r="AV294" i="1"/>
  <c r="AW294" i="1"/>
  <c r="AX294" i="1"/>
  <c r="BC294" i="1"/>
  <c r="BD294" i="1"/>
  <c r="BF294" i="1"/>
  <c r="BH294" i="1"/>
  <c r="BI294" i="1"/>
  <c r="BJ294" i="1"/>
  <c r="I295" i="1"/>
  <c r="J295" i="1"/>
  <c r="K295" i="1"/>
  <c r="Z295" i="1"/>
  <c r="AB295" i="1"/>
  <c r="AC295" i="1"/>
  <c r="AD295" i="1"/>
  <c r="AE295" i="1"/>
  <c r="AF295" i="1"/>
  <c r="AG295" i="1"/>
  <c r="AH295" i="1"/>
  <c r="AJ295" i="1"/>
  <c r="AK295" i="1"/>
  <c r="AL295" i="1"/>
  <c r="AO295" i="1"/>
  <c r="AP295" i="1"/>
  <c r="AV295" i="1"/>
  <c r="AW295" i="1"/>
  <c r="AX295" i="1"/>
  <c r="BC295" i="1"/>
  <c r="BD295" i="1"/>
  <c r="BF295" i="1"/>
  <c r="BH295" i="1"/>
  <c r="BI295" i="1"/>
  <c r="BJ295" i="1"/>
  <c r="I296" i="1"/>
  <c r="J296" i="1"/>
  <c r="K296" i="1"/>
  <c r="Z296" i="1"/>
  <c r="AB296" i="1"/>
  <c r="AC296" i="1"/>
  <c r="AD296" i="1"/>
  <c r="AE296" i="1"/>
  <c r="AF296" i="1"/>
  <c r="AG296" i="1"/>
  <c r="AH296" i="1"/>
  <c r="AJ296" i="1"/>
  <c r="AK296" i="1"/>
  <c r="AL296" i="1"/>
  <c r="AO296" i="1"/>
  <c r="AP296" i="1"/>
  <c r="AV296" i="1"/>
  <c r="AW296" i="1"/>
  <c r="AX296" i="1"/>
  <c r="BC296" i="1"/>
  <c r="BD296" i="1"/>
  <c r="BF296" i="1"/>
  <c r="BH296" i="1"/>
  <c r="BI296" i="1"/>
  <c r="BJ296" i="1"/>
  <c r="I298" i="1"/>
  <c r="J298" i="1"/>
  <c r="K298" i="1"/>
  <c r="Z298" i="1"/>
  <c r="AB298" i="1"/>
  <c r="AC298" i="1"/>
  <c r="AD298" i="1"/>
  <c r="AE298" i="1"/>
  <c r="AF298" i="1"/>
  <c r="AG298" i="1"/>
  <c r="AH298" i="1"/>
  <c r="AJ298" i="1"/>
  <c r="AK298" i="1"/>
  <c r="AL298" i="1"/>
  <c r="AO298" i="1"/>
  <c r="AP298" i="1"/>
  <c r="AV298" i="1"/>
  <c r="AW298" i="1"/>
  <c r="AX298" i="1"/>
  <c r="BC298" i="1"/>
  <c r="BD298" i="1"/>
  <c r="BF298" i="1"/>
  <c r="BH298" i="1"/>
  <c r="BI298" i="1"/>
  <c r="BJ298" i="1"/>
  <c r="I300" i="1"/>
  <c r="J300" i="1"/>
  <c r="K300" i="1"/>
  <c r="Z300" i="1"/>
  <c r="AB300" i="1"/>
  <c r="AC300" i="1"/>
  <c r="AD300" i="1"/>
  <c r="AE300" i="1"/>
  <c r="AF300" i="1"/>
  <c r="AG300" i="1"/>
  <c r="AH300" i="1"/>
  <c r="AJ300" i="1"/>
  <c r="AK300" i="1"/>
  <c r="AL300" i="1"/>
  <c r="AO300" i="1"/>
  <c r="AP300" i="1"/>
  <c r="AV300" i="1"/>
  <c r="AW300" i="1"/>
  <c r="AX300" i="1"/>
  <c r="BC300" i="1"/>
  <c r="BD300" i="1"/>
  <c r="BF300" i="1"/>
  <c r="BH300" i="1"/>
  <c r="BI300" i="1"/>
  <c r="BJ300" i="1"/>
  <c r="I302" i="1"/>
  <c r="J302" i="1"/>
  <c r="K302" i="1"/>
  <c r="Z302" i="1"/>
  <c r="AB302" i="1"/>
  <c r="AC302" i="1"/>
  <c r="AD302" i="1"/>
  <c r="AE302" i="1"/>
  <c r="AF302" i="1"/>
  <c r="AG302" i="1"/>
  <c r="AH302" i="1"/>
  <c r="AJ302" i="1"/>
  <c r="AK302" i="1"/>
  <c r="AL302" i="1"/>
  <c r="AO302" i="1"/>
  <c r="AP302" i="1"/>
  <c r="AV302" i="1"/>
  <c r="AW302" i="1"/>
  <c r="AX302" i="1"/>
  <c r="BC302" i="1"/>
  <c r="BD302" i="1"/>
  <c r="BF302" i="1"/>
  <c r="BH302" i="1"/>
  <c r="BI302" i="1"/>
  <c r="BJ302" i="1"/>
  <c r="I303" i="1"/>
  <c r="J303" i="1"/>
  <c r="K303" i="1"/>
  <c r="Z303" i="1"/>
  <c r="AB303" i="1"/>
  <c r="AC303" i="1"/>
  <c r="AD303" i="1"/>
  <c r="AE303" i="1"/>
  <c r="AF303" i="1"/>
  <c r="AG303" i="1"/>
  <c r="AH303" i="1"/>
  <c r="AJ303" i="1"/>
  <c r="AK303" i="1"/>
  <c r="AL303" i="1"/>
  <c r="AO303" i="1"/>
  <c r="AP303" i="1"/>
  <c r="AV303" i="1"/>
  <c r="AW303" i="1"/>
  <c r="AX303" i="1"/>
  <c r="BC303" i="1"/>
  <c r="BD303" i="1"/>
  <c r="BF303" i="1"/>
  <c r="BH303" i="1"/>
  <c r="BI303" i="1"/>
  <c r="BJ303" i="1"/>
  <c r="I304" i="1"/>
  <c r="J304" i="1"/>
  <c r="K304" i="1"/>
  <c r="Z304" i="1"/>
  <c r="AB304" i="1"/>
  <c r="AC304" i="1"/>
  <c r="AD304" i="1"/>
  <c r="AE304" i="1"/>
  <c r="AF304" i="1"/>
  <c r="AG304" i="1"/>
  <c r="AH304" i="1"/>
  <c r="AJ304" i="1"/>
  <c r="AK304" i="1"/>
  <c r="AL304" i="1"/>
  <c r="AO304" i="1"/>
  <c r="AP304" i="1"/>
  <c r="AV304" i="1"/>
  <c r="AW304" i="1"/>
  <c r="AX304" i="1"/>
  <c r="BC304" i="1"/>
  <c r="BD304" i="1"/>
  <c r="BF304" i="1"/>
  <c r="BH304" i="1"/>
  <c r="BI304" i="1"/>
  <c r="BJ304" i="1"/>
  <c r="I306" i="1"/>
  <c r="J306" i="1"/>
  <c r="K306" i="1"/>
  <c r="Z306" i="1"/>
  <c r="AB306" i="1"/>
  <c r="AC306" i="1"/>
  <c r="AD306" i="1"/>
  <c r="AE306" i="1"/>
  <c r="AF306" i="1"/>
  <c r="AG306" i="1"/>
  <c r="AH306" i="1"/>
  <c r="AJ306" i="1"/>
  <c r="AK306" i="1"/>
  <c r="AL306" i="1"/>
  <c r="AO306" i="1"/>
  <c r="AP306" i="1"/>
  <c r="AV306" i="1"/>
  <c r="AW306" i="1"/>
  <c r="AX306" i="1"/>
  <c r="BC306" i="1"/>
  <c r="BD306" i="1"/>
  <c r="BF306" i="1"/>
  <c r="BH306" i="1"/>
  <c r="BI306" i="1"/>
  <c r="BJ306" i="1"/>
  <c r="I307" i="1"/>
  <c r="J307" i="1"/>
  <c r="K307" i="1"/>
  <c r="Z307" i="1"/>
  <c r="AB307" i="1"/>
  <c r="AC307" i="1"/>
  <c r="AD307" i="1"/>
  <c r="AE307" i="1"/>
  <c r="AF307" i="1"/>
  <c r="AG307" i="1"/>
  <c r="AH307" i="1"/>
  <c r="AJ307" i="1"/>
  <c r="AK307" i="1"/>
  <c r="AL307" i="1"/>
  <c r="AO307" i="1"/>
  <c r="AP307" i="1"/>
  <c r="AV307" i="1"/>
  <c r="AW307" i="1"/>
  <c r="AX307" i="1"/>
  <c r="BC307" i="1"/>
  <c r="BD307" i="1"/>
  <c r="BF307" i="1"/>
  <c r="BH307" i="1"/>
  <c r="BI307" i="1"/>
  <c r="BJ307" i="1"/>
  <c r="I309" i="1"/>
  <c r="J309" i="1"/>
  <c r="K309" i="1"/>
  <c r="Z309" i="1"/>
  <c r="AB309" i="1"/>
  <c r="AC309" i="1"/>
  <c r="AD309" i="1"/>
  <c r="AE309" i="1"/>
  <c r="AF309" i="1"/>
  <c r="AG309" i="1"/>
  <c r="AH309" i="1"/>
  <c r="AJ309" i="1"/>
  <c r="AK309" i="1"/>
  <c r="AL309" i="1"/>
  <c r="AO309" i="1"/>
  <c r="AP309" i="1"/>
  <c r="AV309" i="1"/>
  <c r="AW309" i="1"/>
  <c r="AX309" i="1"/>
  <c r="BC309" i="1"/>
  <c r="BD309" i="1"/>
  <c r="BF309" i="1"/>
  <c r="BH309" i="1"/>
  <c r="BI309" i="1"/>
  <c r="BJ309" i="1"/>
  <c r="I310" i="1"/>
  <c r="J310" i="1"/>
  <c r="K310" i="1"/>
  <c r="Z310" i="1"/>
  <c r="AB310" i="1"/>
  <c r="AC310" i="1"/>
  <c r="AD310" i="1"/>
  <c r="AE310" i="1"/>
  <c r="AF310" i="1"/>
  <c r="AG310" i="1"/>
  <c r="AH310" i="1"/>
  <c r="AJ310" i="1"/>
  <c r="AK310" i="1"/>
  <c r="AL310" i="1"/>
  <c r="AO310" i="1"/>
  <c r="AP310" i="1"/>
  <c r="AV310" i="1"/>
  <c r="AW310" i="1"/>
  <c r="AX310" i="1"/>
  <c r="BC310" i="1"/>
  <c r="BD310" i="1"/>
  <c r="BF310" i="1"/>
  <c r="BH310" i="1"/>
  <c r="BI310" i="1"/>
  <c r="BJ310" i="1"/>
  <c r="I311" i="1"/>
  <c r="J311" i="1"/>
  <c r="K311" i="1"/>
  <c r="Z311" i="1"/>
  <c r="AB311" i="1"/>
  <c r="AC311" i="1"/>
  <c r="AD311" i="1"/>
  <c r="AE311" i="1"/>
  <c r="AF311" i="1"/>
  <c r="AG311" i="1"/>
  <c r="AH311" i="1"/>
  <c r="AJ311" i="1"/>
  <c r="AK311" i="1"/>
  <c r="AL311" i="1"/>
  <c r="AO311" i="1"/>
  <c r="AP311" i="1"/>
  <c r="AV311" i="1"/>
  <c r="AW311" i="1"/>
  <c r="AX311" i="1"/>
  <c r="BC311" i="1"/>
  <c r="BD311" i="1"/>
  <c r="BF311" i="1"/>
  <c r="BH311" i="1"/>
  <c r="BI311" i="1"/>
  <c r="BJ311" i="1"/>
  <c r="I312" i="1"/>
  <c r="J312" i="1"/>
  <c r="K312" i="1"/>
  <c r="Z312" i="1"/>
  <c r="AB312" i="1"/>
  <c r="AC312" i="1"/>
  <c r="AD312" i="1"/>
  <c r="AE312" i="1"/>
  <c r="AF312" i="1"/>
  <c r="AG312" i="1"/>
  <c r="AH312" i="1"/>
  <c r="AJ312" i="1"/>
  <c r="AK312" i="1"/>
  <c r="AL312" i="1"/>
  <c r="AO312" i="1"/>
  <c r="AP312" i="1"/>
  <c r="AV312" i="1"/>
  <c r="AW312" i="1"/>
  <c r="AX312" i="1"/>
  <c r="BC312" i="1"/>
  <c r="BD312" i="1"/>
  <c r="BF312" i="1"/>
  <c r="BH312" i="1"/>
  <c r="BI312" i="1"/>
  <c r="BJ312" i="1"/>
  <c r="I313" i="1"/>
  <c r="J313" i="1"/>
  <c r="K313" i="1"/>
  <c r="Z313" i="1"/>
  <c r="AB313" i="1"/>
  <c r="AC313" i="1"/>
  <c r="AD313" i="1"/>
  <c r="AE313" i="1"/>
  <c r="AF313" i="1"/>
  <c r="AG313" i="1"/>
  <c r="AH313" i="1"/>
  <c r="AJ313" i="1"/>
  <c r="AK313" i="1"/>
  <c r="AL313" i="1"/>
  <c r="AO313" i="1"/>
  <c r="AP313" i="1"/>
  <c r="AV313" i="1"/>
  <c r="AW313" i="1"/>
  <c r="AX313" i="1"/>
  <c r="BC313" i="1"/>
  <c r="BD313" i="1"/>
  <c r="BF313" i="1"/>
  <c r="BH313" i="1"/>
  <c r="BI313" i="1"/>
  <c r="BJ313" i="1"/>
  <c r="I314" i="1"/>
  <c r="J314" i="1"/>
  <c r="K314" i="1"/>
  <c r="Z314" i="1"/>
  <c r="AB314" i="1"/>
  <c r="AC314" i="1"/>
  <c r="AD314" i="1"/>
  <c r="AE314" i="1"/>
  <c r="AF314" i="1"/>
  <c r="AG314" i="1"/>
  <c r="AH314" i="1"/>
  <c r="AJ314" i="1"/>
  <c r="AK314" i="1"/>
  <c r="AL314" i="1"/>
  <c r="AO314" i="1"/>
  <c r="AP314" i="1"/>
  <c r="AV314" i="1"/>
  <c r="AW314" i="1"/>
  <c r="AX314" i="1"/>
  <c r="BC314" i="1"/>
  <c r="BD314" i="1"/>
  <c r="BF314" i="1"/>
  <c r="BH314" i="1"/>
  <c r="BI314" i="1"/>
  <c r="BJ314" i="1"/>
  <c r="I315" i="1"/>
  <c r="J315" i="1"/>
  <c r="K315" i="1"/>
  <c r="Z315" i="1"/>
  <c r="AB315" i="1"/>
  <c r="AC315" i="1"/>
  <c r="AD315" i="1"/>
  <c r="AE315" i="1"/>
  <c r="AF315" i="1"/>
  <c r="AG315" i="1"/>
  <c r="AH315" i="1"/>
  <c r="AJ315" i="1"/>
  <c r="AK315" i="1"/>
  <c r="AL315" i="1"/>
  <c r="AO315" i="1"/>
  <c r="AP315" i="1"/>
  <c r="AV315" i="1"/>
  <c r="AW315" i="1"/>
  <c r="AX315" i="1"/>
  <c r="BC315" i="1"/>
  <c r="BD315" i="1"/>
  <c r="BF315" i="1"/>
  <c r="BH315" i="1"/>
  <c r="BI315" i="1"/>
  <c r="BJ315" i="1"/>
  <c r="I316" i="1"/>
  <c r="J316" i="1"/>
  <c r="K316" i="1"/>
  <c r="Z316" i="1"/>
  <c r="AB316" i="1"/>
  <c r="AC316" i="1"/>
  <c r="AD316" i="1"/>
  <c r="AE316" i="1"/>
  <c r="AF316" i="1"/>
  <c r="AG316" i="1"/>
  <c r="AH316" i="1"/>
  <c r="AJ316" i="1"/>
  <c r="AK316" i="1"/>
  <c r="AL316" i="1"/>
  <c r="AO316" i="1"/>
  <c r="AP316" i="1"/>
  <c r="AV316" i="1"/>
  <c r="AW316" i="1"/>
  <c r="AX316" i="1"/>
  <c r="BC316" i="1"/>
  <c r="BD316" i="1"/>
  <c r="BF316" i="1"/>
  <c r="BH316" i="1"/>
  <c r="BI316" i="1"/>
  <c r="BJ316" i="1"/>
  <c r="I317" i="1"/>
  <c r="J317" i="1"/>
  <c r="K317" i="1"/>
  <c r="AS317" i="1"/>
  <c r="AT317" i="1"/>
  <c r="AU317" i="1"/>
  <c r="I318" i="1"/>
  <c r="J318" i="1"/>
  <c r="K318" i="1"/>
  <c r="Z318" i="1"/>
  <c r="AB318" i="1"/>
  <c r="AC318" i="1"/>
  <c r="AD318" i="1"/>
  <c r="AE318" i="1"/>
  <c r="AF318" i="1"/>
  <c r="AG318" i="1"/>
  <c r="AH318" i="1"/>
  <c r="AJ318" i="1"/>
  <c r="AK318" i="1"/>
  <c r="AL318" i="1"/>
  <c r="AO318" i="1"/>
  <c r="AP318" i="1"/>
  <c r="AV318" i="1"/>
  <c r="AW318" i="1"/>
  <c r="AX318" i="1"/>
  <c r="BC318" i="1"/>
  <c r="BD318" i="1"/>
  <c r="BF318" i="1"/>
  <c r="BH318" i="1"/>
  <c r="BI318" i="1"/>
  <c r="BJ318" i="1"/>
  <c r="I320" i="1"/>
  <c r="J320" i="1"/>
  <c r="K320" i="1"/>
  <c r="Z320" i="1"/>
  <c r="AB320" i="1"/>
  <c r="AC320" i="1"/>
  <c r="AD320" i="1"/>
  <c r="AE320" i="1"/>
  <c r="AF320" i="1"/>
  <c r="AG320" i="1"/>
  <c r="AH320" i="1"/>
  <c r="AJ320" i="1"/>
  <c r="AK320" i="1"/>
  <c r="AL320" i="1"/>
  <c r="AO320" i="1"/>
  <c r="AP320" i="1"/>
  <c r="AV320" i="1"/>
  <c r="AW320" i="1"/>
  <c r="AX320" i="1"/>
  <c r="BC320" i="1"/>
  <c r="BD320" i="1"/>
  <c r="BF320" i="1"/>
  <c r="BH320" i="1"/>
  <c r="BI320" i="1"/>
  <c r="BJ320" i="1"/>
  <c r="I321" i="1"/>
  <c r="J321" i="1"/>
  <c r="K321" i="1"/>
  <c r="Z321" i="1"/>
  <c r="AB321" i="1"/>
  <c r="AC321" i="1"/>
  <c r="AD321" i="1"/>
  <c r="AE321" i="1"/>
  <c r="AF321" i="1"/>
  <c r="AG321" i="1"/>
  <c r="AH321" i="1"/>
  <c r="AJ321" i="1"/>
  <c r="AK321" i="1"/>
  <c r="AL321" i="1"/>
  <c r="AO321" i="1"/>
  <c r="AP321" i="1"/>
  <c r="AV321" i="1"/>
  <c r="AW321" i="1"/>
  <c r="AX321" i="1"/>
  <c r="BC321" i="1"/>
  <c r="BD321" i="1"/>
  <c r="BF321" i="1"/>
  <c r="BH321" i="1"/>
  <c r="BI321" i="1"/>
  <c r="BJ321" i="1"/>
  <c r="I322" i="1"/>
  <c r="J322" i="1"/>
  <c r="K322" i="1"/>
  <c r="Z322" i="1"/>
  <c r="AB322" i="1"/>
  <c r="AC322" i="1"/>
  <c r="AD322" i="1"/>
  <c r="AE322" i="1"/>
  <c r="AF322" i="1"/>
  <c r="AG322" i="1"/>
  <c r="AH322" i="1"/>
  <c r="AJ322" i="1"/>
  <c r="AK322" i="1"/>
  <c r="AL322" i="1"/>
  <c r="AO322" i="1"/>
  <c r="AP322" i="1"/>
  <c r="AV322" i="1"/>
  <c r="AW322" i="1"/>
  <c r="AX322" i="1"/>
  <c r="BC322" i="1"/>
  <c r="BD322" i="1"/>
  <c r="BF322" i="1"/>
  <c r="BH322" i="1"/>
  <c r="BI322" i="1"/>
  <c r="BJ322" i="1"/>
  <c r="I323" i="1"/>
  <c r="J323" i="1"/>
  <c r="K323" i="1"/>
  <c r="Z323" i="1"/>
  <c r="AB323" i="1"/>
  <c r="AC323" i="1"/>
  <c r="AD323" i="1"/>
  <c r="AE323" i="1"/>
  <c r="AF323" i="1"/>
  <c r="AG323" i="1"/>
  <c r="AH323" i="1"/>
  <c r="AJ323" i="1"/>
  <c r="AK323" i="1"/>
  <c r="AL323" i="1"/>
  <c r="AO323" i="1"/>
  <c r="AP323" i="1"/>
  <c r="AV323" i="1"/>
  <c r="AW323" i="1"/>
  <c r="AX323" i="1"/>
  <c r="BC323" i="1"/>
  <c r="BD323" i="1"/>
  <c r="BF323" i="1"/>
  <c r="BH323" i="1"/>
  <c r="BI323" i="1"/>
  <c r="BJ323" i="1"/>
  <c r="I325" i="1"/>
  <c r="J325" i="1"/>
  <c r="K325" i="1"/>
  <c r="Z325" i="1"/>
  <c r="AB325" i="1"/>
  <c r="AC325" i="1"/>
  <c r="AD325" i="1"/>
  <c r="AE325" i="1"/>
  <c r="AF325" i="1"/>
  <c r="AG325" i="1"/>
  <c r="AH325" i="1"/>
  <c r="AJ325" i="1"/>
  <c r="AK325" i="1"/>
  <c r="AL325" i="1"/>
  <c r="AO325" i="1"/>
  <c r="AP325" i="1"/>
  <c r="AV325" i="1"/>
  <c r="AW325" i="1"/>
  <c r="AX325" i="1"/>
  <c r="BC325" i="1"/>
  <c r="BD325" i="1"/>
  <c r="BF325" i="1"/>
  <c r="BH325" i="1"/>
  <c r="BI325" i="1"/>
  <c r="BJ325" i="1"/>
  <c r="I326" i="1"/>
  <c r="J326" i="1"/>
  <c r="K326" i="1"/>
  <c r="Z326" i="1"/>
  <c r="AB326" i="1"/>
  <c r="AC326" i="1"/>
  <c r="AD326" i="1"/>
  <c r="AE326" i="1"/>
  <c r="AF326" i="1"/>
  <c r="AG326" i="1"/>
  <c r="AH326" i="1"/>
  <c r="AJ326" i="1"/>
  <c r="AK326" i="1"/>
  <c r="AL326" i="1"/>
  <c r="AO326" i="1"/>
  <c r="AP326" i="1"/>
  <c r="AV326" i="1"/>
  <c r="AW326" i="1"/>
  <c r="AX326" i="1"/>
  <c r="BC326" i="1"/>
  <c r="BD326" i="1"/>
  <c r="BF326" i="1"/>
  <c r="BH326" i="1"/>
  <c r="BI326" i="1"/>
  <c r="BJ326" i="1"/>
  <c r="I327" i="1"/>
  <c r="J327" i="1"/>
  <c r="K327" i="1"/>
  <c r="Z327" i="1"/>
  <c r="AB327" i="1"/>
  <c r="AC327" i="1"/>
  <c r="AD327" i="1"/>
  <c r="AE327" i="1"/>
  <c r="AF327" i="1"/>
  <c r="AG327" i="1"/>
  <c r="AH327" i="1"/>
  <c r="AJ327" i="1"/>
  <c r="AK327" i="1"/>
  <c r="AL327" i="1"/>
  <c r="AO327" i="1"/>
  <c r="AP327" i="1"/>
  <c r="AV327" i="1"/>
  <c r="AW327" i="1"/>
  <c r="AX327" i="1"/>
  <c r="BC327" i="1"/>
  <c r="BD327" i="1"/>
  <c r="BF327" i="1"/>
  <c r="BH327" i="1"/>
  <c r="BI327" i="1"/>
  <c r="BJ327" i="1"/>
  <c r="I328" i="1"/>
  <c r="J328" i="1"/>
  <c r="K328" i="1"/>
  <c r="Z328" i="1"/>
  <c r="AB328" i="1"/>
  <c r="AC328" i="1"/>
  <c r="AD328" i="1"/>
  <c r="AE328" i="1"/>
  <c r="AF328" i="1"/>
  <c r="AG328" i="1"/>
  <c r="AH328" i="1"/>
  <c r="AJ328" i="1"/>
  <c r="AK328" i="1"/>
  <c r="AL328" i="1"/>
  <c r="AO328" i="1"/>
  <c r="AP328" i="1"/>
  <c r="AV328" i="1"/>
  <c r="AW328" i="1"/>
  <c r="AX328" i="1"/>
  <c r="BC328" i="1"/>
  <c r="BD328" i="1"/>
  <c r="BF328" i="1"/>
  <c r="BH328" i="1"/>
  <c r="BI328" i="1"/>
  <c r="BJ328" i="1"/>
  <c r="I329" i="1"/>
  <c r="J329" i="1"/>
  <c r="K329" i="1"/>
  <c r="Z329" i="1"/>
  <c r="AB329" i="1"/>
  <c r="AC329" i="1"/>
  <c r="AD329" i="1"/>
  <c r="AE329" i="1"/>
  <c r="AF329" i="1"/>
  <c r="AG329" i="1"/>
  <c r="AH329" i="1"/>
  <c r="AJ329" i="1"/>
  <c r="AK329" i="1"/>
  <c r="AL329" i="1"/>
  <c r="AO329" i="1"/>
  <c r="AP329" i="1"/>
  <c r="AV329" i="1"/>
  <c r="AW329" i="1"/>
  <c r="AX329" i="1"/>
  <c r="BC329" i="1"/>
  <c r="BD329" i="1"/>
  <c r="BF329" i="1"/>
  <c r="BH329" i="1"/>
  <c r="BI329" i="1"/>
  <c r="BJ329" i="1"/>
  <c r="I330" i="1"/>
  <c r="J330" i="1"/>
  <c r="K330" i="1"/>
  <c r="Z330" i="1"/>
  <c r="AB330" i="1"/>
  <c r="AC330" i="1"/>
  <c r="AD330" i="1"/>
  <c r="AE330" i="1"/>
  <c r="AF330" i="1"/>
  <c r="AG330" i="1"/>
  <c r="AH330" i="1"/>
  <c r="AJ330" i="1"/>
  <c r="AK330" i="1"/>
  <c r="AL330" i="1"/>
  <c r="AO330" i="1"/>
  <c r="AP330" i="1"/>
  <c r="AV330" i="1"/>
  <c r="AW330" i="1"/>
  <c r="AX330" i="1"/>
  <c r="BC330" i="1"/>
  <c r="BD330" i="1"/>
  <c r="BF330" i="1"/>
  <c r="BH330" i="1"/>
  <c r="BI330" i="1"/>
  <c r="BJ330" i="1"/>
  <c r="I331" i="1"/>
  <c r="J331" i="1"/>
  <c r="K331" i="1"/>
  <c r="Z331" i="1"/>
  <c r="AB331" i="1"/>
  <c r="AC331" i="1"/>
  <c r="AD331" i="1"/>
  <c r="AE331" i="1"/>
  <c r="AF331" i="1"/>
  <c r="AG331" i="1"/>
  <c r="AH331" i="1"/>
  <c r="AJ331" i="1"/>
  <c r="AK331" i="1"/>
  <c r="AL331" i="1"/>
  <c r="AO331" i="1"/>
  <c r="AP331" i="1"/>
  <c r="AV331" i="1"/>
  <c r="AW331" i="1"/>
  <c r="AX331" i="1"/>
  <c r="BC331" i="1"/>
  <c r="BD331" i="1"/>
  <c r="BF331" i="1"/>
  <c r="BH331" i="1"/>
  <c r="BI331" i="1"/>
  <c r="BJ331" i="1"/>
  <c r="I333" i="1"/>
  <c r="J333" i="1"/>
  <c r="K333" i="1"/>
  <c r="Z333" i="1"/>
  <c r="AB333" i="1"/>
  <c r="AC333" i="1"/>
  <c r="AD333" i="1"/>
  <c r="AE333" i="1"/>
  <c r="AF333" i="1"/>
  <c r="AG333" i="1"/>
  <c r="AH333" i="1"/>
  <c r="AJ333" i="1"/>
  <c r="AK333" i="1"/>
  <c r="AL333" i="1"/>
  <c r="AO333" i="1"/>
  <c r="AP333" i="1"/>
  <c r="AV333" i="1"/>
  <c r="AW333" i="1"/>
  <c r="AX333" i="1"/>
  <c r="BC333" i="1"/>
  <c r="BD333" i="1"/>
  <c r="BF333" i="1"/>
  <c r="BH333" i="1"/>
  <c r="BI333" i="1"/>
  <c r="BJ333" i="1"/>
  <c r="I334" i="1"/>
  <c r="J334" i="1"/>
  <c r="K334" i="1"/>
  <c r="Z334" i="1"/>
  <c r="AB334" i="1"/>
  <c r="AC334" i="1"/>
  <c r="AD334" i="1"/>
  <c r="AE334" i="1"/>
  <c r="AF334" i="1"/>
  <c r="AG334" i="1"/>
  <c r="AH334" i="1"/>
  <c r="AJ334" i="1"/>
  <c r="AK334" i="1"/>
  <c r="AL334" i="1"/>
  <c r="AO334" i="1"/>
  <c r="AP334" i="1"/>
  <c r="AV334" i="1"/>
  <c r="AW334" i="1"/>
  <c r="AX334" i="1"/>
  <c r="BC334" i="1"/>
  <c r="BD334" i="1"/>
  <c r="BF334" i="1"/>
  <c r="BH334" i="1"/>
  <c r="BI334" i="1"/>
  <c r="BJ334" i="1"/>
  <c r="I335" i="1"/>
  <c r="J335" i="1"/>
  <c r="K335" i="1"/>
  <c r="Z335" i="1"/>
  <c r="AB335" i="1"/>
  <c r="AC335" i="1"/>
  <c r="AD335" i="1"/>
  <c r="AE335" i="1"/>
  <c r="AF335" i="1"/>
  <c r="AG335" i="1"/>
  <c r="AH335" i="1"/>
  <c r="AJ335" i="1"/>
  <c r="AK335" i="1"/>
  <c r="AL335" i="1"/>
  <c r="AO335" i="1"/>
  <c r="AP335" i="1"/>
  <c r="AV335" i="1"/>
  <c r="AW335" i="1"/>
  <c r="AX335" i="1"/>
  <c r="BC335" i="1"/>
  <c r="BD335" i="1"/>
  <c r="BF335" i="1"/>
  <c r="BH335" i="1"/>
  <c r="BI335" i="1"/>
  <c r="BJ335" i="1"/>
  <c r="I336" i="1"/>
  <c r="J336" i="1"/>
  <c r="K336" i="1"/>
  <c r="Z336" i="1"/>
  <c r="AB336" i="1"/>
  <c r="AC336" i="1"/>
  <c r="AD336" i="1"/>
  <c r="AE336" i="1"/>
  <c r="AF336" i="1"/>
  <c r="AG336" i="1"/>
  <c r="AH336" i="1"/>
  <c r="AJ336" i="1"/>
  <c r="AK336" i="1"/>
  <c r="AL336" i="1"/>
  <c r="AO336" i="1"/>
  <c r="AP336" i="1"/>
  <c r="AV336" i="1"/>
  <c r="AW336" i="1"/>
  <c r="AX336" i="1"/>
  <c r="BC336" i="1"/>
  <c r="BD336" i="1"/>
  <c r="BF336" i="1"/>
  <c r="BH336" i="1"/>
  <c r="BI336" i="1"/>
  <c r="BJ336" i="1"/>
  <c r="I337" i="1"/>
  <c r="J337" i="1"/>
  <c r="K337" i="1"/>
  <c r="Z337" i="1"/>
  <c r="AB337" i="1"/>
  <c r="AC337" i="1"/>
  <c r="AD337" i="1"/>
  <c r="AE337" i="1"/>
  <c r="AF337" i="1"/>
  <c r="AG337" i="1"/>
  <c r="AH337" i="1"/>
  <c r="AJ337" i="1"/>
  <c r="AK337" i="1"/>
  <c r="AL337" i="1"/>
  <c r="AO337" i="1"/>
  <c r="AP337" i="1"/>
  <c r="AV337" i="1"/>
  <c r="AW337" i="1"/>
  <c r="AX337" i="1"/>
  <c r="BC337" i="1"/>
  <c r="BD337" i="1"/>
  <c r="BF337" i="1"/>
  <c r="BH337" i="1"/>
  <c r="BI337" i="1"/>
  <c r="BJ337" i="1"/>
  <c r="I338" i="1"/>
  <c r="J338" i="1"/>
  <c r="K338" i="1"/>
  <c r="Z338" i="1"/>
  <c r="AB338" i="1"/>
  <c r="AC338" i="1"/>
  <c r="AD338" i="1"/>
  <c r="AE338" i="1"/>
  <c r="AF338" i="1"/>
  <c r="AG338" i="1"/>
  <c r="AH338" i="1"/>
  <c r="AJ338" i="1"/>
  <c r="AK338" i="1"/>
  <c r="AL338" i="1"/>
  <c r="AO338" i="1"/>
  <c r="AP338" i="1"/>
  <c r="AV338" i="1"/>
  <c r="AW338" i="1"/>
  <c r="AX338" i="1"/>
  <c r="BC338" i="1"/>
  <c r="BD338" i="1"/>
  <c r="BF338" i="1"/>
  <c r="BH338" i="1"/>
  <c r="BI338" i="1"/>
  <c r="BJ338" i="1"/>
  <c r="I339" i="1"/>
  <c r="J339" i="1"/>
  <c r="K339" i="1"/>
  <c r="Z339" i="1"/>
  <c r="AB339" i="1"/>
  <c r="AC339" i="1"/>
  <c r="AD339" i="1"/>
  <c r="AE339" i="1"/>
  <c r="AF339" i="1"/>
  <c r="AG339" i="1"/>
  <c r="AH339" i="1"/>
  <c r="AJ339" i="1"/>
  <c r="AK339" i="1"/>
  <c r="AL339" i="1"/>
  <c r="AO339" i="1"/>
  <c r="AP339" i="1"/>
  <c r="AV339" i="1"/>
  <c r="AW339" i="1"/>
  <c r="AX339" i="1"/>
  <c r="BC339" i="1"/>
  <c r="BD339" i="1"/>
  <c r="BF339" i="1"/>
  <c r="BH339" i="1"/>
  <c r="BI339" i="1"/>
  <c r="BJ339" i="1"/>
  <c r="I340" i="1"/>
  <c r="J340" i="1"/>
  <c r="K340" i="1"/>
  <c r="Z340" i="1"/>
  <c r="AB340" i="1"/>
  <c r="AC340" i="1"/>
  <c r="AD340" i="1"/>
  <c r="AE340" i="1"/>
  <c r="AF340" i="1"/>
  <c r="AG340" i="1"/>
  <c r="AH340" i="1"/>
  <c r="AJ340" i="1"/>
  <c r="AK340" i="1"/>
  <c r="AL340" i="1"/>
  <c r="AO340" i="1"/>
  <c r="AP340" i="1"/>
  <c r="AV340" i="1"/>
  <c r="AW340" i="1"/>
  <c r="AX340" i="1"/>
  <c r="BC340" i="1"/>
  <c r="BD340" i="1"/>
  <c r="BF340" i="1"/>
  <c r="BH340" i="1"/>
  <c r="BI340" i="1"/>
  <c r="BJ340" i="1"/>
  <c r="I342" i="1"/>
  <c r="J342" i="1"/>
  <c r="K342" i="1"/>
  <c r="Z342" i="1"/>
  <c r="AB342" i="1"/>
  <c r="AC342" i="1"/>
  <c r="AD342" i="1"/>
  <c r="AE342" i="1"/>
  <c r="AF342" i="1"/>
  <c r="AG342" i="1"/>
  <c r="AH342" i="1"/>
  <c r="AJ342" i="1"/>
  <c r="AK342" i="1"/>
  <c r="AL342" i="1"/>
  <c r="AO342" i="1"/>
  <c r="AP342" i="1"/>
  <c r="AV342" i="1"/>
  <c r="AW342" i="1"/>
  <c r="AX342" i="1"/>
  <c r="BC342" i="1"/>
  <c r="BD342" i="1"/>
  <c r="BF342" i="1"/>
  <c r="BH342" i="1"/>
  <c r="BI342" i="1"/>
  <c r="BJ342" i="1"/>
  <c r="I343" i="1"/>
  <c r="J343" i="1"/>
  <c r="K343" i="1"/>
  <c r="Z343" i="1"/>
  <c r="AB343" i="1"/>
  <c r="AC343" i="1"/>
  <c r="AD343" i="1"/>
  <c r="AE343" i="1"/>
  <c r="AF343" i="1"/>
  <c r="AG343" i="1"/>
  <c r="AH343" i="1"/>
  <c r="AJ343" i="1"/>
  <c r="AK343" i="1"/>
  <c r="AL343" i="1"/>
  <c r="AO343" i="1"/>
  <c r="AP343" i="1"/>
  <c r="AV343" i="1"/>
  <c r="AW343" i="1"/>
  <c r="AX343" i="1"/>
  <c r="BC343" i="1"/>
  <c r="BD343" i="1"/>
  <c r="BF343" i="1"/>
  <c r="BH343" i="1"/>
  <c r="BI343" i="1"/>
  <c r="BJ343" i="1"/>
  <c r="I344" i="1"/>
  <c r="J344" i="1"/>
  <c r="K344" i="1"/>
  <c r="Z344" i="1"/>
  <c r="AB344" i="1"/>
  <c r="AC344" i="1"/>
  <c r="AD344" i="1"/>
  <c r="AE344" i="1"/>
  <c r="AF344" i="1"/>
  <c r="AG344" i="1"/>
  <c r="AH344" i="1"/>
  <c r="AJ344" i="1"/>
  <c r="AK344" i="1"/>
  <c r="AL344" i="1"/>
  <c r="AO344" i="1"/>
  <c r="AP344" i="1"/>
  <c r="AV344" i="1"/>
  <c r="AW344" i="1"/>
  <c r="AX344" i="1"/>
  <c r="BC344" i="1"/>
  <c r="BD344" i="1"/>
  <c r="BF344" i="1"/>
  <c r="BH344" i="1"/>
  <c r="BI344" i="1"/>
  <c r="BJ344" i="1"/>
  <c r="I345" i="1"/>
  <c r="J345" i="1"/>
  <c r="K345" i="1"/>
  <c r="Z345" i="1"/>
  <c r="AB345" i="1"/>
  <c r="AC345" i="1"/>
  <c r="AD345" i="1"/>
  <c r="AE345" i="1"/>
  <c r="AF345" i="1"/>
  <c r="AG345" i="1"/>
  <c r="AH345" i="1"/>
  <c r="AJ345" i="1"/>
  <c r="AK345" i="1"/>
  <c r="AL345" i="1"/>
  <c r="AO345" i="1"/>
  <c r="AP345" i="1"/>
  <c r="AV345" i="1"/>
  <c r="AW345" i="1"/>
  <c r="AX345" i="1"/>
  <c r="BC345" i="1"/>
  <c r="BD345" i="1"/>
  <c r="BF345" i="1"/>
  <c r="BH345" i="1"/>
  <c r="BI345" i="1"/>
  <c r="BJ345" i="1"/>
  <c r="I346" i="1"/>
  <c r="J346" i="1"/>
  <c r="K346" i="1"/>
  <c r="Z346" i="1"/>
  <c r="AB346" i="1"/>
  <c r="AC346" i="1"/>
  <c r="AD346" i="1"/>
  <c r="AE346" i="1"/>
  <c r="AF346" i="1"/>
  <c r="AG346" i="1"/>
  <c r="AH346" i="1"/>
  <c r="AJ346" i="1"/>
  <c r="AK346" i="1"/>
  <c r="AL346" i="1"/>
  <c r="AO346" i="1"/>
  <c r="AP346" i="1"/>
  <c r="AV346" i="1"/>
  <c r="AW346" i="1"/>
  <c r="AX346" i="1"/>
  <c r="BC346" i="1"/>
  <c r="BD346" i="1"/>
  <c r="BF346" i="1"/>
  <c r="BH346" i="1"/>
  <c r="BI346" i="1"/>
  <c r="BJ346" i="1"/>
  <c r="I347" i="1"/>
  <c r="J347" i="1"/>
  <c r="K347" i="1"/>
  <c r="Z347" i="1"/>
  <c r="AB347" i="1"/>
  <c r="AC347" i="1"/>
  <c r="AD347" i="1"/>
  <c r="AE347" i="1"/>
  <c r="AF347" i="1"/>
  <c r="AG347" i="1"/>
  <c r="AH347" i="1"/>
  <c r="AJ347" i="1"/>
  <c r="AK347" i="1"/>
  <c r="AL347" i="1"/>
  <c r="AO347" i="1"/>
  <c r="AP347" i="1"/>
  <c r="AV347" i="1"/>
  <c r="AW347" i="1"/>
  <c r="AX347" i="1"/>
  <c r="BC347" i="1"/>
  <c r="BD347" i="1"/>
  <c r="BF347" i="1"/>
  <c r="BH347" i="1"/>
  <c r="BI347" i="1"/>
  <c r="BJ347" i="1"/>
  <c r="I348" i="1"/>
  <c r="J348" i="1"/>
  <c r="K348" i="1"/>
  <c r="Z348" i="1"/>
  <c r="AB348" i="1"/>
  <c r="AC348" i="1"/>
  <c r="AD348" i="1"/>
  <c r="AE348" i="1"/>
  <c r="AF348" i="1"/>
  <c r="AG348" i="1"/>
  <c r="AH348" i="1"/>
  <c r="AJ348" i="1"/>
  <c r="AK348" i="1"/>
  <c r="AL348" i="1"/>
  <c r="AO348" i="1"/>
  <c r="AP348" i="1"/>
  <c r="AV348" i="1"/>
  <c r="AW348" i="1"/>
  <c r="AX348" i="1"/>
  <c r="BC348" i="1"/>
  <c r="BD348" i="1"/>
  <c r="BF348" i="1"/>
  <c r="BH348" i="1"/>
  <c r="BI348" i="1"/>
  <c r="BJ348" i="1"/>
  <c r="I349" i="1"/>
  <c r="J349" i="1"/>
  <c r="K349" i="1"/>
  <c r="Z349" i="1"/>
  <c r="AB349" i="1"/>
  <c r="AC349" i="1"/>
  <c r="AD349" i="1"/>
  <c r="AE349" i="1"/>
  <c r="AF349" i="1"/>
  <c r="AG349" i="1"/>
  <c r="AH349" i="1"/>
  <c r="AJ349" i="1"/>
  <c r="AK349" i="1"/>
  <c r="AL349" i="1"/>
  <c r="AO349" i="1"/>
  <c r="AP349" i="1"/>
  <c r="AV349" i="1"/>
  <c r="AW349" i="1"/>
  <c r="AX349" i="1"/>
  <c r="BC349" i="1"/>
  <c r="BD349" i="1"/>
  <c r="BF349" i="1"/>
  <c r="BH349" i="1"/>
  <c r="BI349" i="1"/>
  <c r="BJ349" i="1"/>
  <c r="I350" i="1"/>
  <c r="J350" i="1"/>
  <c r="K350" i="1"/>
  <c r="Z350" i="1"/>
  <c r="AB350" i="1"/>
  <c r="AC350" i="1"/>
  <c r="AD350" i="1"/>
  <c r="AE350" i="1"/>
  <c r="AF350" i="1"/>
  <c r="AG350" i="1"/>
  <c r="AH350" i="1"/>
  <c r="AJ350" i="1"/>
  <c r="AK350" i="1"/>
  <c r="AL350" i="1"/>
  <c r="AO350" i="1"/>
  <c r="AP350" i="1"/>
  <c r="AV350" i="1"/>
  <c r="AW350" i="1"/>
  <c r="AX350" i="1"/>
  <c r="BC350" i="1"/>
  <c r="BD350" i="1"/>
  <c r="BF350" i="1"/>
  <c r="BH350" i="1"/>
  <c r="BI350" i="1"/>
  <c r="BJ350" i="1"/>
  <c r="I351" i="1"/>
  <c r="J351" i="1"/>
  <c r="K351" i="1"/>
  <c r="Z351" i="1"/>
  <c r="AB351" i="1"/>
  <c r="AC351" i="1"/>
  <c r="AD351" i="1"/>
  <c r="AE351" i="1"/>
  <c r="AF351" i="1"/>
  <c r="AG351" i="1"/>
  <c r="AH351" i="1"/>
  <c r="AJ351" i="1"/>
  <c r="AK351" i="1"/>
  <c r="AL351" i="1"/>
  <c r="AO351" i="1"/>
  <c r="AP351" i="1"/>
  <c r="AV351" i="1"/>
  <c r="AW351" i="1"/>
  <c r="AX351" i="1"/>
  <c r="BC351" i="1"/>
  <c r="BD351" i="1"/>
  <c r="BF351" i="1"/>
  <c r="BH351" i="1"/>
  <c r="BI351" i="1"/>
  <c r="BJ351" i="1"/>
  <c r="I353" i="1"/>
  <c r="J353" i="1"/>
  <c r="K353" i="1"/>
  <c r="AS353" i="1"/>
  <c r="AT353" i="1"/>
  <c r="AU353" i="1"/>
  <c r="I354" i="1"/>
  <c r="J354" i="1"/>
  <c r="K354" i="1"/>
  <c r="Z354" i="1"/>
  <c r="AB354" i="1"/>
  <c r="AC354" i="1"/>
  <c r="AD354" i="1"/>
  <c r="AE354" i="1"/>
  <c r="AF354" i="1"/>
  <c r="AG354" i="1"/>
  <c r="AH354" i="1"/>
  <c r="AJ354" i="1"/>
  <c r="AK354" i="1"/>
  <c r="AL354" i="1"/>
  <c r="AO354" i="1"/>
  <c r="AP354" i="1"/>
  <c r="AV354" i="1"/>
  <c r="AW354" i="1"/>
  <c r="AX354" i="1"/>
  <c r="BC354" i="1"/>
  <c r="BD354" i="1"/>
  <c r="BF354" i="1"/>
  <c r="BH354" i="1"/>
  <c r="BI354" i="1"/>
  <c r="BJ354" i="1"/>
  <c r="I355" i="1"/>
  <c r="J355" i="1"/>
  <c r="K355" i="1"/>
  <c r="Z355" i="1"/>
  <c r="AB355" i="1"/>
  <c r="AC355" i="1"/>
  <c r="AD355" i="1"/>
  <c r="AE355" i="1"/>
  <c r="AF355" i="1"/>
  <c r="AG355" i="1"/>
  <c r="AH355" i="1"/>
  <c r="AJ355" i="1"/>
  <c r="AK355" i="1"/>
  <c r="AL355" i="1"/>
  <c r="AO355" i="1"/>
  <c r="AP355" i="1"/>
  <c r="AV355" i="1"/>
  <c r="AW355" i="1"/>
  <c r="AX355" i="1"/>
  <c r="BC355" i="1"/>
  <c r="BD355" i="1"/>
  <c r="BF355" i="1"/>
  <c r="BH355" i="1"/>
  <c r="BI355" i="1"/>
  <c r="BJ355" i="1"/>
  <c r="I356" i="1"/>
  <c r="J356" i="1"/>
  <c r="K356" i="1"/>
  <c r="Z356" i="1"/>
  <c r="AB356" i="1"/>
  <c r="AC356" i="1"/>
  <c r="AD356" i="1"/>
  <c r="AE356" i="1"/>
  <c r="AF356" i="1"/>
  <c r="AG356" i="1"/>
  <c r="AH356" i="1"/>
  <c r="AJ356" i="1"/>
  <c r="AK356" i="1"/>
  <c r="AL356" i="1"/>
  <c r="AO356" i="1"/>
  <c r="AP356" i="1"/>
  <c r="AV356" i="1"/>
  <c r="AW356" i="1"/>
  <c r="AX356" i="1"/>
  <c r="BC356" i="1"/>
  <c r="BD356" i="1"/>
  <c r="BF356" i="1"/>
  <c r="BH356" i="1"/>
  <c r="BI356" i="1"/>
  <c r="BJ356" i="1"/>
  <c r="I358" i="1"/>
  <c r="J358" i="1"/>
  <c r="K358" i="1"/>
  <c r="Z358" i="1"/>
  <c r="AB358" i="1"/>
  <c r="AC358" i="1"/>
  <c r="AD358" i="1"/>
  <c r="AE358" i="1"/>
  <c r="AF358" i="1"/>
  <c r="AG358" i="1"/>
  <c r="AH358" i="1"/>
  <c r="AJ358" i="1"/>
  <c r="AK358" i="1"/>
  <c r="AL358" i="1"/>
  <c r="AO358" i="1"/>
  <c r="AP358" i="1"/>
  <c r="AV358" i="1"/>
  <c r="AW358" i="1"/>
  <c r="AX358" i="1"/>
  <c r="BC358" i="1"/>
  <c r="BD358" i="1"/>
  <c r="BF358" i="1"/>
  <c r="BH358" i="1"/>
  <c r="BI358" i="1"/>
  <c r="BJ358" i="1"/>
  <c r="I360" i="1"/>
  <c r="J360" i="1"/>
  <c r="K360" i="1"/>
  <c r="Z360" i="1"/>
  <c r="AB360" i="1"/>
  <c r="AC360" i="1"/>
  <c r="AD360" i="1"/>
  <c r="AE360" i="1"/>
  <c r="AF360" i="1"/>
  <c r="AG360" i="1"/>
  <c r="AH360" i="1"/>
  <c r="AJ360" i="1"/>
  <c r="AK360" i="1"/>
  <c r="AL360" i="1"/>
  <c r="AO360" i="1"/>
  <c r="AP360" i="1"/>
  <c r="AV360" i="1"/>
  <c r="AW360" i="1"/>
  <c r="AX360" i="1"/>
  <c r="BC360" i="1"/>
  <c r="BD360" i="1"/>
  <c r="BF360" i="1"/>
  <c r="BH360" i="1"/>
  <c r="BI360" i="1"/>
  <c r="BJ360" i="1"/>
  <c r="I362" i="1"/>
  <c r="J362" i="1"/>
  <c r="K362" i="1"/>
  <c r="Z362" i="1"/>
  <c r="AB362" i="1"/>
  <c r="AC362" i="1"/>
  <c r="AD362" i="1"/>
  <c r="AE362" i="1"/>
  <c r="AF362" i="1"/>
  <c r="AG362" i="1"/>
  <c r="AH362" i="1"/>
  <c r="AJ362" i="1"/>
  <c r="AK362" i="1"/>
  <c r="AL362" i="1"/>
  <c r="AO362" i="1"/>
  <c r="AP362" i="1"/>
  <c r="AV362" i="1"/>
  <c r="AW362" i="1"/>
  <c r="AX362" i="1"/>
  <c r="BC362" i="1"/>
  <c r="BD362" i="1"/>
  <c r="BF362" i="1"/>
  <c r="BH362" i="1"/>
  <c r="BI362" i="1"/>
  <c r="BJ362" i="1"/>
  <c r="I363" i="1"/>
  <c r="J363" i="1"/>
  <c r="K363" i="1"/>
  <c r="Z363" i="1"/>
  <c r="AB363" i="1"/>
  <c r="AC363" i="1"/>
  <c r="AD363" i="1"/>
  <c r="AE363" i="1"/>
  <c r="AF363" i="1"/>
  <c r="AG363" i="1"/>
  <c r="AH363" i="1"/>
  <c r="AJ363" i="1"/>
  <c r="AK363" i="1"/>
  <c r="AL363" i="1"/>
  <c r="AO363" i="1"/>
  <c r="AP363" i="1"/>
  <c r="AV363" i="1"/>
  <c r="AW363" i="1"/>
  <c r="AX363" i="1"/>
  <c r="BC363" i="1"/>
  <c r="BD363" i="1"/>
  <c r="BF363" i="1"/>
  <c r="BH363" i="1"/>
  <c r="BI363" i="1"/>
  <c r="BJ363" i="1"/>
  <c r="I364" i="1"/>
  <c r="J364" i="1"/>
  <c r="K364" i="1"/>
  <c r="Z364" i="1"/>
  <c r="AB364" i="1"/>
  <c r="AC364" i="1"/>
  <c r="AD364" i="1"/>
  <c r="AE364" i="1"/>
  <c r="AF364" i="1"/>
  <c r="AG364" i="1"/>
  <c r="AH364" i="1"/>
  <c r="AJ364" i="1"/>
  <c r="AK364" i="1"/>
  <c r="AL364" i="1"/>
  <c r="AO364" i="1"/>
  <c r="AP364" i="1"/>
  <c r="AV364" i="1"/>
  <c r="AW364" i="1"/>
  <c r="AX364" i="1"/>
  <c r="BC364" i="1"/>
  <c r="BD364" i="1"/>
  <c r="BF364" i="1"/>
  <c r="BH364" i="1"/>
  <c r="BI364" i="1"/>
  <c r="BJ364" i="1"/>
  <c r="I365" i="1"/>
  <c r="J365" i="1"/>
  <c r="K365" i="1"/>
  <c r="Z365" i="1"/>
  <c r="AB365" i="1"/>
  <c r="AC365" i="1"/>
  <c r="AD365" i="1"/>
  <c r="AE365" i="1"/>
  <c r="AF365" i="1"/>
  <c r="AG365" i="1"/>
  <c r="AH365" i="1"/>
  <c r="AJ365" i="1"/>
  <c r="AK365" i="1"/>
  <c r="AL365" i="1"/>
  <c r="AO365" i="1"/>
  <c r="AP365" i="1"/>
  <c r="AV365" i="1"/>
  <c r="AW365" i="1"/>
  <c r="AX365" i="1"/>
  <c r="BC365" i="1"/>
  <c r="BD365" i="1"/>
  <c r="BF365" i="1"/>
  <c r="BH365" i="1"/>
  <c r="BI365" i="1"/>
  <c r="BJ365" i="1"/>
  <c r="I366" i="1"/>
  <c r="J366" i="1"/>
  <c r="K366" i="1"/>
  <c r="AS366" i="1"/>
  <c r="AT366" i="1"/>
  <c r="AU366" i="1"/>
  <c r="I367" i="1"/>
  <c r="J367" i="1"/>
  <c r="K367" i="1"/>
  <c r="Z367" i="1"/>
  <c r="AB367" i="1"/>
  <c r="AC367" i="1"/>
  <c r="AD367" i="1"/>
  <c r="AE367" i="1"/>
  <c r="AF367" i="1"/>
  <c r="AG367" i="1"/>
  <c r="AH367" i="1"/>
  <c r="AJ367" i="1"/>
  <c r="AK367" i="1"/>
  <c r="AL367" i="1"/>
  <c r="AO367" i="1"/>
  <c r="AP367" i="1"/>
  <c r="AV367" i="1"/>
  <c r="AW367" i="1"/>
  <c r="AX367" i="1"/>
  <c r="BC367" i="1"/>
  <c r="BD367" i="1"/>
  <c r="BF367" i="1"/>
  <c r="BH367" i="1"/>
  <c r="BI367" i="1"/>
  <c r="BJ367" i="1"/>
  <c r="I368" i="1"/>
  <c r="J368" i="1"/>
  <c r="K368" i="1"/>
  <c r="Z368" i="1"/>
  <c r="AB368" i="1"/>
  <c r="AC368" i="1"/>
  <c r="AD368" i="1"/>
  <c r="AE368" i="1"/>
  <c r="AF368" i="1"/>
  <c r="AG368" i="1"/>
  <c r="AH368" i="1"/>
  <c r="AJ368" i="1"/>
  <c r="AK368" i="1"/>
  <c r="AL368" i="1"/>
  <c r="AO368" i="1"/>
  <c r="AP368" i="1"/>
  <c r="AV368" i="1"/>
  <c r="AW368" i="1"/>
  <c r="AX368" i="1"/>
  <c r="BC368" i="1"/>
  <c r="BD368" i="1"/>
  <c r="BF368" i="1"/>
  <c r="BH368" i="1"/>
  <c r="BI368" i="1"/>
  <c r="BJ368" i="1"/>
  <c r="I369" i="1"/>
  <c r="J369" i="1"/>
  <c r="K369" i="1"/>
  <c r="Z369" i="1"/>
  <c r="AB369" i="1"/>
  <c r="AC369" i="1"/>
  <c r="AD369" i="1"/>
  <c r="AE369" i="1"/>
  <c r="AF369" i="1"/>
  <c r="AG369" i="1"/>
  <c r="AH369" i="1"/>
  <c r="AJ369" i="1"/>
  <c r="AK369" i="1"/>
  <c r="AL369" i="1"/>
  <c r="AO369" i="1"/>
  <c r="AP369" i="1"/>
  <c r="AV369" i="1"/>
  <c r="AW369" i="1"/>
  <c r="AX369" i="1"/>
  <c r="BC369" i="1"/>
  <c r="BD369" i="1"/>
  <c r="BF369" i="1"/>
  <c r="BH369" i="1"/>
  <c r="BI369" i="1"/>
  <c r="BJ369" i="1"/>
  <c r="I370" i="1"/>
  <c r="J370" i="1"/>
  <c r="K370" i="1"/>
  <c r="Z370" i="1"/>
  <c r="AB370" i="1"/>
  <c r="AC370" i="1"/>
  <c r="AD370" i="1"/>
  <c r="AE370" i="1"/>
  <c r="AF370" i="1"/>
  <c r="AG370" i="1"/>
  <c r="AH370" i="1"/>
  <c r="AJ370" i="1"/>
  <c r="AK370" i="1"/>
  <c r="AL370" i="1"/>
  <c r="AO370" i="1"/>
  <c r="AP370" i="1"/>
  <c r="AV370" i="1"/>
  <c r="AW370" i="1"/>
  <c r="AX370" i="1"/>
  <c r="BC370" i="1"/>
  <c r="BD370" i="1"/>
  <c r="BF370" i="1"/>
  <c r="BH370" i="1"/>
  <c r="BI370" i="1"/>
  <c r="BJ370" i="1"/>
  <c r="I371" i="1"/>
  <c r="J371" i="1"/>
  <c r="K371" i="1"/>
  <c r="Z371" i="1"/>
  <c r="AB371" i="1"/>
  <c r="AC371" i="1"/>
  <c r="AD371" i="1"/>
  <c r="AE371" i="1"/>
  <c r="AF371" i="1"/>
  <c r="AG371" i="1"/>
  <c r="AH371" i="1"/>
  <c r="AJ371" i="1"/>
  <c r="AK371" i="1"/>
  <c r="AL371" i="1"/>
  <c r="AO371" i="1"/>
  <c r="AP371" i="1"/>
  <c r="AV371" i="1"/>
  <c r="AW371" i="1"/>
  <c r="AX371" i="1"/>
  <c r="BC371" i="1"/>
  <c r="BD371" i="1"/>
  <c r="BF371" i="1"/>
  <c r="BH371" i="1"/>
  <c r="BI371" i="1"/>
  <c r="BJ371" i="1"/>
  <c r="I372" i="1"/>
  <c r="J372" i="1"/>
  <c r="K372" i="1"/>
  <c r="Z372" i="1"/>
  <c r="AB372" i="1"/>
  <c r="AC372" i="1"/>
  <c r="AD372" i="1"/>
  <c r="AE372" i="1"/>
  <c r="AF372" i="1"/>
  <c r="AG372" i="1"/>
  <c r="AH372" i="1"/>
  <c r="AJ372" i="1"/>
  <c r="AK372" i="1"/>
  <c r="AL372" i="1"/>
  <c r="AO372" i="1"/>
  <c r="AP372" i="1"/>
  <c r="AV372" i="1"/>
  <c r="AW372" i="1"/>
  <c r="AX372" i="1"/>
  <c r="BC372" i="1"/>
  <c r="BD372" i="1"/>
  <c r="BF372" i="1"/>
  <c r="BH372" i="1"/>
  <c r="BI372" i="1"/>
  <c r="BJ372" i="1"/>
  <c r="I373" i="1"/>
  <c r="J373" i="1"/>
  <c r="K373" i="1"/>
  <c r="Z373" i="1"/>
  <c r="AB373" i="1"/>
  <c r="AC373" i="1"/>
  <c r="AD373" i="1"/>
  <c r="AE373" i="1"/>
  <c r="AF373" i="1"/>
  <c r="AG373" i="1"/>
  <c r="AH373" i="1"/>
  <c r="AJ373" i="1"/>
  <c r="AK373" i="1"/>
  <c r="AL373" i="1"/>
  <c r="AO373" i="1"/>
  <c r="AP373" i="1"/>
  <c r="AV373" i="1"/>
  <c r="AW373" i="1"/>
  <c r="AX373" i="1"/>
  <c r="BC373" i="1"/>
  <c r="BD373" i="1"/>
  <c r="BF373" i="1"/>
  <c r="BH373" i="1"/>
  <c r="BI373" i="1"/>
  <c r="BJ373" i="1"/>
  <c r="I374" i="1"/>
  <c r="J374" i="1"/>
  <c r="K374" i="1"/>
  <c r="Z374" i="1"/>
  <c r="AB374" i="1"/>
  <c r="AC374" i="1"/>
  <c r="AD374" i="1"/>
  <c r="AE374" i="1"/>
  <c r="AF374" i="1"/>
  <c r="AG374" i="1"/>
  <c r="AH374" i="1"/>
  <c r="AJ374" i="1"/>
  <c r="AK374" i="1"/>
  <c r="AL374" i="1"/>
  <c r="AO374" i="1"/>
  <c r="AP374" i="1"/>
  <c r="AV374" i="1"/>
  <c r="AW374" i="1"/>
  <c r="AX374" i="1"/>
  <c r="BC374" i="1"/>
  <c r="BD374" i="1"/>
  <c r="BF374" i="1"/>
  <c r="BH374" i="1"/>
  <c r="BI374" i="1"/>
  <c r="BJ374" i="1"/>
  <c r="I375" i="1"/>
  <c r="J375" i="1"/>
  <c r="K375" i="1"/>
  <c r="Z375" i="1"/>
  <c r="AB375" i="1"/>
  <c r="AC375" i="1"/>
  <c r="AD375" i="1"/>
  <c r="AE375" i="1"/>
  <c r="AF375" i="1"/>
  <c r="AG375" i="1"/>
  <c r="AH375" i="1"/>
  <c r="AJ375" i="1"/>
  <c r="AK375" i="1"/>
  <c r="AL375" i="1"/>
  <c r="AO375" i="1"/>
  <c r="AP375" i="1"/>
  <c r="AV375" i="1"/>
  <c r="AW375" i="1"/>
  <c r="AX375" i="1"/>
  <c r="BC375" i="1"/>
  <c r="BD375" i="1"/>
  <c r="BF375" i="1"/>
  <c r="BH375" i="1"/>
  <c r="BI375" i="1"/>
  <c r="BJ375" i="1"/>
  <c r="I376" i="1"/>
  <c r="J376" i="1"/>
  <c r="K376" i="1"/>
  <c r="Z376" i="1"/>
  <c r="AB376" i="1"/>
  <c r="AC376" i="1"/>
  <c r="AD376" i="1"/>
  <c r="AE376" i="1"/>
  <c r="AF376" i="1"/>
  <c r="AG376" i="1"/>
  <c r="AH376" i="1"/>
  <c r="AJ376" i="1"/>
  <c r="AK376" i="1"/>
  <c r="AL376" i="1"/>
  <c r="AO376" i="1"/>
  <c r="AP376" i="1"/>
  <c r="AV376" i="1"/>
  <c r="AW376" i="1"/>
  <c r="AX376" i="1"/>
  <c r="BC376" i="1"/>
  <c r="BD376" i="1"/>
  <c r="BF376" i="1"/>
  <c r="BH376" i="1"/>
  <c r="BI376" i="1"/>
  <c r="BJ376" i="1"/>
  <c r="I377" i="1"/>
  <c r="J377" i="1"/>
  <c r="K377" i="1"/>
  <c r="Z377" i="1"/>
  <c r="AB377" i="1"/>
  <c r="AC377" i="1"/>
  <c r="AD377" i="1"/>
  <c r="AE377" i="1"/>
  <c r="AF377" i="1"/>
  <c r="AG377" i="1"/>
  <c r="AH377" i="1"/>
  <c r="AJ377" i="1"/>
  <c r="AK377" i="1"/>
  <c r="AL377" i="1"/>
  <c r="AO377" i="1"/>
  <c r="AP377" i="1"/>
  <c r="AV377" i="1"/>
  <c r="AW377" i="1"/>
  <c r="AX377" i="1"/>
  <c r="BC377" i="1"/>
  <c r="BD377" i="1"/>
  <c r="BF377" i="1"/>
  <c r="BH377" i="1"/>
  <c r="BI377" i="1"/>
  <c r="BJ377" i="1"/>
  <c r="I378" i="1"/>
  <c r="J378" i="1"/>
  <c r="K378" i="1"/>
  <c r="Z378" i="1"/>
  <c r="AB378" i="1"/>
  <c r="AC378" i="1"/>
  <c r="AD378" i="1"/>
  <c r="AE378" i="1"/>
  <c r="AF378" i="1"/>
  <c r="AG378" i="1"/>
  <c r="AH378" i="1"/>
  <c r="AJ378" i="1"/>
  <c r="AK378" i="1"/>
  <c r="AL378" i="1"/>
  <c r="AO378" i="1"/>
  <c r="AP378" i="1"/>
  <c r="AV378" i="1"/>
  <c r="AW378" i="1"/>
  <c r="AX378" i="1"/>
  <c r="BC378" i="1"/>
  <c r="BD378" i="1"/>
  <c r="BF378" i="1"/>
  <c r="BH378" i="1"/>
  <c r="BI378" i="1"/>
  <c r="BJ378" i="1"/>
  <c r="I379" i="1"/>
  <c r="J379" i="1"/>
  <c r="K379" i="1"/>
  <c r="Z379" i="1"/>
  <c r="AB379" i="1"/>
  <c r="AC379" i="1"/>
  <c r="AD379" i="1"/>
  <c r="AE379" i="1"/>
  <c r="AF379" i="1"/>
  <c r="AG379" i="1"/>
  <c r="AH379" i="1"/>
  <c r="AJ379" i="1"/>
  <c r="AK379" i="1"/>
  <c r="AL379" i="1"/>
  <c r="AO379" i="1"/>
  <c r="AP379" i="1"/>
  <c r="AV379" i="1"/>
  <c r="AW379" i="1"/>
  <c r="AX379" i="1"/>
  <c r="BC379" i="1"/>
  <c r="BD379" i="1"/>
  <c r="BF379" i="1"/>
  <c r="BH379" i="1"/>
  <c r="BI379" i="1"/>
  <c r="BJ379" i="1"/>
  <c r="I380" i="1"/>
  <c r="J380" i="1"/>
  <c r="K380" i="1"/>
  <c r="Z380" i="1"/>
  <c r="AB380" i="1"/>
  <c r="AC380" i="1"/>
  <c r="AD380" i="1"/>
  <c r="AE380" i="1"/>
  <c r="AF380" i="1"/>
  <c r="AG380" i="1"/>
  <c r="AH380" i="1"/>
  <c r="AJ380" i="1"/>
  <c r="AK380" i="1"/>
  <c r="AL380" i="1"/>
  <c r="AO380" i="1"/>
  <c r="AP380" i="1"/>
  <c r="AV380" i="1"/>
  <c r="AW380" i="1"/>
  <c r="AX380" i="1"/>
  <c r="BC380" i="1"/>
  <c r="BD380" i="1"/>
  <c r="BF380" i="1"/>
  <c r="BH380" i="1"/>
  <c r="BI380" i="1"/>
  <c r="BJ380" i="1"/>
  <c r="I381" i="1"/>
  <c r="J381" i="1"/>
  <c r="K381" i="1"/>
  <c r="Z381" i="1"/>
  <c r="AB381" i="1"/>
  <c r="AC381" i="1"/>
  <c r="AD381" i="1"/>
  <c r="AE381" i="1"/>
  <c r="AF381" i="1"/>
  <c r="AG381" i="1"/>
  <c r="AH381" i="1"/>
  <c r="AJ381" i="1"/>
  <c r="AK381" i="1"/>
  <c r="AL381" i="1"/>
  <c r="AO381" i="1"/>
  <c r="AP381" i="1"/>
  <c r="AV381" i="1"/>
  <c r="AW381" i="1"/>
  <c r="AX381" i="1"/>
  <c r="BC381" i="1"/>
  <c r="BD381" i="1"/>
  <c r="BF381" i="1"/>
  <c r="BH381" i="1"/>
  <c r="BI381" i="1"/>
  <c r="BJ381" i="1"/>
  <c r="I382" i="1"/>
  <c r="J382" i="1"/>
  <c r="K382" i="1"/>
  <c r="Z382" i="1"/>
  <c r="AB382" i="1"/>
  <c r="AC382" i="1"/>
  <c r="AD382" i="1"/>
  <c r="AE382" i="1"/>
  <c r="AF382" i="1"/>
  <c r="AG382" i="1"/>
  <c r="AH382" i="1"/>
  <c r="AJ382" i="1"/>
  <c r="AK382" i="1"/>
  <c r="AL382" i="1"/>
  <c r="AO382" i="1"/>
  <c r="AP382" i="1"/>
  <c r="AV382" i="1"/>
  <c r="AW382" i="1"/>
  <c r="AX382" i="1"/>
  <c r="BC382" i="1"/>
  <c r="BD382" i="1"/>
  <c r="BF382" i="1"/>
  <c r="BH382" i="1"/>
  <c r="BI382" i="1"/>
  <c r="BJ382" i="1"/>
  <c r="I383" i="1"/>
  <c r="J383" i="1"/>
  <c r="K383" i="1"/>
  <c r="Z383" i="1"/>
  <c r="AB383" i="1"/>
  <c r="AC383" i="1"/>
  <c r="AD383" i="1"/>
  <c r="AE383" i="1"/>
  <c r="AF383" i="1"/>
  <c r="AG383" i="1"/>
  <c r="AH383" i="1"/>
  <c r="AJ383" i="1"/>
  <c r="AK383" i="1"/>
  <c r="AL383" i="1"/>
  <c r="AO383" i="1"/>
  <c r="AP383" i="1"/>
  <c r="AV383" i="1"/>
  <c r="AW383" i="1"/>
  <c r="AX383" i="1"/>
  <c r="BC383" i="1"/>
  <c r="BD383" i="1"/>
  <c r="BF383" i="1"/>
  <c r="BH383" i="1"/>
  <c r="BI383" i="1"/>
  <c r="BJ383" i="1"/>
  <c r="I384" i="1"/>
  <c r="J384" i="1"/>
  <c r="K384" i="1"/>
  <c r="Z384" i="1"/>
  <c r="AB384" i="1"/>
  <c r="AC384" i="1"/>
  <c r="AD384" i="1"/>
  <c r="AE384" i="1"/>
  <c r="AF384" i="1"/>
  <c r="AG384" i="1"/>
  <c r="AH384" i="1"/>
  <c r="AJ384" i="1"/>
  <c r="AK384" i="1"/>
  <c r="AL384" i="1"/>
  <c r="AO384" i="1"/>
  <c r="AP384" i="1"/>
  <c r="AV384" i="1"/>
  <c r="AW384" i="1"/>
  <c r="AX384" i="1"/>
  <c r="BC384" i="1"/>
  <c r="BD384" i="1"/>
  <c r="BF384" i="1"/>
  <c r="BH384" i="1"/>
  <c r="BI384" i="1"/>
  <c r="BJ384" i="1"/>
  <c r="I385" i="1"/>
  <c r="J385" i="1"/>
  <c r="K385" i="1"/>
  <c r="Z385" i="1"/>
  <c r="AB385" i="1"/>
  <c r="AC385" i="1"/>
  <c r="AD385" i="1"/>
  <c r="AE385" i="1"/>
  <c r="AF385" i="1"/>
  <c r="AG385" i="1"/>
  <c r="AH385" i="1"/>
  <c r="AJ385" i="1"/>
  <c r="AK385" i="1"/>
  <c r="AL385" i="1"/>
  <c r="AO385" i="1"/>
  <c r="AP385" i="1"/>
  <c r="AV385" i="1"/>
  <c r="AW385" i="1"/>
  <c r="AX385" i="1"/>
  <c r="BC385" i="1"/>
  <c r="BD385" i="1"/>
  <c r="BF385" i="1"/>
  <c r="BH385" i="1"/>
  <c r="BI385" i="1"/>
  <c r="BJ385" i="1"/>
  <c r="I386" i="1"/>
  <c r="J386" i="1"/>
  <c r="K386" i="1"/>
  <c r="AS386" i="1"/>
  <c r="AT386" i="1"/>
  <c r="AU386" i="1"/>
  <c r="I387" i="1"/>
  <c r="J387" i="1"/>
  <c r="K387" i="1"/>
  <c r="Z387" i="1"/>
  <c r="AB387" i="1"/>
  <c r="AC387" i="1"/>
  <c r="AD387" i="1"/>
  <c r="AE387" i="1"/>
  <c r="AF387" i="1"/>
  <c r="AG387" i="1"/>
  <c r="AH387" i="1"/>
  <c r="AJ387" i="1"/>
  <c r="AK387" i="1"/>
  <c r="AL387" i="1"/>
  <c r="AO387" i="1"/>
  <c r="AP387" i="1"/>
  <c r="AV387" i="1"/>
  <c r="AW387" i="1"/>
  <c r="AX387" i="1"/>
  <c r="BC387" i="1"/>
  <c r="BD387" i="1"/>
  <c r="BF387" i="1"/>
  <c r="BH387" i="1"/>
  <c r="BI387" i="1"/>
  <c r="BJ387" i="1"/>
  <c r="I388" i="1"/>
  <c r="J388" i="1"/>
  <c r="K388" i="1"/>
  <c r="Z388" i="1"/>
  <c r="AB388" i="1"/>
  <c r="AC388" i="1"/>
  <c r="AD388" i="1"/>
  <c r="AE388" i="1"/>
  <c r="AF388" i="1"/>
  <c r="AG388" i="1"/>
  <c r="AH388" i="1"/>
  <c r="AJ388" i="1"/>
  <c r="AK388" i="1"/>
  <c r="AL388" i="1"/>
  <c r="AO388" i="1"/>
  <c r="AP388" i="1"/>
  <c r="AV388" i="1"/>
  <c r="AW388" i="1"/>
  <c r="AX388" i="1"/>
  <c r="BC388" i="1"/>
  <c r="BD388" i="1"/>
  <c r="BF388" i="1"/>
  <c r="BH388" i="1"/>
  <c r="BI388" i="1"/>
  <c r="BJ388" i="1"/>
  <c r="I389" i="1"/>
  <c r="J389" i="1"/>
  <c r="K389" i="1"/>
  <c r="Z389" i="1"/>
  <c r="AB389" i="1"/>
  <c r="AC389" i="1"/>
  <c r="AD389" i="1"/>
  <c r="AE389" i="1"/>
  <c r="AF389" i="1"/>
  <c r="AG389" i="1"/>
  <c r="AH389" i="1"/>
  <c r="AJ389" i="1"/>
  <c r="AK389" i="1"/>
  <c r="AL389" i="1"/>
  <c r="AO389" i="1"/>
  <c r="AP389" i="1"/>
  <c r="AV389" i="1"/>
  <c r="AW389" i="1"/>
  <c r="AX389" i="1"/>
  <c r="BC389" i="1"/>
  <c r="BD389" i="1"/>
  <c r="BF389" i="1"/>
  <c r="BH389" i="1"/>
  <c r="BI389" i="1"/>
  <c r="BJ389" i="1"/>
  <c r="I390" i="1"/>
  <c r="J390" i="1"/>
  <c r="K390" i="1"/>
  <c r="Z390" i="1"/>
  <c r="AB390" i="1"/>
  <c r="AC390" i="1"/>
  <c r="AD390" i="1"/>
  <c r="AE390" i="1"/>
  <c r="AF390" i="1"/>
  <c r="AG390" i="1"/>
  <c r="AH390" i="1"/>
  <c r="AJ390" i="1"/>
  <c r="AK390" i="1"/>
  <c r="AL390" i="1"/>
  <c r="AO390" i="1"/>
  <c r="AP390" i="1"/>
  <c r="AV390" i="1"/>
  <c r="AW390" i="1"/>
  <c r="AX390" i="1"/>
  <c r="BC390" i="1"/>
  <c r="BD390" i="1"/>
  <c r="BF390" i="1"/>
  <c r="BH390" i="1"/>
  <c r="BI390" i="1"/>
  <c r="BJ390" i="1"/>
  <c r="I391" i="1"/>
  <c r="J391" i="1"/>
  <c r="K391" i="1"/>
  <c r="Z391" i="1"/>
  <c r="AB391" i="1"/>
  <c r="AC391" i="1"/>
  <c r="AD391" i="1"/>
  <c r="AE391" i="1"/>
  <c r="AF391" i="1"/>
  <c r="AG391" i="1"/>
  <c r="AH391" i="1"/>
  <c r="AJ391" i="1"/>
  <c r="AK391" i="1"/>
  <c r="AL391" i="1"/>
  <c r="AO391" i="1"/>
  <c r="AP391" i="1"/>
  <c r="AV391" i="1"/>
  <c r="AW391" i="1"/>
  <c r="AX391" i="1"/>
  <c r="BC391" i="1"/>
  <c r="BD391" i="1"/>
  <c r="BF391" i="1"/>
  <c r="BH391" i="1"/>
  <c r="BI391" i="1"/>
  <c r="BJ391" i="1"/>
  <c r="I392" i="1"/>
  <c r="J392" i="1"/>
  <c r="K392" i="1"/>
  <c r="Z392" i="1"/>
  <c r="AB392" i="1"/>
  <c r="AC392" i="1"/>
  <c r="AD392" i="1"/>
  <c r="AE392" i="1"/>
  <c r="AF392" i="1"/>
  <c r="AG392" i="1"/>
  <c r="AH392" i="1"/>
  <c r="AJ392" i="1"/>
  <c r="AK392" i="1"/>
  <c r="AL392" i="1"/>
  <c r="AO392" i="1"/>
  <c r="AP392" i="1"/>
  <c r="AV392" i="1"/>
  <c r="AW392" i="1"/>
  <c r="AX392" i="1"/>
  <c r="BC392" i="1"/>
  <c r="BD392" i="1"/>
  <c r="BF392" i="1"/>
  <c r="BH392" i="1"/>
  <c r="BI392" i="1"/>
  <c r="BJ392" i="1"/>
  <c r="I393" i="1"/>
  <c r="J393" i="1"/>
  <c r="K393" i="1"/>
  <c r="Z393" i="1"/>
  <c r="AB393" i="1"/>
  <c r="AC393" i="1"/>
  <c r="AD393" i="1"/>
  <c r="AE393" i="1"/>
  <c r="AF393" i="1"/>
  <c r="AG393" i="1"/>
  <c r="AH393" i="1"/>
  <c r="AJ393" i="1"/>
  <c r="AK393" i="1"/>
  <c r="AL393" i="1"/>
  <c r="AO393" i="1"/>
  <c r="AP393" i="1"/>
  <c r="AV393" i="1"/>
  <c r="AW393" i="1"/>
  <c r="AX393" i="1"/>
  <c r="BC393" i="1"/>
  <c r="BD393" i="1"/>
  <c r="BF393" i="1"/>
  <c r="BH393" i="1"/>
  <c r="BI393" i="1"/>
  <c r="BJ393" i="1"/>
  <c r="I394" i="1"/>
  <c r="J394" i="1"/>
  <c r="K394" i="1"/>
  <c r="Z394" i="1"/>
  <c r="AB394" i="1"/>
  <c r="AC394" i="1"/>
  <c r="AD394" i="1"/>
  <c r="AE394" i="1"/>
  <c r="AF394" i="1"/>
  <c r="AG394" i="1"/>
  <c r="AH394" i="1"/>
  <c r="AJ394" i="1"/>
  <c r="AK394" i="1"/>
  <c r="AL394" i="1"/>
  <c r="AO394" i="1"/>
  <c r="AP394" i="1"/>
  <c r="AV394" i="1"/>
  <c r="AW394" i="1"/>
  <c r="AX394" i="1"/>
  <c r="BC394" i="1"/>
  <c r="BD394" i="1"/>
  <c r="BF394" i="1"/>
  <c r="BH394" i="1"/>
  <c r="BI394" i="1"/>
  <c r="BJ394" i="1"/>
  <c r="I395" i="1"/>
  <c r="J395" i="1"/>
  <c r="K395" i="1"/>
  <c r="Z395" i="1"/>
  <c r="AB395" i="1"/>
  <c r="AC395" i="1"/>
  <c r="AD395" i="1"/>
  <c r="AE395" i="1"/>
  <c r="AF395" i="1"/>
  <c r="AG395" i="1"/>
  <c r="AH395" i="1"/>
  <c r="AJ395" i="1"/>
  <c r="AK395" i="1"/>
  <c r="AL395" i="1"/>
  <c r="AO395" i="1"/>
  <c r="AP395" i="1"/>
  <c r="AV395" i="1"/>
  <c r="AW395" i="1"/>
  <c r="AX395" i="1"/>
  <c r="BC395" i="1"/>
  <c r="BD395" i="1"/>
  <c r="BF395" i="1"/>
  <c r="BH395" i="1"/>
  <c r="BI395" i="1"/>
  <c r="BJ395" i="1"/>
  <c r="I396" i="1"/>
  <c r="J396" i="1"/>
  <c r="K396" i="1"/>
  <c r="Z396" i="1"/>
  <c r="AB396" i="1"/>
  <c r="AC396" i="1"/>
  <c r="AD396" i="1"/>
  <c r="AE396" i="1"/>
  <c r="AF396" i="1"/>
  <c r="AG396" i="1"/>
  <c r="AH396" i="1"/>
  <c r="AJ396" i="1"/>
  <c r="AK396" i="1"/>
  <c r="AL396" i="1"/>
  <c r="AO396" i="1"/>
  <c r="AP396" i="1"/>
  <c r="AV396" i="1"/>
  <c r="AW396" i="1"/>
  <c r="AX396" i="1"/>
  <c r="BC396" i="1"/>
  <c r="BD396" i="1"/>
  <c r="BF396" i="1"/>
  <c r="BH396" i="1"/>
  <c r="BI396" i="1"/>
  <c r="BJ396" i="1"/>
  <c r="I397" i="1"/>
  <c r="J397" i="1"/>
  <c r="K397" i="1"/>
  <c r="Z397" i="1"/>
  <c r="AB397" i="1"/>
  <c r="AC397" i="1"/>
  <c r="AD397" i="1"/>
  <c r="AE397" i="1"/>
  <c r="AF397" i="1"/>
  <c r="AG397" i="1"/>
  <c r="AH397" i="1"/>
  <c r="AJ397" i="1"/>
  <c r="AK397" i="1"/>
  <c r="AL397" i="1"/>
  <c r="AO397" i="1"/>
  <c r="AP397" i="1"/>
  <c r="AV397" i="1"/>
  <c r="AW397" i="1"/>
  <c r="AX397" i="1"/>
  <c r="BC397" i="1"/>
  <c r="BD397" i="1"/>
  <c r="BF397" i="1"/>
  <c r="BH397" i="1"/>
  <c r="BI397" i="1"/>
  <c r="BJ397" i="1"/>
  <c r="I398" i="1"/>
  <c r="J398" i="1"/>
  <c r="K398" i="1"/>
  <c r="Z398" i="1"/>
  <c r="AB398" i="1"/>
  <c r="AC398" i="1"/>
  <c r="AD398" i="1"/>
  <c r="AE398" i="1"/>
  <c r="AF398" i="1"/>
  <c r="AG398" i="1"/>
  <c r="AH398" i="1"/>
  <c r="AJ398" i="1"/>
  <c r="AK398" i="1"/>
  <c r="AL398" i="1"/>
  <c r="AO398" i="1"/>
  <c r="AP398" i="1"/>
  <c r="AV398" i="1"/>
  <c r="AW398" i="1"/>
  <c r="AX398" i="1"/>
  <c r="BC398" i="1"/>
  <c r="BD398" i="1"/>
  <c r="BF398" i="1"/>
  <c r="BH398" i="1"/>
  <c r="BI398" i="1"/>
  <c r="BJ398" i="1"/>
  <c r="I399" i="1"/>
  <c r="J399" i="1"/>
  <c r="K399" i="1"/>
  <c r="Z399" i="1"/>
  <c r="AB399" i="1"/>
  <c r="AC399" i="1"/>
  <c r="AD399" i="1"/>
  <c r="AE399" i="1"/>
  <c r="AF399" i="1"/>
  <c r="AG399" i="1"/>
  <c r="AH399" i="1"/>
  <c r="AJ399" i="1"/>
  <c r="AK399" i="1"/>
  <c r="AL399" i="1"/>
  <c r="AO399" i="1"/>
  <c r="AP399" i="1"/>
  <c r="AV399" i="1"/>
  <c r="AW399" i="1"/>
  <c r="AX399" i="1"/>
  <c r="BC399" i="1"/>
  <c r="BD399" i="1"/>
  <c r="BF399" i="1"/>
  <c r="BH399" i="1"/>
  <c r="BI399" i="1"/>
  <c r="BJ399" i="1"/>
  <c r="I400" i="1"/>
  <c r="J400" i="1"/>
  <c r="K400" i="1"/>
  <c r="Z400" i="1"/>
  <c r="AB400" i="1"/>
  <c r="AC400" i="1"/>
  <c r="AD400" i="1"/>
  <c r="AE400" i="1"/>
  <c r="AF400" i="1"/>
  <c r="AG400" i="1"/>
  <c r="AH400" i="1"/>
  <c r="AJ400" i="1"/>
  <c r="AK400" i="1"/>
  <c r="AL400" i="1"/>
  <c r="AO400" i="1"/>
  <c r="AP400" i="1"/>
  <c r="AV400" i="1"/>
  <c r="AW400" i="1"/>
  <c r="AX400" i="1"/>
  <c r="BC400" i="1"/>
  <c r="BD400" i="1"/>
  <c r="BF400" i="1"/>
  <c r="BH400" i="1"/>
  <c r="BI400" i="1"/>
  <c r="BJ400" i="1"/>
  <c r="I401" i="1"/>
  <c r="J401" i="1"/>
  <c r="K401" i="1"/>
  <c r="Z401" i="1"/>
  <c r="AB401" i="1"/>
  <c r="AC401" i="1"/>
  <c r="AD401" i="1"/>
  <c r="AE401" i="1"/>
  <c r="AF401" i="1"/>
  <c r="AG401" i="1"/>
  <c r="AH401" i="1"/>
  <c r="AJ401" i="1"/>
  <c r="AK401" i="1"/>
  <c r="AL401" i="1"/>
  <c r="AO401" i="1"/>
  <c r="AP401" i="1"/>
  <c r="AV401" i="1"/>
  <c r="AW401" i="1"/>
  <c r="AX401" i="1"/>
  <c r="BC401" i="1"/>
  <c r="BD401" i="1"/>
  <c r="BF401" i="1"/>
  <c r="BH401" i="1"/>
  <c r="BI401" i="1"/>
  <c r="BJ401" i="1"/>
  <c r="I402" i="1"/>
  <c r="J402" i="1"/>
  <c r="K402" i="1"/>
  <c r="Z402" i="1"/>
  <c r="AB402" i="1"/>
  <c r="AC402" i="1"/>
  <c r="AD402" i="1"/>
  <c r="AE402" i="1"/>
  <c r="AF402" i="1"/>
  <c r="AG402" i="1"/>
  <c r="AH402" i="1"/>
  <c r="AJ402" i="1"/>
  <c r="AK402" i="1"/>
  <c r="AL402" i="1"/>
  <c r="AO402" i="1"/>
  <c r="AP402" i="1"/>
  <c r="AV402" i="1"/>
  <c r="AW402" i="1"/>
  <c r="AX402" i="1"/>
  <c r="BC402" i="1"/>
  <c r="BD402" i="1"/>
  <c r="BF402" i="1"/>
  <c r="BH402" i="1"/>
  <c r="BI402" i="1"/>
  <c r="BJ402" i="1"/>
  <c r="I403" i="1"/>
  <c r="J403" i="1"/>
  <c r="K403" i="1"/>
  <c r="Z403" i="1"/>
  <c r="AB403" i="1"/>
  <c r="AC403" i="1"/>
  <c r="AD403" i="1"/>
  <c r="AE403" i="1"/>
  <c r="AF403" i="1"/>
  <c r="AG403" i="1"/>
  <c r="AH403" i="1"/>
  <c r="AJ403" i="1"/>
  <c r="AK403" i="1"/>
  <c r="AL403" i="1"/>
  <c r="AO403" i="1"/>
  <c r="AP403" i="1"/>
  <c r="AV403" i="1"/>
  <c r="AW403" i="1"/>
  <c r="AX403" i="1"/>
  <c r="BC403" i="1"/>
  <c r="BD403" i="1"/>
  <c r="BF403" i="1"/>
  <c r="BH403" i="1"/>
  <c r="BI403" i="1"/>
  <c r="BJ403" i="1"/>
  <c r="I404" i="1"/>
  <c r="J404" i="1"/>
  <c r="K404" i="1"/>
  <c r="Z404" i="1"/>
  <c r="AB404" i="1"/>
  <c r="AC404" i="1"/>
  <c r="AD404" i="1"/>
  <c r="AE404" i="1"/>
  <c r="AF404" i="1"/>
  <c r="AG404" i="1"/>
  <c r="AH404" i="1"/>
  <c r="AJ404" i="1"/>
  <c r="AK404" i="1"/>
  <c r="AL404" i="1"/>
  <c r="AO404" i="1"/>
  <c r="AP404" i="1"/>
  <c r="AV404" i="1"/>
  <c r="AW404" i="1"/>
  <c r="AX404" i="1"/>
  <c r="BC404" i="1"/>
  <c r="BD404" i="1"/>
  <c r="BF404" i="1"/>
  <c r="BH404" i="1"/>
  <c r="BI404" i="1"/>
  <c r="BJ404" i="1"/>
  <c r="I405" i="1"/>
  <c r="J405" i="1"/>
  <c r="K405" i="1"/>
  <c r="Z405" i="1"/>
  <c r="AB405" i="1"/>
  <c r="AC405" i="1"/>
  <c r="AD405" i="1"/>
  <c r="AE405" i="1"/>
  <c r="AF405" i="1"/>
  <c r="AG405" i="1"/>
  <c r="AH405" i="1"/>
  <c r="AJ405" i="1"/>
  <c r="AK405" i="1"/>
  <c r="AL405" i="1"/>
  <c r="AO405" i="1"/>
  <c r="AP405" i="1"/>
  <c r="AV405" i="1"/>
  <c r="AW405" i="1"/>
  <c r="AX405" i="1"/>
  <c r="BC405" i="1"/>
  <c r="BD405" i="1"/>
  <c r="BF405" i="1"/>
  <c r="BH405" i="1"/>
  <c r="BI405" i="1"/>
  <c r="BJ405" i="1"/>
  <c r="I406" i="1"/>
  <c r="J406" i="1"/>
  <c r="K406" i="1"/>
  <c r="Z406" i="1"/>
  <c r="AB406" i="1"/>
  <c r="AC406" i="1"/>
  <c r="AD406" i="1"/>
  <c r="AE406" i="1"/>
  <c r="AF406" i="1"/>
  <c r="AG406" i="1"/>
  <c r="AH406" i="1"/>
  <c r="AJ406" i="1"/>
  <c r="AK406" i="1"/>
  <c r="AL406" i="1"/>
  <c r="AO406" i="1"/>
  <c r="AP406" i="1"/>
  <c r="AV406" i="1"/>
  <c r="AW406" i="1"/>
  <c r="AX406" i="1"/>
  <c r="BC406" i="1"/>
  <c r="BD406" i="1"/>
  <c r="BF406" i="1"/>
  <c r="BH406" i="1"/>
  <c r="BI406" i="1"/>
  <c r="BJ406" i="1"/>
  <c r="I407" i="1"/>
  <c r="J407" i="1"/>
  <c r="K407" i="1"/>
  <c r="Z407" i="1"/>
  <c r="AB407" i="1"/>
  <c r="AC407" i="1"/>
  <c r="AD407" i="1"/>
  <c r="AE407" i="1"/>
  <c r="AF407" i="1"/>
  <c r="AG407" i="1"/>
  <c r="AH407" i="1"/>
  <c r="AJ407" i="1"/>
  <c r="AK407" i="1"/>
  <c r="AL407" i="1"/>
  <c r="AO407" i="1"/>
  <c r="AP407" i="1"/>
  <c r="AV407" i="1"/>
  <c r="AW407" i="1"/>
  <c r="AX407" i="1"/>
  <c r="BC407" i="1"/>
  <c r="BD407" i="1"/>
  <c r="BF407" i="1"/>
  <c r="BH407" i="1"/>
  <c r="BI407" i="1"/>
  <c r="BJ407" i="1"/>
  <c r="I408" i="1"/>
  <c r="J408" i="1"/>
  <c r="K408" i="1"/>
  <c r="Z408" i="1"/>
  <c r="AB408" i="1"/>
  <c r="AC408" i="1"/>
  <c r="AD408" i="1"/>
  <c r="AE408" i="1"/>
  <c r="AF408" i="1"/>
  <c r="AG408" i="1"/>
  <c r="AH408" i="1"/>
  <c r="AJ408" i="1"/>
  <c r="AK408" i="1"/>
  <c r="AL408" i="1"/>
  <c r="AO408" i="1"/>
  <c r="AP408" i="1"/>
  <c r="AV408" i="1"/>
  <c r="AW408" i="1"/>
  <c r="AX408" i="1"/>
  <c r="BC408" i="1"/>
  <c r="BD408" i="1"/>
  <c r="BF408" i="1"/>
  <c r="BH408" i="1"/>
  <c r="BI408" i="1"/>
  <c r="BJ408" i="1"/>
  <c r="I409" i="1"/>
  <c r="J409" i="1"/>
  <c r="K409" i="1"/>
  <c r="Z409" i="1"/>
  <c r="AB409" i="1"/>
  <c r="AC409" i="1"/>
  <c r="AD409" i="1"/>
  <c r="AE409" i="1"/>
  <c r="AF409" i="1"/>
  <c r="AG409" i="1"/>
  <c r="AH409" i="1"/>
  <c r="AJ409" i="1"/>
  <c r="AK409" i="1"/>
  <c r="AL409" i="1"/>
  <c r="AO409" i="1"/>
  <c r="AP409" i="1"/>
  <c r="AV409" i="1"/>
  <c r="AW409" i="1"/>
  <c r="AX409" i="1"/>
  <c r="BC409" i="1"/>
  <c r="BD409" i="1"/>
  <c r="BF409" i="1"/>
  <c r="BH409" i="1"/>
  <c r="BI409" i="1"/>
  <c r="BJ409" i="1"/>
  <c r="I410" i="1"/>
  <c r="J410" i="1"/>
  <c r="K410" i="1"/>
  <c r="Z410" i="1"/>
  <c r="AB410" i="1"/>
  <c r="AC410" i="1"/>
  <c r="AD410" i="1"/>
  <c r="AE410" i="1"/>
  <c r="AF410" i="1"/>
  <c r="AG410" i="1"/>
  <c r="AH410" i="1"/>
  <c r="AJ410" i="1"/>
  <c r="AK410" i="1"/>
  <c r="AL410" i="1"/>
  <c r="AO410" i="1"/>
  <c r="AP410" i="1"/>
  <c r="AV410" i="1"/>
  <c r="AW410" i="1"/>
  <c r="AX410" i="1"/>
  <c r="BC410" i="1"/>
  <c r="BD410" i="1"/>
  <c r="BF410" i="1"/>
  <c r="BH410" i="1"/>
  <c r="BI410" i="1"/>
  <c r="BJ410" i="1"/>
  <c r="I411" i="1"/>
  <c r="J411" i="1"/>
  <c r="K411" i="1"/>
  <c r="Z411" i="1"/>
  <c r="AB411" i="1"/>
  <c r="AC411" i="1"/>
  <c r="AD411" i="1"/>
  <c r="AE411" i="1"/>
  <c r="AF411" i="1"/>
  <c r="AG411" i="1"/>
  <c r="AH411" i="1"/>
  <c r="AJ411" i="1"/>
  <c r="AK411" i="1"/>
  <c r="AL411" i="1"/>
  <c r="AO411" i="1"/>
  <c r="AP411" i="1"/>
  <c r="AV411" i="1"/>
  <c r="AW411" i="1"/>
  <c r="AX411" i="1"/>
  <c r="BC411" i="1"/>
  <c r="BD411" i="1"/>
  <c r="BF411" i="1"/>
  <c r="BH411" i="1"/>
  <c r="BI411" i="1"/>
  <c r="BJ411" i="1"/>
  <c r="I412" i="1"/>
  <c r="J412" i="1"/>
  <c r="K412" i="1"/>
  <c r="Z412" i="1"/>
  <c r="AB412" i="1"/>
  <c r="AC412" i="1"/>
  <c r="AD412" i="1"/>
  <c r="AE412" i="1"/>
  <c r="AF412" i="1"/>
  <c r="AG412" i="1"/>
  <c r="AH412" i="1"/>
  <c r="AJ412" i="1"/>
  <c r="AK412" i="1"/>
  <c r="AL412" i="1"/>
  <c r="AO412" i="1"/>
  <c r="AP412" i="1"/>
  <c r="AV412" i="1"/>
  <c r="AW412" i="1"/>
  <c r="AX412" i="1"/>
  <c r="BC412" i="1"/>
  <c r="BD412" i="1"/>
  <c r="BF412" i="1"/>
  <c r="BH412" i="1"/>
  <c r="BI412" i="1"/>
  <c r="BJ412" i="1"/>
  <c r="I413" i="1"/>
  <c r="J413" i="1"/>
  <c r="K413" i="1"/>
  <c r="Z413" i="1"/>
  <c r="AB413" i="1"/>
  <c r="AC413" i="1"/>
  <c r="AD413" i="1"/>
  <c r="AE413" i="1"/>
  <c r="AF413" i="1"/>
  <c r="AG413" i="1"/>
  <c r="AH413" i="1"/>
  <c r="AJ413" i="1"/>
  <c r="AK413" i="1"/>
  <c r="AL413" i="1"/>
  <c r="AO413" i="1"/>
  <c r="AP413" i="1"/>
  <c r="AV413" i="1"/>
  <c r="AW413" i="1"/>
  <c r="AX413" i="1"/>
  <c r="BC413" i="1"/>
  <c r="BD413" i="1"/>
  <c r="BF413" i="1"/>
  <c r="BH413" i="1"/>
  <c r="BI413" i="1"/>
  <c r="BJ413" i="1"/>
  <c r="I414" i="1"/>
  <c r="J414" i="1"/>
  <c r="K414" i="1"/>
  <c r="AS414" i="1"/>
  <c r="AT414" i="1"/>
  <c r="AU414" i="1"/>
  <c r="I415" i="1"/>
  <c r="J415" i="1"/>
  <c r="K415" i="1"/>
  <c r="Z415" i="1"/>
  <c r="AB415" i="1"/>
  <c r="AC415" i="1"/>
  <c r="AD415" i="1"/>
  <c r="AE415" i="1"/>
  <c r="AF415" i="1"/>
  <c r="AG415" i="1"/>
  <c r="AH415" i="1"/>
  <c r="AJ415" i="1"/>
  <c r="AK415" i="1"/>
  <c r="AL415" i="1"/>
  <c r="AO415" i="1"/>
  <c r="AP415" i="1"/>
  <c r="AV415" i="1"/>
  <c r="AW415" i="1"/>
  <c r="AX415" i="1"/>
  <c r="BC415" i="1"/>
  <c r="BD415" i="1"/>
  <c r="BF415" i="1"/>
  <c r="BH415" i="1"/>
  <c r="BI415" i="1"/>
  <c r="BJ415" i="1"/>
  <c r="I417" i="1"/>
  <c r="J417" i="1"/>
  <c r="K417" i="1"/>
  <c r="Z417" i="1"/>
  <c r="AB417" i="1"/>
  <c r="AC417" i="1"/>
  <c r="AD417" i="1"/>
  <c r="AE417" i="1"/>
  <c r="AF417" i="1"/>
  <c r="AG417" i="1"/>
  <c r="AH417" i="1"/>
  <c r="AJ417" i="1"/>
  <c r="AK417" i="1"/>
  <c r="AL417" i="1"/>
  <c r="AO417" i="1"/>
  <c r="AP417" i="1"/>
  <c r="AV417" i="1"/>
  <c r="AW417" i="1"/>
  <c r="AX417" i="1"/>
  <c r="BC417" i="1"/>
  <c r="BD417" i="1"/>
  <c r="BF417" i="1"/>
  <c r="BH417" i="1"/>
  <c r="BI417" i="1"/>
  <c r="BJ417" i="1"/>
  <c r="I419" i="1"/>
  <c r="J419" i="1"/>
  <c r="K419" i="1"/>
  <c r="Z419" i="1"/>
  <c r="AB419" i="1"/>
  <c r="AC419" i="1"/>
  <c r="AD419" i="1"/>
  <c r="AE419" i="1"/>
  <c r="AF419" i="1"/>
  <c r="AG419" i="1"/>
  <c r="AH419" i="1"/>
  <c r="AJ419" i="1"/>
  <c r="AK419" i="1"/>
  <c r="AL419" i="1"/>
  <c r="AO419" i="1"/>
  <c r="AP419" i="1"/>
  <c r="AV419" i="1"/>
  <c r="AW419" i="1"/>
  <c r="AX419" i="1"/>
  <c r="BC419" i="1"/>
  <c r="BD419" i="1"/>
  <c r="BF419" i="1"/>
  <c r="BH419" i="1"/>
  <c r="BI419" i="1"/>
  <c r="BJ419" i="1"/>
  <c r="I420" i="1"/>
  <c r="J420" i="1"/>
  <c r="K420" i="1"/>
  <c r="Z420" i="1"/>
  <c r="AB420" i="1"/>
  <c r="AC420" i="1"/>
  <c r="AD420" i="1"/>
  <c r="AE420" i="1"/>
  <c r="AF420" i="1"/>
  <c r="AG420" i="1"/>
  <c r="AH420" i="1"/>
  <c r="AJ420" i="1"/>
  <c r="AK420" i="1"/>
  <c r="AL420" i="1"/>
  <c r="AO420" i="1"/>
  <c r="AP420" i="1"/>
  <c r="AV420" i="1"/>
  <c r="AW420" i="1"/>
  <c r="AX420" i="1"/>
  <c r="BC420" i="1"/>
  <c r="BD420" i="1"/>
  <c r="BF420" i="1"/>
  <c r="BH420" i="1"/>
  <c r="BI420" i="1"/>
  <c r="BJ420" i="1"/>
  <c r="I421" i="1"/>
  <c r="J421" i="1"/>
  <c r="K421" i="1"/>
  <c r="Z421" i="1"/>
  <c r="AB421" i="1"/>
  <c r="AC421" i="1"/>
  <c r="AD421" i="1"/>
  <c r="AE421" i="1"/>
  <c r="AF421" i="1"/>
  <c r="AG421" i="1"/>
  <c r="AH421" i="1"/>
  <c r="AJ421" i="1"/>
  <c r="AK421" i="1"/>
  <c r="AL421" i="1"/>
  <c r="AO421" i="1"/>
  <c r="AP421" i="1"/>
  <c r="AV421" i="1"/>
  <c r="AW421" i="1"/>
  <c r="AX421" i="1"/>
  <c r="BC421" i="1"/>
  <c r="BD421" i="1"/>
  <c r="BF421" i="1"/>
  <c r="BH421" i="1"/>
  <c r="BI421" i="1"/>
  <c r="BJ421" i="1"/>
  <c r="I422" i="1"/>
  <c r="J422" i="1"/>
  <c r="K422" i="1"/>
  <c r="Z422" i="1"/>
  <c r="AB422" i="1"/>
  <c r="AC422" i="1"/>
  <c r="AD422" i="1"/>
  <c r="AE422" i="1"/>
  <c r="AF422" i="1"/>
  <c r="AG422" i="1"/>
  <c r="AH422" i="1"/>
  <c r="AJ422" i="1"/>
  <c r="AK422" i="1"/>
  <c r="AL422" i="1"/>
  <c r="AO422" i="1"/>
  <c r="AP422" i="1"/>
  <c r="AV422" i="1"/>
  <c r="AW422" i="1"/>
  <c r="AX422" i="1"/>
  <c r="BC422" i="1"/>
  <c r="BD422" i="1"/>
  <c r="BF422" i="1"/>
  <c r="BH422" i="1"/>
  <c r="BI422" i="1"/>
  <c r="BJ422" i="1"/>
  <c r="I423" i="1"/>
  <c r="J423" i="1"/>
  <c r="K423" i="1"/>
  <c r="Z423" i="1"/>
  <c r="AB423" i="1"/>
  <c r="AC423" i="1"/>
  <c r="AD423" i="1"/>
  <c r="AE423" i="1"/>
  <c r="AF423" i="1"/>
  <c r="AG423" i="1"/>
  <c r="AH423" i="1"/>
  <c r="AJ423" i="1"/>
  <c r="AK423" i="1"/>
  <c r="AL423" i="1"/>
  <c r="AO423" i="1"/>
  <c r="AP423" i="1"/>
  <c r="AV423" i="1"/>
  <c r="AW423" i="1"/>
  <c r="AX423" i="1"/>
  <c r="BC423" i="1"/>
  <c r="BD423" i="1"/>
  <c r="BF423" i="1"/>
  <c r="BH423" i="1"/>
  <c r="BI423" i="1"/>
  <c r="BJ423" i="1"/>
  <c r="I424" i="1"/>
  <c r="J424" i="1"/>
  <c r="K424" i="1"/>
  <c r="Z424" i="1"/>
  <c r="AB424" i="1"/>
  <c r="AC424" i="1"/>
  <c r="AD424" i="1"/>
  <c r="AE424" i="1"/>
  <c r="AF424" i="1"/>
  <c r="AG424" i="1"/>
  <c r="AH424" i="1"/>
  <c r="AJ424" i="1"/>
  <c r="AK424" i="1"/>
  <c r="AL424" i="1"/>
  <c r="AO424" i="1"/>
  <c r="AP424" i="1"/>
  <c r="AV424" i="1"/>
  <c r="AW424" i="1"/>
  <c r="AX424" i="1"/>
  <c r="BC424" i="1"/>
  <c r="BD424" i="1"/>
  <c r="BF424" i="1"/>
  <c r="BH424" i="1"/>
  <c r="BI424" i="1"/>
  <c r="BJ424" i="1"/>
  <c r="I425" i="1"/>
  <c r="J425" i="1"/>
  <c r="K425" i="1"/>
  <c r="Z425" i="1"/>
  <c r="AB425" i="1"/>
  <c r="AC425" i="1"/>
  <c r="AD425" i="1"/>
  <c r="AE425" i="1"/>
  <c r="AF425" i="1"/>
  <c r="AG425" i="1"/>
  <c r="AH425" i="1"/>
  <c r="AJ425" i="1"/>
  <c r="AK425" i="1"/>
  <c r="AL425" i="1"/>
  <c r="AO425" i="1"/>
  <c r="AP425" i="1"/>
  <c r="AV425" i="1"/>
  <c r="AW425" i="1"/>
  <c r="AX425" i="1"/>
  <c r="BC425" i="1"/>
  <c r="BD425" i="1"/>
  <c r="BF425" i="1"/>
  <c r="BH425" i="1"/>
  <c r="BI425" i="1"/>
  <c r="BJ425" i="1"/>
  <c r="I426" i="1"/>
  <c r="J426" i="1"/>
  <c r="K426" i="1"/>
  <c r="Z426" i="1"/>
  <c r="AB426" i="1"/>
  <c r="AC426" i="1"/>
  <c r="AD426" i="1"/>
  <c r="AE426" i="1"/>
  <c r="AF426" i="1"/>
  <c r="AG426" i="1"/>
  <c r="AH426" i="1"/>
  <c r="AJ426" i="1"/>
  <c r="AK426" i="1"/>
  <c r="AL426" i="1"/>
  <c r="AO426" i="1"/>
  <c r="AP426" i="1"/>
  <c r="AV426" i="1"/>
  <c r="AW426" i="1"/>
  <c r="AX426" i="1"/>
  <c r="BC426" i="1"/>
  <c r="BD426" i="1"/>
  <c r="BF426" i="1"/>
  <c r="BH426" i="1"/>
  <c r="BI426" i="1"/>
  <c r="BJ426" i="1"/>
  <c r="I427" i="1"/>
  <c r="J427" i="1"/>
  <c r="K427" i="1"/>
  <c r="Z427" i="1"/>
  <c r="AB427" i="1"/>
  <c r="AC427" i="1"/>
  <c r="AD427" i="1"/>
  <c r="AE427" i="1"/>
  <c r="AF427" i="1"/>
  <c r="AG427" i="1"/>
  <c r="AH427" i="1"/>
  <c r="AJ427" i="1"/>
  <c r="AK427" i="1"/>
  <c r="AL427" i="1"/>
  <c r="AO427" i="1"/>
  <c r="AP427" i="1"/>
  <c r="AV427" i="1"/>
  <c r="AW427" i="1"/>
  <c r="AX427" i="1"/>
  <c r="BC427" i="1"/>
  <c r="BD427" i="1"/>
  <c r="BF427" i="1"/>
  <c r="BH427" i="1"/>
  <c r="BI427" i="1"/>
  <c r="BJ427" i="1"/>
  <c r="I428" i="1"/>
  <c r="J428" i="1"/>
  <c r="K428" i="1"/>
  <c r="Z428" i="1"/>
  <c r="AB428" i="1"/>
  <c r="AC428" i="1"/>
  <c r="AD428" i="1"/>
  <c r="AE428" i="1"/>
  <c r="AF428" i="1"/>
  <c r="AG428" i="1"/>
  <c r="AH428" i="1"/>
  <c r="AJ428" i="1"/>
  <c r="AK428" i="1"/>
  <c r="AL428" i="1"/>
  <c r="AO428" i="1"/>
  <c r="AP428" i="1"/>
  <c r="AV428" i="1"/>
  <c r="AW428" i="1"/>
  <c r="AX428" i="1"/>
  <c r="BC428" i="1"/>
  <c r="BD428" i="1"/>
  <c r="BF428" i="1"/>
  <c r="BH428" i="1"/>
  <c r="BI428" i="1"/>
  <c r="BJ428" i="1"/>
  <c r="I429" i="1"/>
  <c r="J429" i="1"/>
  <c r="K429" i="1"/>
  <c r="Z429" i="1"/>
  <c r="AB429" i="1"/>
  <c r="AC429" i="1"/>
  <c r="AD429" i="1"/>
  <c r="AE429" i="1"/>
  <c r="AF429" i="1"/>
  <c r="AG429" i="1"/>
  <c r="AH429" i="1"/>
  <c r="AJ429" i="1"/>
  <c r="AK429" i="1"/>
  <c r="AL429" i="1"/>
  <c r="AO429" i="1"/>
  <c r="AP429" i="1"/>
  <c r="AV429" i="1"/>
  <c r="AW429" i="1"/>
  <c r="AX429" i="1"/>
  <c r="BC429" i="1"/>
  <c r="BD429" i="1"/>
  <c r="BF429" i="1"/>
  <c r="BH429" i="1"/>
  <c r="BI429" i="1"/>
  <c r="BJ429" i="1"/>
  <c r="I430" i="1"/>
  <c r="J430" i="1"/>
  <c r="K430" i="1"/>
  <c r="Z430" i="1"/>
  <c r="AB430" i="1"/>
  <c r="AC430" i="1"/>
  <c r="AD430" i="1"/>
  <c r="AE430" i="1"/>
  <c r="AF430" i="1"/>
  <c r="AG430" i="1"/>
  <c r="AH430" i="1"/>
  <c r="AJ430" i="1"/>
  <c r="AK430" i="1"/>
  <c r="AL430" i="1"/>
  <c r="AO430" i="1"/>
  <c r="AP430" i="1"/>
  <c r="AV430" i="1"/>
  <c r="AW430" i="1"/>
  <c r="AX430" i="1"/>
  <c r="BC430" i="1"/>
  <c r="BD430" i="1"/>
  <c r="BF430" i="1"/>
  <c r="BH430" i="1"/>
  <c r="BI430" i="1"/>
  <c r="BJ430" i="1"/>
  <c r="I431" i="1"/>
  <c r="J431" i="1"/>
  <c r="K431" i="1"/>
  <c r="Z431" i="1"/>
  <c r="AB431" i="1"/>
  <c r="AC431" i="1"/>
  <c r="AD431" i="1"/>
  <c r="AE431" i="1"/>
  <c r="AF431" i="1"/>
  <c r="AG431" i="1"/>
  <c r="AH431" i="1"/>
  <c r="AJ431" i="1"/>
  <c r="AK431" i="1"/>
  <c r="AL431" i="1"/>
  <c r="AO431" i="1"/>
  <c r="AP431" i="1"/>
  <c r="AV431" i="1"/>
  <c r="AW431" i="1"/>
  <c r="AX431" i="1"/>
  <c r="BC431" i="1"/>
  <c r="BD431" i="1"/>
  <c r="BF431" i="1"/>
  <c r="BH431" i="1"/>
  <c r="BI431" i="1"/>
  <c r="BJ431" i="1"/>
  <c r="I432" i="1"/>
  <c r="J432" i="1"/>
  <c r="K432" i="1"/>
  <c r="Z432" i="1"/>
  <c r="AB432" i="1"/>
  <c r="AC432" i="1"/>
  <c r="AD432" i="1"/>
  <c r="AE432" i="1"/>
  <c r="AF432" i="1"/>
  <c r="AG432" i="1"/>
  <c r="AH432" i="1"/>
  <c r="AJ432" i="1"/>
  <c r="AK432" i="1"/>
  <c r="AL432" i="1"/>
  <c r="AO432" i="1"/>
  <c r="AP432" i="1"/>
  <c r="AV432" i="1"/>
  <c r="AW432" i="1"/>
  <c r="AX432" i="1"/>
  <c r="BC432" i="1"/>
  <c r="BD432" i="1"/>
  <c r="BF432" i="1"/>
  <c r="BH432" i="1"/>
  <c r="BI432" i="1"/>
  <c r="BJ432" i="1"/>
  <c r="I433" i="1"/>
  <c r="J433" i="1"/>
  <c r="K433" i="1"/>
  <c r="Z433" i="1"/>
  <c r="AB433" i="1"/>
  <c r="AC433" i="1"/>
  <c r="AD433" i="1"/>
  <c r="AE433" i="1"/>
  <c r="AF433" i="1"/>
  <c r="AG433" i="1"/>
  <c r="AH433" i="1"/>
  <c r="AJ433" i="1"/>
  <c r="AK433" i="1"/>
  <c r="AL433" i="1"/>
  <c r="AO433" i="1"/>
  <c r="AP433" i="1"/>
  <c r="AV433" i="1"/>
  <c r="AW433" i="1"/>
  <c r="AX433" i="1"/>
  <c r="BC433" i="1"/>
  <c r="BD433" i="1"/>
  <c r="BF433" i="1"/>
  <c r="BH433" i="1"/>
  <c r="BI433" i="1"/>
  <c r="BJ433" i="1"/>
  <c r="I434" i="1"/>
  <c r="J434" i="1"/>
  <c r="K434" i="1"/>
  <c r="Z434" i="1"/>
  <c r="AB434" i="1"/>
  <c r="AC434" i="1"/>
  <c r="AD434" i="1"/>
  <c r="AE434" i="1"/>
  <c r="AF434" i="1"/>
  <c r="AG434" i="1"/>
  <c r="AH434" i="1"/>
  <c r="AJ434" i="1"/>
  <c r="AK434" i="1"/>
  <c r="AL434" i="1"/>
  <c r="AO434" i="1"/>
  <c r="AP434" i="1"/>
  <c r="AV434" i="1"/>
  <c r="AW434" i="1"/>
  <c r="AX434" i="1"/>
  <c r="BC434" i="1"/>
  <c r="BD434" i="1"/>
  <c r="BF434" i="1"/>
  <c r="BH434" i="1"/>
  <c r="BI434" i="1"/>
  <c r="BJ434" i="1"/>
  <c r="I435" i="1"/>
  <c r="J435" i="1"/>
  <c r="K435" i="1"/>
  <c r="Z435" i="1"/>
  <c r="AB435" i="1"/>
  <c r="AC435" i="1"/>
  <c r="AD435" i="1"/>
  <c r="AE435" i="1"/>
  <c r="AF435" i="1"/>
  <c r="AG435" i="1"/>
  <c r="AH435" i="1"/>
  <c r="AJ435" i="1"/>
  <c r="AK435" i="1"/>
  <c r="AL435" i="1"/>
  <c r="AO435" i="1"/>
  <c r="AP435" i="1"/>
  <c r="AV435" i="1"/>
  <c r="AW435" i="1"/>
  <c r="AX435" i="1"/>
  <c r="BC435" i="1"/>
  <c r="BD435" i="1"/>
  <c r="BF435" i="1"/>
  <c r="BH435" i="1"/>
  <c r="BI435" i="1"/>
  <c r="BJ435" i="1"/>
  <c r="I436" i="1"/>
  <c r="J436" i="1"/>
  <c r="K436" i="1"/>
  <c r="Z436" i="1"/>
  <c r="AB436" i="1"/>
  <c r="AC436" i="1"/>
  <c r="AD436" i="1"/>
  <c r="AE436" i="1"/>
  <c r="AF436" i="1"/>
  <c r="AG436" i="1"/>
  <c r="AH436" i="1"/>
  <c r="AJ436" i="1"/>
  <c r="AK436" i="1"/>
  <c r="AL436" i="1"/>
  <c r="AO436" i="1"/>
  <c r="AP436" i="1"/>
  <c r="AV436" i="1"/>
  <c r="AW436" i="1"/>
  <c r="AX436" i="1"/>
  <c r="BC436" i="1"/>
  <c r="BD436" i="1"/>
  <c r="BF436" i="1"/>
  <c r="BH436" i="1"/>
  <c r="BI436" i="1"/>
  <c r="BJ436" i="1"/>
  <c r="I437" i="1"/>
  <c r="J437" i="1"/>
  <c r="K437" i="1"/>
  <c r="Z437" i="1"/>
  <c r="AB437" i="1"/>
  <c r="AC437" i="1"/>
  <c r="AD437" i="1"/>
  <c r="AE437" i="1"/>
  <c r="AF437" i="1"/>
  <c r="AG437" i="1"/>
  <c r="AH437" i="1"/>
  <c r="AJ437" i="1"/>
  <c r="AK437" i="1"/>
  <c r="AL437" i="1"/>
  <c r="AO437" i="1"/>
  <c r="AP437" i="1"/>
  <c r="AV437" i="1"/>
  <c r="AW437" i="1"/>
  <c r="AX437" i="1"/>
  <c r="BC437" i="1"/>
  <c r="BD437" i="1"/>
  <c r="BF437" i="1"/>
  <c r="BH437" i="1"/>
  <c r="BI437" i="1"/>
  <c r="BJ437" i="1"/>
  <c r="I438" i="1"/>
  <c r="J438" i="1"/>
  <c r="K438" i="1"/>
  <c r="Z438" i="1"/>
  <c r="AB438" i="1"/>
  <c r="AC438" i="1"/>
  <c r="AD438" i="1"/>
  <c r="AE438" i="1"/>
  <c r="AF438" i="1"/>
  <c r="AG438" i="1"/>
  <c r="AH438" i="1"/>
  <c r="AJ438" i="1"/>
  <c r="AK438" i="1"/>
  <c r="AL438" i="1"/>
  <c r="AO438" i="1"/>
  <c r="AP438" i="1"/>
  <c r="AV438" i="1"/>
  <c r="AW438" i="1"/>
  <c r="AX438" i="1"/>
  <c r="BC438" i="1"/>
  <c r="BD438" i="1"/>
  <c r="BF438" i="1"/>
  <c r="BH438" i="1"/>
  <c r="BI438" i="1"/>
  <c r="BJ438" i="1"/>
  <c r="I439" i="1"/>
  <c r="J439" i="1"/>
  <c r="K439" i="1"/>
  <c r="Z439" i="1"/>
  <c r="AB439" i="1"/>
  <c r="AC439" i="1"/>
  <c r="AD439" i="1"/>
  <c r="AE439" i="1"/>
  <c r="AF439" i="1"/>
  <c r="AG439" i="1"/>
  <c r="AH439" i="1"/>
  <c r="AJ439" i="1"/>
  <c r="AK439" i="1"/>
  <c r="AL439" i="1"/>
  <c r="AO439" i="1"/>
  <c r="AP439" i="1"/>
  <c r="AV439" i="1"/>
  <c r="AW439" i="1"/>
  <c r="AX439" i="1"/>
  <c r="BC439" i="1"/>
  <c r="BD439" i="1"/>
  <c r="BF439" i="1"/>
  <c r="BH439" i="1"/>
  <c r="BI439" i="1"/>
  <c r="BJ439" i="1"/>
  <c r="I440" i="1"/>
  <c r="J440" i="1"/>
  <c r="K440" i="1"/>
  <c r="Z440" i="1"/>
  <c r="AB440" i="1"/>
  <c r="AC440" i="1"/>
  <c r="AD440" i="1"/>
  <c r="AE440" i="1"/>
  <c r="AF440" i="1"/>
  <c r="AG440" i="1"/>
  <c r="AH440" i="1"/>
  <c r="AJ440" i="1"/>
  <c r="AK440" i="1"/>
  <c r="AL440" i="1"/>
  <c r="AO440" i="1"/>
  <c r="AP440" i="1"/>
  <c r="AV440" i="1"/>
  <c r="AW440" i="1"/>
  <c r="AX440" i="1"/>
  <c r="BC440" i="1"/>
  <c r="BD440" i="1"/>
  <c r="BF440" i="1"/>
  <c r="BH440" i="1"/>
  <c r="BI440" i="1"/>
  <c r="BJ440" i="1"/>
  <c r="I441" i="1"/>
  <c r="J441" i="1"/>
  <c r="K441" i="1"/>
  <c r="Z441" i="1"/>
  <c r="AB441" i="1"/>
  <c r="AC441" i="1"/>
  <c r="AD441" i="1"/>
  <c r="AE441" i="1"/>
  <c r="AF441" i="1"/>
  <c r="AG441" i="1"/>
  <c r="AH441" i="1"/>
  <c r="AJ441" i="1"/>
  <c r="AK441" i="1"/>
  <c r="AL441" i="1"/>
  <c r="AO441" i="1"/>
  <c r="AP441" i="1"/>
  <c r="AV441" i="1"/>
  <c r="AW441" i="1"/>
  <c r="AX441" i="1"/>
  <c r="BC441" i="1"/>
  <c r="BD441" i="1"/>
  <c r="BF441" i="1"/>
  <c r="BH441" i="1"/>
  <c r="BI441" i="1"/>
  <c r="BJ441" i="1"/>
  <c r="I442" i="1"/>
  <c r="J442" i="1"/>
  <c r="K442" i="1"/>
  <c r="Z442" i="1"/>
  <c r="AB442" i="1"/>
  <c r="AC442" i="1"/>
  <c r="AD442" i="1"/>
  <c r="AE442" i="1"/>
  <c r="AF442" i="1"/>
  <c r="AG442" i="1"/>
  <c r="AH442" i="1"/>
  <c r="AJ442" i="1"/>
  <c r="AK442" i="1"/>
  <c r="AL442" i="1"/>
  <c r="AO442" i="1"/>
  <c r="AP442" i="1"/>
  <c r="AV442" i="1"/>
  <c r="AW442" i="1"/>
  <c r="AX442" i="1"/>
  <c r="BC442" i="1"/>
  <c r="BD442" i="1"/>
  <c r="BF442" i="1"/>
  <c r="BH442" i="1"/>
  <c r="BI442" i="1"/>
  <c r="BJ442" i="1"/>
  <c r="I443" i="1"/>
  <c r="J443" i="1"/>
  <c r="K443" i="1"/>
  <c r="Z443" i="1"/>
  <c r="AB443" i="1"/>
  <c r="AC443" i="1"/>
  <c r="AD443" i="1"/>
  <c r="AE443" i="1"/>
  <c r="AF443" i="1"/>
  <c r="AG443" i="1"/>
  <c r="AH443" i="1"/>
  <c r="AJ443" i="1"/>
  <c r="AK443" i="1"/>
  <c r="AL443" i="1"/>
  <c r="AO443" i="1"/>
  <c r="AP443" i="1"/>
  <c r="AV443" i="1"/>
  <c r="AW443" i="1"/>
  <c r="AX443" i="1"/>
  <c r="BC443" i="1"/>
  <c r="BD443" i="1"/>
  <c r="BF443" i="1"/>
  <c r="BH443" i="1"/>
  <c r="BI443" i="1"/>
  <c r="BJ443" i="1"/>
  <c r="I444" i="1"/>
  <c r="J444" i="1"/>
  <c r="K444" i="1"/>
  <c r="Z444" i="1"/>
  <c r="AB444" i="1"/>
  <c r="AC444" i="1"/>
  <c r="AD444" i="1"/>
  <c r="AE444" i="1"/>
  <c r="AF444" i="1"/>
  <c r="AG444" i="1"/>
  <c r="AH444" i="1"/>
  <c r="AJ444" i="1"/>
  <c r="AK444" i="1"/>
  <c r="AL444" i="1"/>
  <c r="AO444" i="1"/>
  <c r="AP444" i="1"/>
  <c r="AV444" i="1"/>
  <c r="AW444" i="1"/>
  <c r="AX444" i="1"/>
  <c r="BC444" i="1"/>
  <c r="BD444" i="1"/>
  <c r="BF444" i="1"/>
  <c r="BH444" i="1"/>
  <c r="BI444" i="1"/>
  <c r="BJ444" i="1"/>
  <c r="I445" i="1"/>
  <c r="J445" i="1"/>
  <c r="K445" i="1"/>
  <c r="Z445" i="1"/>
  <c r="AB445" i="1"/>
  <c r="AC445" i="1"/>
  <c r="AD445" i="1"/>
  <c r="AE445" i="1"/>
  <c r="AF445" i="1"/>
  <c r="AG445" i="1"/>
  <c r="AH445" i="1"/>
  <c r="AJ445" i="1"/>
  <c r="AK445" i="1"/>
  <c r="AL445" i="1"/>
  <c r="AO445" i="1"/>
  <c r="AP445" i="1"/>
  <c r="AV445" i="1"/>
  <c r="AW445" i="1"/>
  <c r="AX445" i="1"/>
  <c r="BC445" i="1"/>
  <c r="BD445" i="1"/>
  <c r="BF445" i="1"/>
  <c r="BH445" i="1"/>
  <c r="BI445" i="1"/>
  <c r="BJ445" i="1"/>
  <c r="I446" i="1"/>
  <c r="J446" i="1"/>
  <c r="K446" i="1"/>
  <c r="Z446" i="1"/>
  <c r="AB446" i="1"/>
  <c r="AC446" i="1"/>
  <c r="AD446" i="1"/>
  <c r="AE446" i="1"/>
  <c r="AF446" i="1"/>
  <c r="AG446" i="1"/>
  <c r="AH446" i="1"/>
  <c r="AJ446" i="1"/>
  <c r="AK446" i="1"/>
  <c r="AL446" i="1"/>
  <c r="AO446" i="1"/>
  <c r="AP446" i="1"/>
  <c r="AV446" i="1"/>
  <c r="AW446" i="1"/>
  <c r="AX446" i="1"/>
  <c r="BC446" i="1"/>
  <c r="BD446" i="1"/>
  <c r="BF446" i="1"/>
  <c r="BH446" i="1"/>
  <c r="BI446" i="1"/>
  <c r="BJ446" i="1"/>
  <c r="I447" i="1"/>
  <c r="J447" i="1"/>
  <c r="K447" i="1"/>
  <c r="Z447" i="1"/>
  <c r="AB447" i="1"/>
  <c r="AC447" i="1"/>
  <c r="AD447" i="1"/>
  <c r="AE447" i="1"/>
  <c r="AF447" i="1"/>
  <c r="AG447" i="1"/>
  <c r="AH447" i="1"/>
  <c r="AJ447" i="1"/>
  <c r="AK447" i="1"/>
  <c r="AL447" i="1"/>
  <c r="AO447" i="1"/>
  <c r="AP447" i="1"/>
  <c r="AV447" i="1"/>
  <c r="AW447" i="1"/>
  <c r="AX447" i="1"/>
  <c r="BC447" i="1"/>
  <c r="BD447" i="1"/>
  <c r="BF447" i="1"/>
  <c r="BH447" i="1"/>
  <c r="BI447" i="1"/>
  <c r="BJ447" i="1"/>
  <c r="I448" i="1"/>
  <c r="J448" i="1"/>
  <c r="K448" i="1"/>
  <c r="Z448" i="1"/>
  <c r="AB448" i="1"/>
  <c r="AC448" i="1"/>
  <c r="AD448" i="1"/>
  <c r="AE448" i="1"/>
  <c r="AF448" i="1"/>
  <c r="AG448" i="1"/>
  <c r="AH448" i="1"/>
  <c r="AJ448" i="1"/>
  <c r="AK448" i="1"/>
  <c r="AL448" i="1"/>
  <c r="AO448" i="1"/>
  <c r="AP448" i="1"/>
  <c r="AV448" i="1"/>
  <c r="AW448" i="1"/>
  <c r="AX448" i="1"/>
  <c r="BC448" i="1"/>
  <c r="BD448" i="1"/>
  <c r="BF448" i="1"/>
  <c r="BH448" i="1"/>
  <c r="BI448" i="1"/>
  <c r="BJ448" i="1"/>
  <c r="I449" i="1"/>
  <c r="J449" i="1"/>
  <c r="K449" i="1"/>
  <c r="AS449" i="1"/>
  <c r="AT449" i="1"/>
  <c r="AU449" i="1"/>
  <c r="I450" i="1"/>
  <c r="J450" i="1"/>
  <c r="K450" i="1"/>
  <c r="Z450" i="1"/>
  <c r="AB450" i="1"/>
  <c r="AC450" i="1"/>
  <c r="AD450" i="1"/>
  <c r="AE450" i="1"/>
  <c r="AF450" i="1"/>
  <c r="AG450" i="1"/>
  <c r="AH450" i="1"/>
  <c r="AJ450" i="1"/>
  <c r="AK450" i="1"/>
  <c r="AL450" i="1"/>
  <c r="AO450" i="1"/>
  <c r="AP450" i="1"/>
  <c r="AV450" i="1"/>
  <c r="AW450" i="1"/>
  <c r="AX450" i="1"/>
  <c r="BC450" i="1"/>
  <c r="BD450" i="1"/>
  <c r="BF450" i="1"/>
  <c r="BH450" i="1"/>
  <c r="BI450" i="1"/>
  <c r="BJ450" i="1"/>
  <c r="I451" i="1"/>
  <c r="J451" i="1"/>
  <c r="K451" i="1"/>
  <c r="Z451" i="1"/>
  <c r="AB451" i="1"/>
  <c r="AC451" i="1"/>
  <c r="AD451" i="1"/>
  <c r="AE451" i="1"/>
  <c r="AF451" i="1"/>
  <c r="AG451" i="1"/>
  <c r="AH451" i="1"/>
  <c r="AJ451" i="1"/>
  <c r="AK451" i="1"/>
  <c r="AL451" i="1"/>
  <c r="AO451" i="1"/>
  <c r="AP451" i="1"/>
  <c r="AV451" i="1"/>
  <c r="AW451" i="1"/>
  <c r="AX451" i="1"/>
  <c r="BC451" i="1"/>
  <c r="BD451" i="1"/>
  <c r="BF451" i="1"/>
  <c r="BH451" i="1"/>
  <c r="BI451" i="1"/>
  <c r="BJ451" i="1"/>
  <c r="I452" i="1"/>
  <c r="J452" i="1"/>
  <c r="K452" i="1"/>
  <c r="Z452" i="1"/>
  <c r="AB452" i="1"/>
  <c r="AC452" i="1"/>
  <c r="AD452" i="1"/>
  <c r="AE452" i="1"/>
  <c r="AF452" i="1"/>
  <c r="AG452" i="1"/>
  <c r="AH452" i="1"/>
  <c r="AJ452" i="1"/>
  <c r="AK452" i="1"/>
  <c r="AL452" i="1"/>
  <c r="AO452" i="1"/>
  <c r="AP452" i="1"/>
  <c r="AV452" i="1"/>
  <c r="AW452" i="1"/>
  <c r="AX452" i="1"/>
  <c r="BC452" i="1"/>
  <c r="BD452" i="1"/>
  <c r="BF452" i="1"/>
  <c r="BH452" i="1"/>
  <c r="BI452" i="1"/>
  <c r="BJ452" i="1"/>
  <c r="I453" i="1"/>
  <c r="J453" i="1"/>
  <c r="K453" i="1"/>
  <c r="Z453" i="1"/>
  <c r="AB453" i="1"/>
  <c r="AC453" i="1"/>
  <c r="AD453" i="1"/>
  <c r="AE453" i="1"/>
  <c r="AF453" i="1"/>
  <c r="AG453" i="1"/>
  <c r="AH453" i="1"/>
  <c r="AJ453" i="1"/>
  <c r="AK453" i="1"/>
  <c r="AL453" i="1"/>
  <c r="AO453" i="1"/>
  <c r="AP453" i="1"/>
  <c r="AV453" i="1"/>
  <c r="AW453" i="1"/>
  <c r="AX453" i="1"/>
  <c r="BC453" i="1"/>
  <c r="BD453" i="1"/>
  <c r="BF453" i="1"/>
  <c r="BH453" i="1"/>
  <c r="BI453" i="1"/>
  <c r="BJ453" i="1"/>
  <c r="I454" i="1"/>
  <c r="J454" i="1"/>
  <c r="K454" i="1"/>
  <c r="Z454" i="1"/>
  <c r="AB454" i="1"/>
  <c r="AC454" i="1"/>
  <c r="AD454" i="1"/>
  <c r="AE454" i="1"/>
  <c r="AF454" i="1"/>
  <c r="AG454" i="1"/>
  <c r="AH454" i="1"/>
  <c r="AJ454" i="1"/>
  <c r="AK454" i="1"/>
  <c r="AL454" i="1"/>
  <c r="AO454" i="1"/>
  <c r="AP454" i="1"/>
  <c r="AV454" i="1"/>
  <c r="AW454" i="1"/>
  <c r="AX454" i="1"/>
  <c r="BC454" i="1"/>
  <c r="BD454" i="1"/>
  <c r="BF454" i="1"/>
  <c r="BH454" i="1"/>
  <c r="BI454" i="1"/>
  <c r="BJ454" i="1"/>
  <c r="I455" i="1"/>
  <c r="J455" i="1"/>
  <c r="K455" i="1"/>
  <c r="Z455" i="1"/>
  <c r="AB455" i="1"/>
  <c r="AC455" i="1"/>
  <c r="AD455" i="1"/>
  <c r="AE455" i="1"/>
  <c r="AF455" i="1"/>
  <c r="AG455" i="1"/>
  <c r="AH455" i="1"/>
  <c r="AJ455" i="1"/>
  <c r="AK455" i="1"/>
  <c r="AL455" i="1"/>
  <c r="AO455" i="1"/>
  <c r="AP455" i="1"/>
  <c r="AV455" i="1"/>
  <c r="AW455" i="1"/>
  <c r="AX455" i="1"/>
  <c r="BC455" i="1"/>
  <c r="BD455" i="1"/>
  <c r="BF455" i="1"/>
  <c r="BH455" i="1"/>
  <c r="BI455" i="1"/>
  <c r="BJ455" i="1"/>
  <c r="I456" i="1"/>
  <c r="J456" i="1"/>
  <c r="K456" i="1"/>
  <c r="Z456" i="1"/>
  <c r="AB456" i="1"/>
  <c r="AC456" i="1"/>
  <c r="AD456" i="1"/>
  <c r="AE456" i="1"/>
  <c r="AF456" i="1"/>
  <c r="AG456" i="1"/>
  <c r="AH456" i="1"/>
  <c r="AJ456" i="1"/>
  <c r="AK456" i="1"/>
  <c r="AL456" i="1"/>
  <c r="AO456" i="1"/>
  <c r="AP456" i="1"/>
  <c r="AV456" i="1"/>
  <c r="AW456" i="1"/>
  <c r="AX456" i="1"/>
  <c r="BC456" i="1"/>
  <c r="BD456" i="1"/>
  <c r="BF456" i="1"/>
  <c r="BH456" i="1"/>
  <c r="BI456" i="1"/>
  <c r="BJ456" i="1"/>
  <c r="I457" i="1"/>
  <c r="J457" i="1"/>
  <c r="K457" i="1"/>
  <c r="Z457" i="1"/>
  <c r="AB457" i="1"/>
  <c r="AC457" i="1"/>
  <c r="AD457" i="1"/>
  <c r="AE457" i="1"/>
  <c r="AF457" i="1"/>
  <c r="AG457" i="1"/>
  <c r="AH457" i="1"/>
  <c r="AJ457" i="1"/>
  <c r="AK457" i="1"/>
  <c r="AL457" i="1"/>
  <c r="AO457" i="1"/>
  <c r="AP457" i="1"/>
  <c r="AV457" i="1"/>
  <c r="AW457" i="1"/>
  <c r="AX457" i="1"/>
  <c r="BC457" i="1"/>
  <c r="BD457" i="1"/>
  <c r="BF457" i="1"/>
  <c r="BH457" i="1"/>
  <c r="BI457" i="1"/>
  <c r="BJ457" i="1"/>
  <c r="I458" i="1"/>
  <c r="J458" i="1"/>
  <c r="K458" i="1"/>
  <c r="Z458" i="1"/>
  <c r="AB458" i="1"/>
  <c r="AC458" i="1"/>
  <c r="AD458" i="1"/>
  <c r="AE458" i="1"/>
  <c r="AF458" i="1"/>
  <c r="AG458" i="1"/>
  <c r="AH458" i="1"/>
  <c r="AJ458" i="1"/>
  <c r="AK458" i="1"/>
  <c r="AL458" i="1"/>
  <c r="AO458" i="1"/>
  <c r="AP458" i="1"/>
  <c r="AV458" i="1"/>
  <c r="AW458" i="1"/>
  <c r="AX458" i="1"/>
  <c r="BC458" i="1"/>
  <c r="BD458" i="1"/>
  <c r="BF458" i="1"/>
  <c r="BH458" i="1"/>
  <c r="BI458" i="1"/>
  <c r="BJ458" i="1"/>
  <c r="I459" i="1"/>
  <c r="J459" i="1"/>
  <c r="K459" i="1"/>
  <c r="AS459" i="1"/>
  <c r="AT459" i="1"/>
  <c r="AU459" i="1"/>
  <c r="I460" i="1"/>
  <c r="J460" i="1"/>
  <c r="K460" i="1"/>
  <c r="Z460" i="1"/>
  <c r="AB460" i="1"/>
  <c r="AC460" i="1"/>
  <c r="AD460" i="1"/>
  <c r="AE460" i="1"/>
  <c r="AF460" i="1"/>
  <c r="AG460" i="1"/>
  <c r="AH460" i="1"/>
  <c r="AJ460" i="1"/>
  <c r="AK460" i="1"/>
  <c r="AL460" i="1"/>
  <c r="AO460" i="1"/>
  <c r="AP460" i="1"/>
  <c r="AV460" i="1"/>
  <c r="AW460" i="1"/>
  <c r="AX460" i="1"/>
  <c r="BC460" i="1"/>
  <c r="BD460" i="1"/>
  <c r="BF460" i="1"/>
  <c r="BH460" i="1"/>
  <c r="BI460" i="1"/>
  <c r="BJ460" i="1"/>
  <c r="I461" i="1"/>
  <c r="J461" i="1"/>
  <c r="K461" i="1"/>
  <c r="Z461" i="1"/>
  <c r="AB461" i="1"/>
  <c r="AC461" i="1"/>
  <c r="AD461" i="1"/>
  <c r="AE461" i="1"/>
  <c r="AF461" i="1"/>
  <c r="AG461" i="1"/>
  <c r="AH461" i="1"/>
  <c r="AJ461" i="1"/>
  <c r="AK461" i="1"/>
  <c r="AL461" i="1"/>
  <c r="AO461" i="1"/>
  <c r="AP461" i="1"/>
  <c r="AV461" i="1"/>
  <c r="AW461" i="1"/>
  <c r="AX461" i="1"/>
  <c r="BC461" i="1"/>
  <c r="BD461" i="1"/>
  <c r="BF461" i="1"/>
  <c r="BH461" i="1"/>
  <c r="BI461" i="1"/>
  <c r="BJ461" i="1"/>
  <c r="I462" i="1"/>
  <c r="J462" i="1"/>
  <c r="K462" i="1"/>
  <c r="Z462" i="1"/>
  <c r="AB462" i="1"/>
  <c r="AC462" i="1"/>
  <c r="AD462" i="1"/>
  <c r="AE462" i="1"/>
  <c r="AF462" i="1"/>
  <c r="AG462" i="1"/>
  <c r="AH462" i="1"/>
  <c r="AJ462" i="1"/>
  <c r="AK462" i="1"/>
  <c r="AL462" i="1"/>
  <c r="AO462" i="1"/>
  <c r="AP462" i="1"/>
  <c r="AV462" i="1"/>
  <c r="AW462" i="1"/>
  <c r="AX462" i="1"/>
  <c r="BC462" i="1"/>
  <c r="BD462" i="1"/>
  <c r="BF462" i="1"/>
  <c r="BH462" i="1"/>
  <c r="BI462" i="1"/>
  <c r="BJ462" i="1"/>
  <c r="I463" i="1"/>
  <c r="J463" i="1"/>
  <c r="K463" i="1"/>
  <c r="Z463" i="1"/>
  <c r="AB463" i="1"/>
  <c r="AC463" i="1"/>
  <c r="AD463" i="1"/>
  <c r="AE463" i="1"/>
  <c r="AF463" i="1"/>
  <c r="AG463" i="1"/>
  <c r="AH463" i="1"/>
  <c r="AJ463" i="1"/>
  <c r="AK463" i="1"/>
  <c r="AL463" i="1"/>
  <c r="AO463" i="1"/>
  <c r="AP463" i="1"/>
  <c r="AV463" i="1"/>
  <c r="AW463" i="1"/>
  <c r="AX463" i="1"/>
  <c r="BC463" i="1"/>
  <c r="BD463" i="1"/>
  <c r="BF463" i="1"/>
  <c r="BH463" i="1"/>
  <c r="BI463" i="1"/>
  <c r="BJ463" i="1"/>
  <c r="I464" i="1"/>
  <c r="J464" i="1"/>
  <c r="K464" i="1"/>
  <c r="Z464" i="1"/>
  <c r="AB464" i="1"/>
  <c r="AC464" i="1"/>
  <c r="AD464" i="1"/>
  <c r="AE464" i="1"/>
  <c r="AF464" i="1"/>
  <c r="AG464" i="1"/>
  <c r="AH464" i="1"/>
  <c r="AJ464" i="1"/>
  <c r="AK464" i="1"/>
  <c r="AL464" i="1"/>
  <c r="AO464" i="1"/>
  <c r="AP464" i="1"/>
  <c r="AV464" i="1"/>
  <c r="AW464" i="1"/>
  <c r="AX464" i="1"/>
  <c r="BC464" i="1"/>
  <c r="BD464" i="1"/>
  <c r="BF464" i="1"/>
  <c r="BH464" i="1"/>
  <c r="BI464" i="1"/>
  <c r="BJ464" i="1"/>
  <c r="I465" i="1"/>
  <c r="J465" i="1"/>
  <c r="K465" i="1"/>
  <c r="Z465" i="1"/>
  <c r="AB465" i="1"/>
  <c r="AC465" i="1"/>
  <c r="AD465" i="1"/>
  <c r="AE465" i="1"/>
  <c r="AF465" i="1"/>
  <c r="AG465" i="1"/>
  <c r="AH465" i="1"/>
  <c r="AJ465" i="1"/>
  <c r="AK465" i="1"/>
  <c r="AL465" i="1"/>
  <c r="AO465" i="1"/>
  <c r="AP465" i="1"/>
  <c r="AV465" i="1"/>
  <c r="AW465" i="1"/>
  <c r="AX465" i="1"/>
  <c r="BC465" i="1"/>
  <c r="BD465" i="1"/>
  <c r="BF465" i="1"/>
  <c r="BH465" i="1"/>
  <c r="BI465" i="1"/>
  <c r="BJ465" i="1"/>
  <c r="I466" i="1"/>
  <c r="J466" i="1"/>
  <c r="K466" i="1"/>
  <c r="Z466" i="1"/>
  <c r="AB466" i="1"/>
  <c r="AC466" i="1"/>
  <c r="AD466" i="1"/>
  <c r="AE466" i="1"/>
  <c r="AF466" i="1"/>
  <c r="AG466" i="1"/>
  <c r="AH466" i="1"/>
  <c r="AJ466" i="1"/>
  <c r="AK466" i="1"/>
  <c r="AL466" i="1"/>
  <c r="AO466" i="1"/>
  <c r="AP466" i="1"/>
  <c r="AV466" i="1"/>
  <c r="AW466" i="1"/>
  <c r="AX466" i="1"/>
  <c r="BC466" i="1"/>
  <c r="BD466" i="1"/>
  <c r="BF466" i="1"/>
  <c r="BH466" i="1"/>
  <c r="BI466" i="1"/>
  <c r="BJ466" i="1"/>
  <c r="I467" i="1"/>
  <c r="J467" i="1"/>
  <c r="K467" i="1"/>
  <c r="Z467" i="1"/>
  <c r="AB467" i="1"/>
  <c r="AC467" i="1"/>
  <c r="AD467" i="1"/>
  <c r="AE467" i="1"/>
  <c r="AF467" i="1"/>
  <c r="AG467" i="1"/>
  <c r="AH467" i="1"/>
  <c r="AJ467" i="1"/>
  <c r="AK467" i="1"/>
  <c r="AL467" i="1"/>
  <c r="AO467" i="1"/>
  <c r="AP467" i="1"/>
  <c r="AV467" i="1"/>
  <c r="AW467" i="1"/>
  <c r="AX467" i="1"/>
  <c r="BC467" i="1"/>
  <c r="BD467" i="1"/>
  <c r="BF467" i="1"/>
  <c r="BH467" i="1"/>
  <c r="BI467" i="1"/>
  <c r="BJ467" i="1"/>
  <c r="I468" i="1"/>
  <c r="J468" i="1"/>
  <c r="K468" i="1"/>
  <c r="Z468" i="1"/>
  <c r="AB468" i="1"/>
  <c r="AC468" i="1"/>
  <c r="AD468" i="1"/>
  <c r="AE468" i="1"/>
  <c r="AF468" i="1"/>
  <c r="AG468" i="1"/>
  <c r="AH468" i="1"/>
  <c r="AJ468" i="1"/>
  <c r="AK468" i="1"/>
  <c r="AL468" i="1"/>
  <c r="AO468" i="1"/>
  <c r="AP468" i="1"/>
  <c r="AV468" i="1"/>
  <c r="AW468" i="1"/>
  <c r="AX468" i="1"/>
  <c r="BC468" i="1"/>
  <c r="BD468" i="1"/>
  <c r="BF468" i="1"/>
  <c r="BH468" i="1"/>
  <c r="BI468" i="1"/>
  <c r="BJ468" i="1"/>
  <c r="I469" i="1"/>
  <c r="J469" i="1"/>
  <c r="K469" i="1"/>
  <c r="Z469" i="1"/>
  <c r="AB469" i="1"/>
  <c r="AC469" i="1"/>
  <c r="AD469" i="1"/>
  <c r="AE469" i="1"/>
  <c r="AF469" i="1"/>
  <c r="AG469" i="1"/>
  <c r="AH469" i="1"/>
  <c r="AJ469" i="1"/>
  <c r="AK469" i="1"/>
  <c r="AL469" i="1"/>
  <c r="AO469" i="1"/>
  <c r="AP469" i="1"/>
  <c r="AV469" i="1"/>
  <c r="AW469" i="1"/>
  <c r="AX469" i="1"/>
  <c r="BC469" i="1"/>
  <c r="BD469" i="1"/>
  <c r="BF469" i="1"/>
  <c r="BH469" i="1"/>
  <c r="BI469" i="1"/>
  <c r="BJ469" i="1"/>
  <c r="I470" i="1"/>
  <c r="J470" i="1"/>
  <c r="K470" i="1"/>
  <c r="AS470" i="1"/>
  <c r="AT470" i="1"/>
  <c r="AU470" i="1"/>
  <c r="I471" i="1"/>
  <c r="J471" i="1"/>
  <c r="K471" i="1"/>
  <c r="Z471" i="1"/>
  <c r="AB471" i="1"/>
  <c r="AC471" i="1"/>
  <c r="AD471" i="1"/>
  <c r="AE471" i="1"/>
  <c r="AF471" i="1"/>
  <c r="AG471" i="1"/>
  <c r="AH471" i="1"/>
  <c r="AJ471" i="1"/>
  <c r="AK471" i="1"/>
  <c r="AL471" i="1"/>
  <c r="AO471" i="1"/>
  <c r="AP471" i="1"/>
  <c r="AV471" i="1"/>
  <c r="AW471" i="1"/>
  <c r="AX471" i="1"/>
  <c r="BC471" i="1"/>
  <c r="BD471" i="1"/>
  <c r="BF471" i="1"/>
  <c r="BH471" i="1"/>
  <c r="BI471" i="1"/>
  <c r="BJ471" i="1"/>
  <c r="I472" i="1"/>
  <c r="J472" i="1"/>
  <c r="K472" i="1"/>
  <c r="Z472" i="1"/>
  <c r="AB472" i="1"/>
  <c r="AC472" i="1"/>
  <c r="AD472" i="1"/>
  <c r="AE472" i="1"/>
  <c r="AF472" i="1"/>
  <c r="AG472" i="1"/>
  <c r="AH472" i="1"/>
  <c r="AJ472" i="1"/>
  <c r="AK472" i="1"/>
  <c r="AL472" i="1"/>
  <c r="AO472" i="1"/>
  <c r="AP472" i="1"/>
  <c r="AV472" i="1"/>
  <c r="AW472" i="1"/>
  <c r="AX472" i="1"/>
  <c r="BC472" i="1"/>
  <c r="BD472" i="1"/>
  <c r="BF472" i="1"/>
  <c r="BH472" i="1"/>
  <c r="BI472" i="1"/>
  <c r="BJ472" i="1"/>
  <c r="I473" i="1"/>
  <c r="J473" i="1"/>
  <c r="K473" i="1"/>
  <c r="Z473" i="1"/>
  <c r="AB473" i="1"/>
  <c r="AC473" i="1"/>
  <c r="AD473" i="1"/>
  <c r="AE473" i="1"/>
  <c r="AF473" i="1"/>
  <c r="AG473" i="1"/>
  <c r="AH473" i="1"/>
  <c r="AJ473" i="1"/>
  <c r="AK473" i="1"/>
  <c r="AL473" i="1"/>
  <c r="AO473" i="1"/>
  <c r="AP473" i="1"/>
  <c r="AV473" i="1"/>
  <c r="AW473" i="1"/>
  <c r="AX473" i="1"/>
  <c r="BC473" i="1"/>
  <c r="BD473" i="1"/>
  <c r="BF473" i="1"/>
  <c r="BH473" i="1"/>
  <c r="BI473" i="1"/>
  <c r="BJ473" i="1"/>
  <c r="I474" i="1"/>
  <c r="J474" i="1"/>
  <c r="K474" i="1"/>
  <c r="Z474" i="1"/>
  <c r="AB474" i="1"/>
  <c r="AC474" i="1"/>
  <c r="AD474" i="1"/>
  <c r="AE474" i="1"/>
  <c r="AF474" i="1"/>
  <c r="AG474" i="1"/>
  <c r="AH474" i="1"/>
  <c r="AJ474" i="1"/>
  <c r="AK474" i="1"/>
  <c r="AL474" i="1"/>
  <c r="AO474" i="1"/>
  <c r="AP474" i="1"/>
  <c r="AV474" i="1"/>
  <c r="AW474" i="1"/>
  <c r="AX474" i="1"/>
  <c r="BC474" i="1"/>
  <c r="BD474" i="1"/>
  <c r="BF474" i="1"/>
  <c r="BH474" i="1"/>
  <c r="BI474" i="1"/>
  <c r="BJ474" i="1"/>
  <c r="I475" i="1"/>
  <c r="J475" i="1"/>
  <c r="K475" i="1"/>
  <c r="Z475" i="1"/>
  <c r="AB475" i="1"/>
  <c r="AC475" i="1"/>
  <c r="AD475" i="1"/>
  <c r="AE475" i="1"/>
  <c r="AF475" i="1"/>
  <c r="AG475" i="1"/>
  <c r="AH475" i="1"/>
  <c r="AJ475" i="1"/>
  <c r="AK475" i="1"/>
  <c r="AL475" i="1"/>
  <c r="AO475" i="1"/>
  <c r="AP475" i="1"/>
  <c r="AV475" i="1"/>
  <c r="AW475" i="1"/>
  <c r="AX475" i="1"/>
  <c r="BC475" i="1"/>
  <c r="BD475" i="1"/>
  <c r="BF475" i="1"/>
  <c r="BH475" i="1"/>
  <c r="BI475" i="1"/>
  <c r="BJ475" i="1"/>
  <c r="I476" i="1"/>
  <c r="J476" i="1"/>
  <c r="K476" i="1"/>
  <c r="Z476" i="1"/>
  <c r="AB476" i="1"/>
  <c r="AC476" i="1"/>
  <c r="AD476" i="1"/>
  <c r="AE476" i="1"/>
  <c r="AF476" i="1"/>
  <c r="AG476" i="1"/>
  <c r="AH476" i="1"/>
  <c r="AJ476" i="1"/>
  <c r="AK476" i="1"/>
  <c r="AL476" i="1"/>
  <c r="AO476" i="1"/>
  <c r="AP476" i="1"/>
  <c r="AV476" i="1"/>
  <c r="AW476" i="1"/>
  <c r="AX476" i="1"/>
  <c r="BC476" i="1"/>
  <c r="BD476" i="1"/>
  <c r="BF476" i="1"/>
  <c r="BH476" i="1"/>
  <c r="BI476" i="1"/>
  <c r="BJ476" i="1"/>
  <c r="I477" i="1"/>
  <c r="J477" i="1"/>
  <c r="K477" i="1"/>
  <c r="Z477" i="1"/>
  <c r="AB477" i="1"/>
  <c r="AC477" i="1"/>
  <c r="AD477" i="1"/>
  <c r="AE477" i="1"/>
  <c r="AF477" i="1"/>
  <c r="AG477" i="1"/>
  <c r="AH477" i="1"/>
  <c r="AJ477" i="1"/>
  <c r="AK477" i="1"/>
  <c r="AL477" i="1"/>
  <c r="AO477" i="1"/>
  <c r="AP477" i="1"/>
  <c r="AV477" i="1"/>
  <c r="AW477" i="1"/>
  <c r="AX477" i="1"/>
  <c r="BC477" i="1"/>
  <c r="BD477" i="1"/>
  <c r="BF477" i="1"/>
  <c r="BH477" i="1"/>
  <c r="BI477" i="1"/>
  <c r="BJ477" i="1"/>
  <c r="I478" i="1"/>
  <c r="J478" i="1"/>
  <c r="K478" i="1"/>
  <c r="Z478" i="1"/>
  <c r="AB478" i="1"/>
  <c r="AC478" i="1"/>
  <c r="AD478" i="1"/>
  <c r="AE478" i="1"/>
  <c r="AF478" i="1"/>
  <c r="AG478" i="1"/>
  <c r="AH478" i="1"/>
  <c r="AJ478" i="1"/>
  <c r="AK478" i="1"/>
  <c r="AL478" i="1"/>
  <c r="AO478" i="1"/>
  <c r="AP478" i="1"/>
  <c r="AV478" i="1"/>
  <c r="AW478" i="1"/>
  <c r="AX478" i="1"/>
  <c r="BC478" i="1"/>
  <c r="BD478" i="1"/>
  <c r="BF478" i="1"/>
  <c r="BH478" i="1"/>
  <c r="BI478" i="1"/>
  <c r="BJ478" i="1"/>
  <c r="I479" i="1"/>
  <c r="J479" i="1"/>
  <c r="K479" i="1"/>
  <c r="Z479" i="1"/>
  <c r="AB479" i="1"/>
  <c r="AC479" i="1"/>
  <c r="AD479" i="1"/>
  <c r="AE479" i="1"/>
  <c r="AF479" i="1"/>
  <c r="AG479" i="1"/>
  <c r="AH479" i="1"/>
  <c r="AJ479" i="1"/>
  <c r="AK479" i="1"/>
  <c r="AL479" i="1"/>
  <c r="AO479" i="1"/>
  <c r="AP479" i="1"/>
  <c r="AV479" i="1"/>
  <c r="AW479" i="1"/>
  <c r="AX479" i="1"/>
  <c r="BC479" i="1"/>
  <c r="BD479" i="1"/>
  <c r="BF479" i="1"/>
  <c r="BH479" i="1"/>
  <c r="BI479" i="1"/>
  <c r="BJ479" i="1"/>
  <c r="I480" i="1"/>
  <c r="J480" i="1"/>
  <c r="K480" i="1"/>
  <c r="AS480" i="1"/>
  <c r="AT480" i="1"/>
  <c r="AU480" i="1"/>
  <c r="I481" i="1"/>
  <c r="J481" i="1"/>
  <c r="K481" i="1"/>
  <c r="Z481" i="1"/>
  <c r="AB481" i="1"/>
  <c r="AC481" i="1"/>
  <c r="AD481" i="1"/>
  <c r="AE481" i="1"/>
  <c r="AF481" i="1"/>
  <c r="AG481" i="1"/>
  <c r="AH481" i="1"/>
  <c r="AJ481" i="1"/>
  <c r="AK481" i="1"/>
  <c r="AL481" i="1"/>
  <c r="AO481" i="1"/>
  <c r="AP481" i="1"/>
  <c r="AV481" i="1"/>
  <c r="AW481" i="1"/>
  <c r="AX481" i="1"/>
  <c r="BC481" i="1"/>
  <c r="BD481" i="1"/>
  <c r="BF481" i="1"/>
  <c r="BH481" i="1"/>
  <c r="BI481" i="1"/>
  <c r="BJ481" i="1"/>
  <c r="I482" i="1"/>
  <c r="J482" i="1"/>
  <c r="K482" i="1"/>
  <c r="AS482" i="1"/>
  <c r="AT482" i="1"/>
  <c r="AU482" i="1"/>
  <c r="I483" i="1"/>
  <c r="J483" i="1"/>
  <c r="K483" i="1"/>
  <c r="Z483" i="1"/>
  <c r="AB483" i="1"/>
  <c r="AC483" i="1"/>
  <c r="AD483" i="1"/>
  <c r="AE483" i="1"/>
  <c r="AF483" i="1"/>
  <c r="AG483" i="1"/>
  <c r="AH483" i="1"/>
  <c r="AJ483" i="1"/>
  <c r="AK483" i="1"/>
  <c r="AL483" i="1"/>
  <c r="AO483" i="1"/>
  <c r="AP483" i="1"/>
  <c r="AV483" i="1"/>
  <c r="AW483" i="1"/>
  <c r="AX483" i="1"/>
  <c r="BC483" i="1"/>
  <c r="BD483" i="1"/>
  <c r="BF483" i="1"/>
  <c r="BH483" i="1"/>
  <c r="BI483" i="1"/>
  <c r="BJ483" i="1"/>
  <c r="I484" i="1"/>
  <c r="J484" i="1"/>
  <c r="K484" i="1"/>
  <c r="Z484" i="1"/>
  <c r="AB484" i="1"/>
  <c r="AC484" i="1"/>
  <c r="AD484" i="1"/>
  <c r="AE484" i="1"/>
  <c r="AF484" i="1"/>
  <c r="AG484" i="1"/>
  <c r="AH484" i="1"/>
  <c r="AJ484" i="1"/>
  <c r="AK484" i="1"/>
  <c r="AL484" i="1"/>
  <c r="AO484" i="1"/>
  <c r="AP484" i="1"/>
  <c r="AV484" i="1"/>
  <c r="AW484" i="1"/>
  <c r="AX484" i="1"/>
  <c r="BC484" i="1"/>
  <c r="BD484" i="1"/>
  <c r="BF484" i="1"/>
  <c r="BH484" i="1"/>
  <c r="BI484" i="1"/>
  <c r="BJ484" i="1"/>
  <c r="I485" i="1"/>
  <c r="J485" i="1"/>
  <c r="K485" i="1"/>
  <c r="Z485" i="1"/>
  <c r="AB485" i="1"/>
  <c r="AC485" i="1"/>
  <c r="AD485" i="1"/>
  <c r="AE485" i="1"/>
  <c r="AF485" i="1"/>
  <c r="AG485" i="1"/>
  <c r="AH485" i="1"/>
  <c r="AJ485" i="1"/>
  <c r="AK485" i="1"/>
  <c r="AL485" i="1"/>
  <c r="AO485" i="1"/>
  <c r="AP485" i="1"/>
  <c r="AV485" i="1"/>
  <c r="AW485" i="1"/>
  <c r="AX485" i="1"/>
  <c r="BC485" i="1"/>
  <c r="BD485" i="1"/>
  <c r="BF485" i="1"/>
  <c r="BH485" i="1"/>
  <c r="BI485" i="1"/>
  <c r="BJ485" i="1"/>
  <c r="I486" i="1"/>
  <c r="J486" i="1"/>
  <c r="K486" i="1"/>
  <c r="Z486" i="1"/>
  <c r="AB486" i="1"/>
  <c r="AC486" i="1"/>
  <c r="AD486" i="1"/>
  <c r="AE486" i="1"/>
  <c r="AF486" i="1"/>
  <c r="AG486" i="1"/>
  <c r="AH486" i="1"/>
  <c r="AJ486" i="1"/>
  <c r="AK486" i="1"/>
  <c r="AL486" i="1"/>
  <c r="AO486" i="1"/>
  <c r="AP486" i="1"/>
  <c r="AV486" i="1"/>
  <c r="AW486" i="1"/>
  <c r="AX486" i="1"/>
  <c r="BC486" i="1"/>
  <c r="BD486" i="1"/>
  <c r="BF486" i="1"/>
  <c r="BH486" i="1"/>
  <c r="BI486" i="1"/>
  <c r="BJ486" i="1"/>
  <c r="I488" i="1"/>
  <c r="J488" i="1"/>
  <c r="K488" i="1"/>
  <c r="Z488" i="1"/>
  <c r="AB488" i="1"/>
  <c r="AC488" i="1"/>
  <c r="AD488" i="1"/>
  <c r="AE488" i="1"/>
  <c r="AF488" i="1"/>
  <c r="AG488" i="1"/>
  <c r="AH488" i="1"/>
  <c r="AJ488" i="1"/>
  <c r="AK488" i="1"/>
  <c r="AL488" i="1"/>
  <c r="AO488" i="1"/>
  <c r="AP488" i="1"/>
  <c r="AV488" i="1"/>
  <c r="AW488" i="1"/>
  <c r="AX488" i="1"/>
  <c r="BC488" i="1"/>
  <c r="BD488" i="1"/>
  <c r="BF488" i="1"/>
  <c r="BH488" i="1"/>
  <c r="BI488" i="1"/>
  <c r="BJ488" i="1"/>
  <c r="I489" i="1"/>
  <c r="J489" i="1"/>
  <c r="K489" i="1"/>
  <c r="Z489" i="1"/>
  <c r="AB489" i="1"/>
  <c r="AC489" i="1"/>
  <c r="AD489" i="1"/>
  <c r="AE489" i="1"/>
  <c r="AF489" i="1"/>
  <c r="AG489" i="1"/>
  <c r="AH489" i="1"/>
  <c r="AJ489" i="1"/>
  <c r="AK489" i="1"/>
  <c r="AL489" i="1"/>
  <c r="AO489" i="1"/>
  <c r="AP489" i="1"/>
  <c r="AV489" i="1"/>
  <c r="AW489" i="1"/>
  <c r="AX489" i="1"/>
  <c r="BC489" i="1"/>
  <c r="BD489" i="1"/>
  <c r="BF489" i="1"/>
  <c r="BH489" i="1"/>
  <c r="BI489" i="1"/>
  <c r="BJ489" i="1"/>
  <c r="I490" i="1"/>
  <c r="J490" i="1"/>
  <c r="K490" i="1"/>
  <c r="Z490" i="1"/>
  <c r="AB490" i="1"/>
  <c r="AC490" i="1"/>
  <c r="AD490" i="1"/>
  <c r="AE490" i="1"/>
  <c r="AF490" i="1"/>
  <c r="AG490" i="1"/>
  <c r="AH490" i="1"/>
  <c r="AJ490" i="1"/>
  <c r="AK490" i="1"/>
  <c r="AL490" i="1"/>
  <c r="AO490" i="1"/>
  <c r="AP490" i="1"/>
  <c r="AV490" i="1"/>
  <c r="AW490" i="1"/>
  <c r="AX490" i="1"/>
  <c r="BC490" i="1"/>
  <c r="BD490" i="1"/>
  <c r="BF490" i="1"/>
  <c r="BH490" i="1"/>
  <c r="BI490" i="1"/>
  <c r="BJ490" i="1"/>
  <c r="I491" i="1"/>
  <c r="J491" i="1"/>
  <c r="K491" i="1"/>
  <c r="Z491" i="1"/>
  <c r="AB491" i="1"/>
  <c r="AC491" i="1"/>
  <c r="AD491" i="1"/>
  <c r="AE491" i="1"/>
  <c r="AF491" i="1"/>
  <c r="AG491" i="1"/>
  <c r="AH491" i="1"/>
  <c r="AJ491" i="1"/>
  <c r="AK491" i="1"/>
  <c r="AL491" i="1"/>
  <c r="AO491" i="1"/>
  <c r="AP491" i="1"/>
  <c r="AV491" i="1"/>
  <c r="AW491" i="1"/>
  <c r="AX491" i="1"/>
  <c r="BC491" i="1"/>
  <c r="BD491" i="1"/>
  <c r="BF491" i="1"/>
  <c r="BH491" i="1"/>
  <c r="BI491" i="1"/>
  <c r="BJ491" i="1"/>
  <c r="I492" i="1"/>
  <c r="J492" i="1"/>
  <c r="K492" i="1"/>
  <c r="Z492" i="1"/>
  <c r="AB492" i="1"/>
  <c r="AC492" i="1"/>
  <c r="AD492" i="1"/>
  <c r="AE492" i="1"/>
  <c r="AF492" i="1"/>
  <c r="AG492" i="1"/>
  <c r="AH492" i="1"/>
  <c r="AJ492" i="1"/>
  <c r="AK492" i="1"/>
  <c r="AL492" i="1"/>
  <c r="AO492" i="1"/>
  <c r="AP492" i="1"/>
  <c r="AV492" i="1"/>
  <c r="AW492" i="1"/>
  <c r="AX492" i="1"/>
  <c r="BC492" i="1"/>
  <c r="BD492" i="1"/>
  <c r="BF492" i="1"/>
  <c r="BH492" i="1"/>
  <c r="BI492" i="1"/>
  <c r="BJ492" i="1"/>
  <c r="I493" i="1"/>
  <c r="J493" i="1"/>
  <c r="K493" i="1"/>
  <c r="Z493" i="1"/>
  <c r="AB493" i="1"/>
  <c r="AC493" i="1"/>
  <c r="AD493" i="1"/>
  <c r="AE493" i="1"/>
  <c r="AF493" i="1"/>
  <c r="AG493" i="1"/>
  <c r="AH493" i="1"/>
  <c r="AJ493" i="1"/>
  <c r="AK493" i="1"/>
  <c r="AL493" i="1"/>
  <c r="AO493" i="1"/>
  <c r="AP493" i="1"/>
  <c r="AV493" i="1"/>
  <c r="AW493" i="1"/>
  <c r="AX493" i="1"/>
  <c r="BC493" i="1"/>
  <c r="BD493" i="1"/>
  <c r="BF493" i="1"/>
  <c r="BH493" i="1"/>
  <c r="BI493" i="1"/>
  <c r="BJ493" i="1"/>
  <c r="I494" i="1"/>
  <c r="J494" i="1"/>
  <c r="K494" i="1"/>
  <c r="Z494" i="1"/>
  <c r="AB494" i="1"/>
  <c r="AC494" i="1"/>
  <c r="AD494" i="1"/>
  <c r="AE494" i="1"/>
  <c r="AF494" i="1"/>
  <c r="AG494" i="1"/>
  <c r="AH494" i="1"/>
  <c r="AJ494" i="1"/>
  <c r="AK494" i="1"/>
  <c r="AL494" i="1"/>
  <c r="AO494" i="1"/>
  <c r="AP494" i="1"/>
  <c r="AV494" i="1"/>
  <c r="AW494" i="1"/>
  <c r="AX494" i="1"/>
  <c r="BC494" i="1"/>
  <c r="BD494" i="1"/>
  <c r="BF494" i="1"/>
  <c r="BH494" i="1"/>
  <c r="BI494" i="1"/>
  <c r="BJ494" i="1"/>
  <c r="I495" i="1"/>
  <c r="J495" i="1"/>
  <c r="K495" i="1"/>
  <c r="Z495" i="1"/>
  <c r="AB495" i="1"/>
  <c r="AC495" i="1"/>
  <c r="AD495" i="1"/>
  <c r="AE495" i="1"/>
  <c r="AF495" i="1"/>
  <c r="AG495" i="1"/>
  <c r="AH495" i="1"/>
  <c r="AJ495" i="1"/>
  <c r="AK495" i="1"/>
  <c r="AL495" i="1"/>
  <c r="AO495" i="1"/>
  <c r="AP495" i="1"/>
  <c r="AV495" i="1"/>
  <c r="AW495" i="1"/>
  <c r="AX495" i="1"/>
  <c r="BC495" i="1"/>
  <c r="BD495" i="1"/>
  <c r="BF495" i="1"/>
  <c r="BH495" i="1"/>
  <c r="BI495" i="1"/>
  <c r="BJ495" i="1"/>
  <c r="I496" i="1"/>
  <c r="J496" i="1"/>
  <c r="K496" i="1"/>
  <c r="Z496" i="1"/>
  <c r="AB496" i="1"/>
  <c r="AC496" i="1"/>
  <c r="AD496" i="1"/>
  <c r="AE496" i="1"/>
  <c r="AF496" i="1"/>
  <c r="AG496" i="1"/>
  <c r="AH496" i="1"/>
  <c r="AJ496" i="1"/>
  <c r="AK496" i="1"/>
  <c r="AL496" i="1"/>
  <c r="AO496" i="1"/>
  <c r="AP496" i="1"/>
  <c r="AV496" i="1"/>
  <c r="AW496" i="1"/>
  <c r="AX496" i="1"/>
  <c r="BC496" i="1"/>
  <c r="BD496" i="1"/>
  <c r="BF496" i="1"/>
  <c r="BH496" i="1"/>
  <c r="BI496" i="1"/>
  <c r="BJ496" i="1"/>
  <c r="I497" i="1"/>
  <c r="J497" i="1"/>
  <c r="K497" i="1"/>
  <c r="Z497" i="1"/>
  <c r="AB497" i="1"/>
  <c r="AC497" i="1"/>
  <c r="AD497" i="1"/>
  <c r="AE497" i="1"/>
  <c r="AF497" i="1"/>
  <c r="AG497" i="1"/>
  <c r="AH497" i="1"/>
  <c r="AJ497" i="1"/>
  <c r="AK497" i="1"/>
  <c r="AL497" i="1"/>
  <c r="AO497" i="1"/>
  <c r="AP497" i="1"/>
  <c r="AV497" i="1"/>
  <c r="AW497" i="1"/>
  <c r="AX497" i="1"/>
  <c r="BC497" i="1"/>
  <c r="BD497" i="1"/>
  <c r="BF497" i="1"/>
  <c r="BH497" i="1"/>
  <c r="BI497" i="1"/>
  <c r="BJ497" i="1"/>
  <c r="I498" i="1"/>
  <c r="J498" i="1"/>
  <c r="K498" i="1"/>
  <c r="Z498" i="1"/>
  <c r="AB498" i="1"/>
  <c r="AC498" i="1"/>
  <c r="AD498" i="1"/>
  <c r="AE498" i="1"/>
  <c r="AF498" i="1"/>
  <c r="AG498" i="1"/>
  <c r="AH498" i="1"/>
  <c r="AJ498" i="1"/>
  <c r="AK498" i="1"/>
  <c r="AL498" i="1"/>
  <c r="AO498" i="1"/>
  <c r="AP498" i="1"/>
  <c r="AV498" i="1"/>
  <c r="AW498" i="1"/>
  <c r="AX498" i="1"/>
  <c r="BC498" i="1"/>
  <c r="BD498" i="1"/>
  <c r="BF498" i="1"/>
  <c r="BH498" i="1"/>
  <c r="BI498" i="1"/>
  <c r="BJ498" i="1"/>
  <c r="I499" i="1"/>
  <c r="J499" i="1"/>
  <c r="K499" i="1"/>
  <c r="Z499" i="1"/>
  <c r="AB499" i="1"/>
  <c r="AC499" i="1"/>
  <c r="AD499" i="1"/>
  <c r="AE499" i="1"/>
  <c r="AF499" i="1"/>
  <c r="AG499" i="1"/>
  <c r="AH499" i="1"/>
  <c r="AJ499" i="1"/>
  <c r="AK499" i="1"/>
  <c r="AL499" i="1"/>
  <c r="AO499" i="1"/>
  <c r="AP499" i="1"/>
  <c r="AV499" i="1"/>
  <c r="AW499" i="1"/>
  <c r="AX499" i="1"/>
  <c r="BC499" i="1"/>
  <c r="BD499" i="1"/>
  <c r="BF499" i="1"/>
  <c r="BH499" i="1"/>
  <c r="BI499" i="1"/>
  <c r="BJ499" i="1"/>
  <c r="I500" i="1"/>
  <c r="J500" i="1"/>
  <c r="K500" i="1"/>
  <c r="Z500" i="1"/>
  <c r="AB500" i="1"/>
  <c r="AC500" i="1"/>
  <c r="AD500" i="1"/>
  <c r="AE500" i="1"/>
  <c r="AF500" i="1"/>
  <c r="AG500" i="1"/>
  <c r="AH500" i="1"/>
  <c r="AJ500" i="1"/>
  <c r="AK500" i="1"/>
  <c r="AL500" i="1"/>
  <c r="AO500" i="1"/>
  <c r="AP500" i="1"/>
  <c r="AV500" i="1"/>
  <c r="AW500" i="1"/>
  <c r="AX500" i="1"/>
  <c r="BC500" i="1"/>
  <c r="BD500" i="1"/>
  <c r="BF500" i="1"/>
  <c r="BH500" i="1"/>
  <c r="BI500" i="1"/>
  <c r="BJ500" i="1"/>
  <c r="I502" i="1"/>
  <c r="J502" i="1"/>
  <c r="K502" i="1"/>
  <c r="Z502" i="1"/>
  <c r="AB502" i="1"/>
  <c r="AC502" i="1"/>
  <c r="AD502" i="1"/>
  <c r="AE502" i="1"/>
  <c r="AF502" i="1"/>
  <c r="AG502" i="1"/>
  <c r="AH502" i="1"/>
  <c r="AJ502" i="1"/>
  <c r="AK502" i="1"/>
  <c r="AL502" i="1"/>
  <c r="AO502" i="1"/>
  <c r="AP502" i="1"/>
  <c r="AV502" i="1"/>
  <c r="AW502" i="1"/>
  <c r="AX502" i="1"/>
  <c r="BC502" i="1"/>
  <c r="BD502" i="1"/>
  <c r="BF502" i="1"/>
  <c r="BH502" i="1"/>
  <c r="BI502" i="1"/>
  <c r="BJ502" i="1"/>
  <c r="I504" i="1"/>
  <c r="J504" i="1"/>
  <c r="K504" i="1"/>
  <c r="Z504" i="1"/>
  <c r="AB504" i="1"/>
  <c r="AC504" i="1"/>
  <c r="AD504" i="1"/>
  <c r="AE504" i="1"/>
  <c r="AF504" i="1"/>
  <c r="AG504" i="1"/>
  <c r="AH504" i="1"/>
  <c r="AJ504" i="1"/>
  <c r="AK504" i="1"/>
  <c r="AL504" i="1"/>
  <c r="AO504" i="1"/>
  <c r="AP504" i="1"/>
  <c r="AV504" i="1"/>
  <c r="AW504" i="1"/>
  <c r="AX504" i="1"/>
  <c r="BC504" i="1"/>
  <c r="BD504" i="1"/>
  <c r="BF504" i="1"/>
  <c r="BH504" i="1"/>
  <c r="BI504" i="1"/>
  <c r="BJ504" i="1"/>
  <c r="I505" i="1"/>
  <c r="J505" i="1"/>
  <c r="K505" i="1"/>
  <c r="Z505" i="1"/>
  <c r="AB505" i="1"/>
  <c r="AC505" i="1"/>
  <c r="AD505" i="1"/>
  <c r="AE505" i="1"/>
  <c r="AF505" i="1"/>
  <c r="AG505" i="1"/>
  <c r="AH505" i="1"/>
  <c r="AJ505" i="1"/>
  <c r="AK505" i="1"/>
  <c r="AL505" i="1"/>
  <c r="AO505" i="1"/>
  <c r="AP505" i="1"/>
  <c r="AV505" i="1"/>
  <c r="AW505" i="1"/>
  <c r="AX505" i="1"/>
  <c r="BC505" i="1"/>
  <c r="BD505" i="1"/>
  <c r="BF505" i="1"/>
  <c r="BH505" i="1"/>
  <c r="BI505" i="1"/>
  <c r="BJ505" i="1"/>
  <c r="I506" i="1"/>
  <c r="J506" i="1"/>
  <c r="K506" i="1"/>
  <c r="Z506" i="1"/>
  <c r="AB506" i="1"/>
  <c r="AC506" i="1"/>
  <c r="AD506" i="1"/>
  <c r="AE506" i="1"/>
  <c r="AF506" i="1"/>
  <c r="AG506" i="1"/>
  <c r="AH506" i="1"/>
  <c r="AJ506" i="1"/>
  <c r="AK506" i="1"/>
  <c r="AL506" i="1"/>
  <c r="AO506" i="1"/>
  <c r="AP506" i="1"/>
  <c r="AV506" i="1"/>
  <c r="AW506" i="1"/>
  <c r="AX506" i="1"/>
  <c r="BC506" i="1"/>
  <c r="BD506" i="1"/>
  <c r="BF506" i="1"/>
  <c r="BH506" i="1"/>
  <c r="BI506" i="1"/>
  <c r="BJ506" i="1"/>
  <c r="I507" i="1"/>
  <c r="J507" i="1"/>
  <c r="K507" i="1"/>
  <c r="Z507" i="1"/>
  <c r="AB507" i="1"/>
  <c r="AC507" i="1"/>
  <c r="AD507" i="1"/>
  <c r="AE507" i="1"/>
  <c r="AF507" i="1"/>
  <c r="AG507" i="1"/>
  <c r="AH507" i="1"/>
  <c r="AJ507" i="1"/>
  <c r="AK507" i="1"/>
  <c r="AL507" i="1"/>
  <c r="AO507" i="1"/>
  <c r="AP507" i="1"/>
  <c r="AV507" i="1"/>
  <c r="AW507" i="1"/>
  <c r="AX507" i="1"/>
  <c r="BC507" i="1"/>
  <c r="BD507" i="1"/>
  <c r="BF507" i="1"/>
  <c r="BH507" i="1"/>
  <c r="BI507" i="1"/>
  <c r="BJ507" i="1"/>
  <c r="I508" i="1"/>
  <c r="J508" i="1"/>
  <c r="K508" i="1"/>
  <c r="Z508" i="1"/>
  <c r="AB508" i="1"/>
  <c r="AC508" i="1"/>
  <c r="AD508" i="1"/>
  <c r="AE508" i="1"/>
  <c r="AF508" i="1"/>
  <c r="AG508" i="1"/>
  <c r="AH508" i="1"/>
  <c r="AJ508" i="1"/>
  <c r="AK508" i="1"/>
  <c r="AL508" i="1"/>
  <c r="AO508" i="1"/>
  <c r="AP508" i="1"/>
  <c r="AV508" i="1"/>
  <c r="AW508" i="1"/>
  <c r="AX508" i="1"/>
  <c r="BC508" i="1"/>
  <c r="BD508" i="1"/>
  <c r="BF508" i="1"/>
  <c r="BH508" i="1"/>
  <c r="BI508" i="1"/>
  <c r="BJ508" i="1"/>
  <c r="I509" i="1"/>
  <c r="J509" i="1"/>
  <c r="K509" i="1"/>
  <c r="Z509" i="1"/>
  <c r="AB509" i="1"/>
  <c r="AC509" i="1"/>
  <c r="AD509" i="1"/>
  <c r="AE509" i="1"/>
  <c r="AF509" i="1"/>
  <c r="AG509" i="1"/>
  <c r="AH509" i="1"/>
  <c r="AJ509" i="1"/>
  <c r="AK509" i="1"/>
  <c r="AL509" i="1"/>
  <c r="AO509" i="1"/>
  <c r="AP509" i="1"/>
  <c r="AV509" i="1"/>
  <c r="AW509" i="1"/>
  <c r="AX509" i="1"/>
  <c r="BC509" i="1"/>
  <c r="BD509" i="1"/>
  <c r="BF509" i="1"/>
  <c r="BH509" i="1"/>
  <c r="BI509" i="1"/>
  <c r="BJ509" i="1"/>
  <c r="I510" i="1"/>
  <c r="J510" i="1"/>
  <c r="K510" i="1"/>
  <c r="Z510" i="1"/>
  <c r="AB510" i="1"/>
  <c r="AC510" i="1"/>
  <c r="AD510" i="1"/>
  <c r="AE510" i="1"/>
  <c r="AF510" i="1"/>
  <c r="AG510" i="1"/>
  <c r="AH510" i="1"/>
  <c r="AJ510" i="1"/>
  <c r="AK510" i="1"/>
  <c r="AL510" i="1"/>
  <c r="AO510" i="1"/>
  <c r="AP510" i="1"/>
  <c r="AV510" i="1"/>
  <c r="AW510" i="1"/>
  <c r="AX510" i="1"/>
  <c r="BC510" i="1"/>
  <c r="BD510" i="1"/>
  <c r="BF510" i="1"/>
  <c r="BH510" i="1"/>
  <c r="BI510" i="1"/>
  <c r="BJ510" i="1"/>
  <c r="I511" i="1"/>
  <c r="J511" i="1"/>
  <c r="K511" i="1"/>
  <c r="Z511" i="1"/>
  <c r="AB511" i="1"/>
  <c r="AC511" i="1"/>
  <c r="AD511" i="1"/>
  <c r="AE511" i="1"/>
  <c r="AF511" i="1"/>
  <c r="AG511" i="1"/>
  <c r="AH511" i="1"/>
  <c r="AJ511" i="1"/>
  <c r="AK511" i="1"/>
  <c r="AL511" i="1"/>
  <c r="AO511" i="1"/>
  <c r="AP511" i="1"/>
  <c r="AV511" i="1"/>
  <c r="AW511" i="1"/>
  <c r="AX511" i="1"/>
  <c r="BC511" i="1"/>
  <c r="BD511" i="1"/>
  <c r="BF511" i="1"/>
  <c r="BH511" i="1"/>
  <c r="BI511" i="1"/>
  <c r="BJ511" i="1"/>
  <c r="I512" i="1"/>
  <c r="J512" i="1"/>
  <c r="K512" i="1"/>
  <c r="Z512" i="1"/>
  <c r="AB512" i="1"/>
  <c r="AC512" i="1"/>
  <c r="AD512" i="1"/>
  <c r="AE512" i="1"/>
  <c r="AF512" i="1"/>
  <c r="AG512" i="1"/>
  <c r="AH512" i="1"/>
  <c r="AJ512" i="1"/>
  <c r="AK512" i="1"/>
  <c r="AL512" i="1"/>
  <c r="AO512" i="1"/>
  <c r="AP512" i="1"/>
  <c r="AV512" i="1"/>
  <c r="AW512" i="1"/>
  <c r="AX512" i="1"/>
  <c r="BC512" i="1"/>
  <c r="BD512" i="1"/>
  <c r="BF512" i="1"/>
  <c r="BH512" i="1"/>
  <c r="BI512" i="1"/>
  <c r="BJ512" i="1"/>
  <c r="I513" i="1"/>
  <c r="J513" i="1"/>
  <c r="K513" i="1"/>
  <c r="Z513" i="1"/>
  <c r="AB513" i="1"/>
  <c r="AC513" i="1"/>
  <c r="AD513" i="1"/>
  <c r="AE513" i="1"/>
  <c r="AF513" i="1"/>
  <c r="AG513" i="1"/>
  <c r="AH513" i="1"/>
  <c r="AJ513" i="1"/>
  <c r="AK513" i="1"/>
  <c r="AL513" i="1"/>
  <c r="AO513" i="1"/>
  <c r="AP513" i="1"/>
  <c r="AV513" i="1"/>
  <c r="AW513" i="1"/>
  <c r="AX513" i="1"/>
  <c r="BC513" i="1"/>
  <c r="BD513" i="1"/>
  <c r="BF513" i="1"/>
  <c r="BH513" i="1"/>
  <c r="BI513" i="1"/>
  <c r="BJ513" i="1"/>
  <c r="I514" i="1"/>
  <c r="J514" i="1"/>
  <c r="K514" i="1"/>
  <c r="Z514" i="1"/>
  <c r="AB514" i="1"/>
  <c r="AC514" i="1"/>
  <c r="AD514" i="1"/>
  <c r="AE514" i="1"/>
  <c r="AF514" i="1"/>
  <c r="AG514" i="1"/>
  <c r="AH514" i="1"/>
  <c r="AJ514" i="1"/>
  <c r="AK514" i="1"/>
  <c r="AL514" i="1"/>
  <c r="AO514" i="1"/>
  <c r="AP514" i="1"/>
  <c r="AV514" i="1"/>
  <c r="AW514" i="1"/>
  <c r="AX514" i="1"/>
  <c r="BC514" i="1"/>
  <c r="BD514" i="1"/>
  <c r="BF514" i="1"/>
  <c r="BH514" i="1"/>
  <c r="BI514" i="1"/>
  <c r="BJ514" i="1"/>
  <c r="I515" i="1"/>
  <c r="J515" i="1"/>
  <c r="K515" i="1"/>
  <c r="Z515" i="1"/>
  <c r="AB515" i="1"/>
  <c r="AC515" i="1"/>
  <c r="AD515" i="1"/>
  <c r="AE515" i="1"/>
  <c r="AF515" i="1"/>
  <c r="AG515" i="1"/>
  <c r="AH515" i="1"/>
  <c r="AJ515" i="1"/>
  <c r="AK515" i="1"/>
  <c r="AL515" i="1"/>
  <c r="AO515" i="1"/>
  <c r="AP515" i="1"/>
  <c r="AV515" i="1"/>
  <c r="AW515" i="1"/>
  <c r="AX515" i="1"/>
  <c r="BC515" i="1"/>
  <c r="BD515" i="1"/>
  <c r="BF515" i="1"/>
  <c r="BH515" i="1"/>
  <c r="BI515" i="1"/>
  <c r="BJ515" i="1"/>
  <c r="I516" i="1"/>
  <c r="J516" i="1"/>
  <c r="K516" i="1"/>
  <c r="Z516" i="1"/>
  <c r="AB516" i="1"/>
  <c r="AC516" i="1"/>
  <c r="AD516" i="1"/>
  <c r="AE516" i="1"/>
  <c r="AF516" i="1"/>
  <c r="AG516" i="1"/>
  <c r="AH516" i="1"/>
  <c r="AJ516" i="1"/>
  <c r="AK516" i="1"/>
  <c r="AL516" i="1"/>
  <c r="AO516" i="1"/>
  <c r="AP516" i="1"/>
  <c r="AV516" i="1"/>
  <c r="AW516" i="1"/>
  <c r="AX516" i="1"/>
  <c r="BC516" i="1"/>
  <c r="BD516" i="1"/>
  <c r="BF516" i="1"/>
  <c r="BH516" i="1"/>
  <c r="BI516" i="1"/>
  <c r="BJ516" i="1"/>
  <c r="I517" i="1"/>
  <c r="J517" i="1"/>
  <c r="K517" i="1"/>
  <c r="Z517" i="1"/>
  <c r="AB517" i="1"/>
  <c r="AC517" i="1"/>
  <c r="AD517" i="1"/>
  <c r="AE517" i="1"/>
  <c r="AF517" i="1"/>
  <c r="AG517" i="1"/>
  <c r="AH517" i="1"/>
  <c r="AJ517" i="1"/>
  <c r="AK517" i="1"/>
  <c r="AL517" i="1"/>
  <c r="AO517" i="1"/>
  <c r="AP517" i="1"/>
  <c r="AV517" i="1"/>
  <c r="AW517" i="1"/>
  <c r="AX517" i="1"/>
  <c r="BC517" i="1"/>
  <c r="BD517" i="1"/>
  <c r="BF517" i="1"/>
  <c r="BH517" i="1"/>
  <c r="BI517" i="1"/>
  <c r="BJ517" i="1"/>
  <c r="I518" i="1"/>
  <c r="J518" i="1"/>
  <c r="K518" i="1"/>
  <c r="Z518" i="1"/>
  <c r="AB518" i="1"/>
  <c r="AC518" i="1"/>
  <c r="AD518" i="1"/>
  <c r="AE518" i="1"/>
  <c r="AF518" i="1"/>
  <c r="AG518" i="1"/>
  <c r="AH518" i="1"/>
  <c r="AJ518" i="1"/>
  <c r="AK518" i="1"/>
  <c r="AL518" i="1"/>
  <c r="AO518" i="1"/>
  <c r="AP518" i="1"/>
  <c r="AV518" i="1"/>
  <c r="AW518" i="1"/>
  <c r="AX518" i="1"/>
  <c r="BC518" i="1"/>
  <c r="BD518" i="1"/>
  <c r="BF518" i="1"/>
  <c r="BH518" i="1"/>
  <c r="BI518" i="1"/>
  <c r="BJ518" i="1"/>
  <c r="I519" i="1"/>
  <c r="J519" i="1"/>
  <c r="K519" i="1"/>
  <c r="Z519" i="1"/>
  <c r="AB519" i="1"/>
  <c r="AC519" i="1"/>
  <c r="AD519" i="1"/>
  <c r="AE519" i="1"/>
  <c r="AF519" i="1"/>
  <c r="AG519" i="1"/>
  <c r="AH519" i="1"/>
  <c r="AJ519" i="1"/>
  <c r="AK519" i="1"/>
  <c r="AL519" i="1"/>
  <c r="AO519" i="1"/>
  <c r="AP519" i="1"/>
  <c r="AV519" i="1"/>
  <c r="AW519" i="1"/>
  <c r="AX519" i="1"/>
  <c r="BC519" i="1"/>
  <c r="BD519" i="1"/>
  <c r="BF519" i="1"/>
  <c r="BH519" i="1"/>
  <c r="BI519" i="1"/>
  <c r="BJ519" i="1"/>
  <c r="I520" i="1"/>
  <c r="J520" i="1"/>
  <c r="K520" i="1"/>
  <c r="Z520" i="1"/>
  <c r="AB520" i="1"/>
  <c r="AC520" i="1"/>
  <c r="AD520" i="1"/>
  <c r="AE520" i="1"/>
  <c r="AF520" i="1"/>
  <c r="AG520" i="1"/>
  <c r="AH520" i="1"/>
  <c r="AJ520" i="1"/>
  <c r="AK520" i="1"/>
  <c r="AL520" i="1"/>
  <c r="AO520" i="1"/>
  <c r="AP520" i="1"/>
  <c r="AV520" i="1"/>
  <c r="AW520" i="1"/>
  <c r="AX520" i="1"/>
  <c r="BC520" i="1"/>
  <c r="BD520" i="1"/>
  <c r="BF520" i="1"/>
  <c r="BH520" i="1"/>
  <c r="BI520" i="1"/>
  <c r="BJ520" i="1"/>
  <c r="I521" i="1"/>
  <c r="J521" i="1"/>
  <c r="K521" i="1"/>
  <c r="Z521" i="1"/>
  <c r="AB521" i="1"/>
  <c r="AC521" i="1"/>
  <c r="AD521" i="1"/>
  <c r="AE521" i="1"/>
  <c r="AF521" i="1"/>
  <c r="AG521" i="1"/>
  <c r="AH521" i="1"/>
  <c r="AJ521" i="1"/>
  <c r="AK521" i="1"/>
  <c r="AL521" i="1"/>
  <c r="AO521" i="1"/>
  <c r="AP521" i="1"/>
  <c r="AV521" i="1"/>
  <c r="AW521" i="1"/>
  <c r="AX521" i="1"/>
  <c r="BC521" i="1"/>
  <c r="BD521" i="1"/>
  <c r="BF521" i="1"/>
  <c r="BH521" i="1"/>
  <c r="BI521" i="1"/>
  <c r="BJ521" i="1"/>
  <c r="I522" i="1"/>
  <c r="J522" i="1"/>
  <c r="K522" i="1"/>
  <c r="Z522" i="1"/>
  <c r="AB522" i="1"/>
  <c r="AC522" i="1"/>
  <c r="AD522" i="1"/>
  <c r="AE522" i="1"/>
  <c r="AF522" i="1"/>
  <c r="AG522" i="1"/>
  <c r="AH522" i="1"/>
  <c r="AJ522" i="1"/>
  <c r="AK522" i="1"/>
  <c r="AL522" i="1"/>
  <c r="AO522" i="1"/>
  <c r="AP522" i="1"/>
  <c r="AV522" i="1"/>
  <c r="AW522" i="1"/>
  <c r="AX522" i="1"/>
  <c r="BC522" i="1"/>
  <c r="BD522" i="1"/>
  <c r="BF522" i="1"/>
  <c r="BH522" i="1"/>
  <c r="BI522" i="1"/>
  <c r="BJ522" i="1"/>
  <c r="I523" i="1"/>
  <c r="J523" i="1"/>
  <c r="K523" i="1"/>
  <c r="Z523" i="1"/>
  <c r="AB523" i="1"/>
  <c r="AC523" i="1"/>
  <c r="AD523" i="1"/>
  <c r="AE523" i="1"/>
  <c r="AF523" i="1"/>
  <c r="AG523" i="1"/>
  <c r="AH523" i="1"/>
  <c r="AJ523" i="1"/>
  <c r="AK523" i="1"/>
  <c r="AL523" i="1"/>
  <c r="AO523" i="1"/>
  <c r="AP523" i="1"/>
  <c r="AV523" i="1"/>
  <c r="AW523" i="1"/>
  <c r="AX523" i="1"/>
  <c r="BC523" i="1"/>
  <c r="BD523" i="1"/>
  <c r="BF523" i="1"/>
  <c r="BH523" i="1"/>
  <c r="BI523" i="1"/>
  <c r="BJ523" i="1"/>
  <c r="I524" i="1"/>
  <c r="J524" i="1"/>
  <c r="K524" i="1"/>
  <c r="Z524" i="1"/>
  <c r="AB524" i="1"/>
  <c r="AC524" i="1"/>
  <c r="AD524" i="1"/>
  <c r="AE524" i="1"/>
  <c r="AF524" i="1"/>
  <c r="AG524" i="1"/>
  <c r="AH524" i="1"/>
  <c r="AJ524" i="1"/>
  <c r="AK524" i="1"/>
  <c r="AL524" i="1"/>
  <c r="AO524" i="1"/>
  <c r="AP524" i="1"/>
  <c r="AV524" i="1"/>
  <c r="AW524" i="1"/>
  <c r="AX524" i="1"/>
  <c r="BC524" i="1"/>
  <c r="BD524" i="1"/>
  <c r="BF524" i="1"/>
  <c r="BH524" i="1"/>
  <c r="BI524" i="1"/>
  <c r="BJ524" i="1"/>
  <c r="I525" i="1"/>
  <c r="J525" i="1"/>
  <c r="K525" i="1"/>
  <c r="Z525" i="1"/>
  <c r="AB525" i="1"/>
  <c r="AC525" i="1"/>
  <c r="AD525" i="1"/>
  <c r="AE525" i="1"/>
  <c r="AF525" i="1"/>
  <c r="AG525" i="1"/>
  <c r="AH525" i="1"/>
  <c r="AJ525" i="1"/>
  <c r="AK525" i="1"/>
  <c r="AL525" i="1"/>
  <c r="AO525" i="1"/>
  <c r="AP525" i="1"/>
  <c r="AV525" i="1"/>
  <c r="AW525" i="1"/>
  <c r="AX525" i="1"/>
  <c r="BC525" i="1"/>
  <c r="BD525" i="1"/>
  <c r="BF525" i="1"/>
  <c r="BH525" i="1"/>
  <c r="BI525" i="1"/>
  <c r="BJ525" i="1"/>
  <c r="I526" i="1"/>
  <c r="J526" i="1"/>
  <c r="K526" i="1"/>
  <c r="Z526" i="1"/>
  <c r="AB526" i="1"/>
  <c r="AC526" i="1"/>
  <c r="AD526" i="1"/>
  <c r="AE526" i="1"/>
  <c r="AF526" i="1"/>
  <c r="AG526" i="1"/>
  <c r="AH526" i="1"/>
  <c r="AJ526" i="1"/>
  <c r="AK526" i="1"/>
  <c r="AL526" i="1"/>
  <c r="AO526" i="1"/>
  <c r="AP526" i="1"/>
  <c r="AV526" i="1"/>
  <c r="AW526" i="1"/>
  <c r="AX526" i="1"/>
  <c r="BC526" i="1"/>
  <c r="BD526" i="1"/>
  <c r="BF526" i="1"/>
  <c r="BH526" i="1"/>
  <c r="BI526" i="1"/>
  <c r="BJ526" i="1"/>
  <c r="I527" i="1"/>
  <c r="J527" i="1"/>
  <c r="K527" i="1"/>
  <c r="Z527" i="1"/>
  <c r="AB527" i="1"/>
  <c r="AC527" i="1"/>
  <c r="AD527" i="1"/>
  <c r="AE527" i="1"/>
  <c r="AF527" i="1"/>
  <c r="AG527" i="1"/>
  <c r="AH527" i="1"/>
  <c r="AJ527" i="1"/>
  <c r="AK527" i="1"/>
  <c r="AL527" i="1"/>
  <c r="AO527" i="1"/>
  <c r="AP527" i="1"/>
  <c r="AV527" i="1"/>
  <c r="AW527" i="1"/>
  <c r="AX527" i="1"/>
  <c r="BC527" i="1"/>
  <c r="BD527" i="1"/>
  <c r="BF527" i="1"/>
  <c r="BH527" i="1"/>
  <c r="BI527" i="1"/>
  <c r="BJ527" i="1"/>
  <c r="I528" i="1"/>
  <c r="J528" i="1"/>
  <c r="K528" i="1"/>
  <c r="Z528" i="1"/>
  <c r="AB528" i="1"/>
  <c r="AC528" i="1"/>
  <c r="AD528" i="1"/>
  <c r="AE528" i="1"/>
  <c r="AF528" i="1"/>
  <c r="AG528" i="1"/>
  <c r="AH528" i="1"/>
  <c r="AJ528" i="1"/>
  <c r="AK528" i="1"/>
  <c r="AL528" i="1"/>
  <c r="AO528" i="1"/>
  <c r="AP528" i="1"/>
  <c r="AV528" i="1"/>
  <c r="AW528" i="1"/>
  <c r="AX528" i="1"/>
  <c r="BC528" i="1"/>
  <c r="BD528" i="1"/>
  <c r="BF528" i="1"/>
  <c r="BH528" i="1"/>
  <c r="BI528" i="1"/>
  <c r="BJ528" i="1"/>
  <c r="I529" i="1"/>
  <c r="J529" i="1"/>
  <c r="K529" i="1"/>
  <c r="Z529" i="1"/>
  <c r="AB529" i="1"/>
  <c r="AC529" i="1"/>
  <c r="AD529" i="1"/>
  <c r="AE529" i="1"/>
  <c r="AF529" i="1"/>
  <c r="AG529" i="1"/>
  <c r="AH529" i="1"/>
  <c r="AJ529" i="1"/>
  <c r="AK529" i="1"/>
  <c r="AL529" i="1"/>
  <c r="AO529" i="1"/>
  <c r="AP529" i="1"/>
  <c r="AV529" i="1"/>
  <c r="AW529" i="1"/>
  <c r="AX529" i="1"/>
  <c r="BC529" i="1"/>
  <c r="BD529" i="1"/>
  <c r="BF529" i="1"/>
  <c r="BH529" i="1"/>
  <c r="BI529" i="1"/>
  <c r="BJ529" i="1"/>
  <c r="I530" i="1"/>
  <c r="J530" i="1"/>
  <c r="K530" i="1"/>
  <c r="Z530" i="1"/>
  <c r="AB530" i="1"/>
  <c r="AC530" i="1"/>
  <c r="AD530" i="1"/>
  <c r="AE530" i="1"/>
  <c r="AF530" i="1"/>
  <c r="AG530" i="1"/>
  <c r="AH530" i="1"/>
  <c r="AJ530" i="1"/>
  <c r="AK530" i="1"/>
  <c r="AL530" i="1"/>
  <c r="AO530" i="1"/>
  <c r="AP530" i="1"/>
  <c r="AV530" i="1"/>
  <c r="AW530" i="1"/>
  <c r="AX530" i="1"/>
  <c r="BC530" i="1"/>
  <c r="BD530" i="1"/>
  <c r="BF530" i="1"/>
  <c r="BH530" i="1"/>
  <c r="BI530" i="1"/>
  <c r="BJ530" i="1"/>
  <c r="I531" i="1"/>
  <c r="J531" i="1"/>
  <c r="K531" i="1"/>
  <c r="Z531" i="1"/>
  <c r="AB531" i="1"/>
  <c r="AC531" i="1"/>
  <c r="AD531" i="1"/>
  <c r="AE531" i="1"/>
  <c r="AF531" i="1"/>
  <c r="AG531" i="1"/>
  <c r="AH531" i="1"/>
  <c r="AJ531" i="1"/>
  <c r="AK531" i="1"/>
  <c r="AL531" i="1"/>
  <c r="AO531" i="1"/>
  <c r="AP531" i="1"/>
  <c r="AV531" i="1"/>
  <c r="AW531" i="1"/>
  <c r="AX531" i="1"/>
  <c r="BC531" i="1"/>
  <c r="BD531" i="1"/>
  <c r="BF531" i="1"/>
  <c r="BH531" i="1"/>
  <c r="BI531" i="1"/>
  <c r="BJ531" i="1"/>
  <c r="I532" i="1"/>
  <c r="J532" i="1"/>
  <c r="K532" i="1"/>
  <c r="Z532" i="1"/>
  <c r="AB532" i="1"/>
  <c r="AC532" i="1"/>
  <c r="AD532" i="1"/>
  <c r="AE532" i="1"/>
  <c r="AF532" i="1"/>
  <c r="AG532" i="1"/>
  <c r="AH532" i="1"/>
  <c r="AJ532" i="1"/>
  <c r="AK532" i="1"/>
  <c r="AL532" i="1"/>
  <c r="AO532" i="1"/>
  <c r="AP532" i="1"/>
  <c r="AV532" i="1"/>
  <c r="AW532" i="1"/>
  <c r="AX532" i="1"/>
  <c r="BC532" i="1"/>
  <c r="BD532" i="1"/>
  <c r="BF532" i="1"/>
  <c r="BH532" i="1"/>
  <c r="BI532" i="1"/>
  <c r="BJ532" i="1"/>
  <c r="I533" i="1"/>
  <c r="J533" i="1"/>
  <c r="K533" i="1"/>
  <c r="Z533" i="1"/>
  <c r="AB533" i="1"/>
  <c r="AC533" i="1"/>
  <c r="AD533" i="1"/>
  <c r="AE533" i="1"/>
  <c r="AF533" i="1"/>
  <c r="AG533" i="1"/>
  <c r="AH533" i="1"/>
  <c r="AJ533" i="1"/>
  <c r="AK533" i="1"/>
  <c r="AL533" i="1"/>
  <c r="AO533" i="1"/>
  <c r="AP533" i="1"/>
  <c r="AV533" i="1"/>
  <c r="AW533" i="1"/>
  <c r="AX533" i="1"/>
  <c r="BC533" i="1"/>
  <c r="BD533" i="1"/>
  <c r="BF533" i="1"/>
  <c r="BH533" i="1"/>
  <c r="BI533" i="1"/>
  <c r="BJ533" i="1"/>
  <c r="I534" i="1"/>
  <c r="J534" i="1"/>
  <c r="K534" i="1"/>
  <c r="Z534" i="1"/>
  <c r="AB534" i="1"/>
  <c r="AC534" i="1"/>
  <c r="AD534" i="1"/>
  <c r="AE534" i="1"/>
  <c r="AF534" i="1"/>
  <c r="AG534" i="1"/>
  <c r="AH534" i="1"/>
  <c r="AJ534" i="1"/>
  <c r="AK534" i="1"/>
  <c r="AL534" i="1"/>
  <c r="AO534" i="1"/>
  <c r="AP534" i="1"/>
  <c r="AV534" i="1"/>
  <c r="AW534" i="1"/>
  <c r="AX534" i="1"/>
  <c r="BC534" i="1"/>
  <c r="BD534" i="1"/>
  <c r="BF534" i="1"/>
  <c r="BH534" i="1"/>
  <c r="BI534" i="1"/>
  <c r="BJ534" i="1"/>
  <c r="I535" i="1"/>
  <c r="J535" i="1"/>
  <c r="K535" i="1"/>
  <c r="Z535" i="1"/>
  <c r="AB535" i="1"/>
  <c r="AC535" i="1"/>
  <c r="AD535" i="1"/>
  <c r="AE535" i="1"/>
  <c r="AF535" i="1"/>
  <c r="AG535" i="1"/>
  <c r="AH535" i="1"/>
  <c r="AJ535" i="1"/>
  <c r="AK535" i="1"/>
  <c r="AL535" i="1"/>
  <c r="AO535" i="1"/>
  <c r="AP535" i="1"/>
  <c r="AV535" i="1"/>
  <c r="AW535" i="1"/>
  <c r="AX535" i="1"/>
  <c r="BC535" i="1"/>
  <c r="BD535" i="1"/>
  <c r="BF535" i="1"/>
  <c r="BH535" i="1"/>
  <c r="BI535" i="1"/>
  <c r="BJ535" i="1"/>
  <c r="I536" i="1"/>
  <c r="J536" i="1"/>
  <c r="K536" i="1"/>
  <c r="Z536" i="1"/>
  <c r="AB536" i="1"/>
  <c r="AC536" i="1"/>
  <c r="AD536" i="1"/>
  <c r="AE536" i="1"/>
  <c r="AF536" i="1"/>
  <c r="AG536" i="1"/>
  <c r="AH536" i="1"/>
  <c r="AJ536" i="1"/>
  <c r="AK536" i="1"/>
  <c r="AL536" i="1"/>
  <c r="AO536" i="1"/>
  <c r="AP536" i="1"/>
  <c r="AV536" i="1"/>
  <c r="AW536" i="1"/>
  <c r="AX536" i="1"/>
  <c r="BC536" i="1"/>
  <c r="BD536" i="1"/>
  <c r="BF536" i="1"/>
  <c r="BH536" i="1"/>
  <c r="BI536" i="1"/>
  <c r="BJ536" i="1"/>
  <c r="I537" i="1"/>
  <c r="J537" i="1"/>
  <c r="K537" i="1"/>
  <c r="Z537" i="1"/>
  <c r="AB537" i="1"/>
  <c r="AC537" i="1"/>
  <c r="AD537" i="1"/>
  <c r="AE537" i="1"/>
  <c r="AF537" i="1"/>
  <c r="AG537" i="1"/>
  <c r="AH537" i="1"/>
  <c r="AJ537" i="1"/>
  <c r="AK537" i="1"/>
  <c r="AL537" i="1"/>
  <c r="AO537" i="1"/>
  <c r="AP537" i="1"/>
  <c r="AV537" i="1"/>
  <c r="AW537" i="1"/>
  <c r="AX537" i="1"/>
  <c r="BC537" i="1"/>
  <c r="BD537" i="1"/>
  <c r="BF537" i="1"/>
  <c r="BH537" i="1"/>
  <c r="BI537" i="1"/>
  <c r="BJ537" i="1"/>
  <c r="I538" i="1"/>
  <c r="J538" i="1"/>
  <c r="K538" i="1"/>
  <c r="Z538" i="1"/>
  <c r="AB538" i="1"/>
  <c r="AC538" i="1"/>
  <c r="AD538" i="1"/>
  <c r="AE538" i="1"/>
  <c r="AF538" i="1"/>
  <c r="AG538" i="1"/>
  <c r="AH538" i="1"/>
  <c r="AJ538" i="1"/>
  <c r="AK538" i="1"/>
  <c r="AL538" i="1"/>
  <c r="AO538" i="1"/>
  <c r="AP538" i="1"/>
  <c r="AV538" i="1"/>
  <c r="AW538" i="1"/>
  <c r="AX538" i="1"/>
  <c r="BC538" i="1"/>
  <c r="BD538" i="1"/>
  <c r="BF538" i="1"/>
  <c r="BH538" i="1"/>
  <c r="BI538" i="1"/>
  <c r="BJ538" i="1"/>
  <c r="I539" i="1"/>
  <c r="J539" i="1"/>
  <c r="K539" i="1"/>
  <c r="Z539" i="1"/>
  <c r="AB539" i="1"/>
  <c r="AC539" i="1"/>
  <c r="AD539" i="1"/>
  <c r="AE539" i="1"/>
  <c r="AF539" i="1"/>
  <c r="AG539" i="1"/>
  <c r="AH539" i="1"/>
  <c r="AJ539" i="1"/>
  <c r="AK539" i="1"/>
  <c r="AL539" i="1"/>
  <c r="AO539" i="1"/>
  <c r="AP539" i="1"/>
  <c r="AV539" i="1"/>
  <c r="AW539" i="1"/>
  <c r="AX539" i="1"/>
  <c r="BC539" i="1"/>
  <c r="BD539" i="1"/>
  <c r="BF539" i="1"/>
  <c r="BH539" i="1"/>
  <c r="BI539" i="1"/>
  <c r="BJ539" i="1"/>
  <c r="I540" i="1"/>
  <c r="J540" i="1"/>
  <c r="K540" i="1"/>
  <c r="Z540" i="1"/>
  <c r="AB540" i="1"/>
  <c r="AC540" i="1"/>
  <c r="AD540" i="1"/>
  <c r="AE540" i="1"/>
  <c r="AF540" i="1"/>
  <c r="AG540" i="1"/>
  <c r="AH540" i="1"/>
  <c r="AJ540" i="1"/>
  <c r="AK540" i="1"/>
  <c r="AL540" i="1"/>
  <c r="AO540" i="1"/>
  <c r="AP540" i="1"/>
  <c r="AV540" i="1"/>
  <c r="AW540" i="1"/>
  <c r="AX540" i="1"/>
  <c r="BC540" i="1"/>
  <c r="BD540" i="1"/>
  <c r="BF540" i="1"/>
  <c r="BH540" i="1"/>
  <c r="BI540" i="1"/>
  <c r="BJ540" i="1"/>
  <c r="I541" i="1"/>
  <c r="J541" i="1"/>
  <c r="K541" i="1"/>
  <c r="Z541" i="1"/>
  <c r="AB541" i="1"/>
  <c r="AC541" i="1"/>
  <c r="AD541" i="1"/>
  <c r="AE541" i="1"/>
  <c r="AF541" i="1"/>
  <c r="AG541" i="1"/>
  <c r="AH541" i="1"/>
  <c r="AJ541" i="1"/>
  <c r="AK541" i="1"/>
  <c r="AL541" i="1"/>
  <c r="AO541" i="1"/>
  <c r="AP541" i="1"/>
  <c r="AV541" i="1"/>
  <c r="AW541" i="1"/>
  <c r="AX541" i="1"/>
  <c r="BC541" i="1"/>
  <c r="BD541" i="1"/>
  <c r="BF541" i="1"/>
  <c r="BH541" i="1"/>
  <c r="BI541" i="1"/>
  <c r="BJ541" i="1"/>
  <c r="I542" i="1"/>
  <c r="J542" i="1"/>
  <c r="K542" i="1"/>
  <c r="Z542" i="1"/>
  <c r="AB542" i="1"/>
  <c r="AC542" i="1"/>
  <c r="AD542" i="1"/>
  <c r="AE542" i="1"/>
  <c r="AF542" i="1"/>
  <c r="AG542" i="1"/>
  <c r="AH542" i="1"/>
  <c r="AJ542" i="1"/>
  <c r="AK542" i="1"/>
  <c r="AL542" i="1"/>
  <c r="AO542" i="1"/>
  <c r="AP542" i="1"/>
  <c r="AV542" i="1"/>
  <c r="AW542" i="1"/>
  <c r="AX542" i="1"/>
  <c r="BC542" i="1"/>
  <c r="BD542" i="1"/>
  <c r="BF542" i="1"/>
  <c r="BH542" i="1"/>
  <c r="BI542" i="1"/>
  <c r="BJ542" i="1"/>
  <c r="I543" i="1"/>
  <c r="J543" i="1"/>
  <c r="K543" i="1"/>
  <c r="Z543" i="1"/>
  <c r="AB543" i="1"/>
  <c r="AC543" i="1"/>
  <c r="AD543" i="1"/>
  <c r="AE543" i="1"/>
  <c r="AF543" i="1"/>
  <c r="AG543" i="1"/>
  <c r="AH543" i="1"/>
  <c r="AJ543" i="1"/>
  <c r="AK543" i="1"/>
  <c r="AL543" i="1"/>
  <c r="AO543" i="1"/>
  <c r="AP543" i="1"/>
  <c r="AV543" i="1"/>
  <c r="AW543" i="1"/>
  <c r="AX543" i="1"/>
  <c r="BC543" i="1"/>
  <c r="BD543" i="1"/>
  <c r="BF543" i="1"/>
  <c r="BH543" i="1"/>
  <c r="BI543" i="1"/>
  <c r="BJ543" i="1"/>
  <c r="I544" i="1"/>
  <c r="J544" i="1"/>
  <c r="K544" i="1"/>
  <c r="Z544" i="1"/>
  <c r="AB544" i="1"/>
  <c r="AC544" i="1"/>
  <c r="AD544" i="1"/>
  <c r="AE544" i="1"/>
  <c r="AF544" i="1"/>
  <c r="AG544" i="1"/>
  <c r="AH544" i="1"/>
  <c r="AJ544" i="1"/>
  <c r="AK544" i="1"/>
  <c r="AL544" i="1"/>
  <c r="AO544" i="1"/>
  <c r="AP544" i="1"/>
  <c r="AV544" i="1"/>
  <c r="AW544" i="1"/>
  <c r="AX544" i="1"/>
  <c r="BC544" i="1"/>
  <c r="BD544" i="1"/>
  <c r="BF544" i="1"/>
  <c r="BH544" i="1"/>
  <c r="BI544" i="1"/>
  <c r="BJ544" i="1"/>
  <c r="I545" i="1"/>
  <c r="J545" i="1"/>
  <c r="K545" i="1"/>
  <c r="Z545" i="1"/>
  <c r="AB545" i="1"/>
  <c r="AC545" i="1"/>
  <c r="AD545" i="1"/>
  <c r="AE545" i="1"/>
  <c r="AF545" i="1"/>
  <c r="AG545" i="1"/>
  <c r="AH545" i="1"/>
  <c r="AJ545" i="1"/>
  <c r="AK545" i="1"/>
  <c r="AL545" i="1"/>
  <c r="AO545" i="1"/>
  <c r="AP545" i="1"/>
  <c r="AV545" i="1"/>
  <c r="AW545" i="1"/>
  <c r="AX545" i="1"/>
  <c r="BC545" i="1"/>
  <c r="BD545" i="1"/>
  <c r="BF545" i="1"/>
  <c r="BH545" i="1"/>
  <c r="BI545" i="1"/>
  <c r="BJ545" i="1"/>
  <c r="I546" i="1"/>
  <c r="J546" i="1"/>
  <c r="K546" i="1"/>
  <c r="Z546" i="1"/>
  <c r="AB546" i="1"/>
  <c r="AC546" i="1"/>
  <c r="AD546" i="1"/>
  <c r="AE546" i="1"/>
  <c r="AF546" i="1"/>
  <c r="AG546" i="1"/>
  <c r="AH546" i="1"/>
  <c r="AJ546" i="1"/>
  <c r="AK546" i="1"/>
  <c r="AL546" i="1"/>
  <c r="AO546" i="1"/>
  <c r="AP546" i="1"/>
  <c r="AV546" i="1"/>
  <c r="AW546" i="1"/>
  <c r="AX546" i="1"/>
  <c r="BC546" i="1"/>
  <c r="BD546" i="1"/>
  <c r="BF546" i="1"/>
  <c r="BH546" i="1"/>
  <c r="BI546" i="1"/>
  <c r="BJ546" i="1"/>
  <c r="I547" i="1"/>
  <c r="J547" i="1"/>
  <c r="K547" i="1"/>
  <c r="Z547" i="1"/>
  <c r="AB547" i="1"/>
  <c r="AC547" i="1"/>
  <c r="AD547" i="1"/>
  <c r="AE547" i="1"/>
  <c r="AF547" i="1"/>
  <c r="AG547" i="1"/>
  <c r="AH547" i="1"/>
  <c r="AJ547" i="1"/>
  <c r="AK547" i="1"/>
  <c r="AL547" i="1"/>
  <c r="AO547" i="1"/>
  <c r="AP547" i="1"/>
  <c r="AV547" i="1"/>
  <c r="AW547" i="1"/>
  <c r="AX547" i="1"/>
  <c r="BC547" i="1"/>
  <c r="BD547" i="1"/>
  <c r="BF547" i="1"/>
  <c r="BH547" i="1"/>
  <c r="BI547" i="1"/>
  <c r="BJ547" i="1"/>
  <c r="I548" i="1"/>
  <c r="J548" i="1"/>
  <c r="K548" i="1"/>
  <c r="Z548" i="1"/>
  <c r="AB548" i="1"/>
  <c r="AC548" i="1"/>
  <c r="AD548" i="1"/>
  <c r="AE548" i="1"/>
  <c r="AF548" i="1"/>
  <c r="AG548" i="1"/>
  <c r="AH548" i="1"/>
  <c r="AJ548" i="1"/>
  <c r="AK548" i="1"/>
  <c r="AL548" i="1"/>
  <c r="AO548" i="1"/>
  <c r="AP548" i="1"/>
  <c r="AV548" i="1"/>
  <c r="AW548" i="1"/>
  <c r="AX548" i="1"/>
  <c r="BC548" i="1"/>
  <c r="BD548" i="1"/>
  <c r="BF548" i="1"/>
  <c r="BH548" i="1"/>
  <c r="BI548" i="1"/>
  <c r="BJ548" i="1"/>
  <c r="I549" i="1"/>
  <c r="J549" i="1"/>
  <c r="K549" i="1"/>
  <c r="Z549" i="1"/>
  <c r="AB549" i="1"/>
  <c r="AC549" i="1"/>
  <c r="AD549" i="1"/>
  <c r="AE549" i="1"/>
  <c r="AF549" i="1"/>
  <c r="AG549" i="1"/>
  <c r="AH549" i="1"/>
  <c r="AJ549" i="1"/>
  <c r="AK549" i="1"/>
  <c r="AL549" i="1"/>
  <c r="AO549" i="1"/>
  <c r="AP549" i="1"/>
  <c r="AV549" i="1"/>
  <c r="AW549" i="1"/>
  <c r="AX549" i="1"/>
  <c r="BC549" i="1"/>
  <c r="BD549" i="1"/>
  <c r="BF549" i="1"/>
  <c r="BH549" i="1"/>
  <c r="BI549" i="1"/>
  <c r="BJ549" i="1"/>
  <c r="I550" i="1"/>
  <c r="J550" i="1"/>
  <c r="K550" i="1"/>
  <c r="Z550" i="1"/>
  <c r="AB550" i="1"/>
  <c r="AC550" i="1"/>
  <c r="AD550" i="1"/>
  <c r="AE550" i="1"/>
  <c r="AF550" i="1"/>
  <c r="AG550" i="1"/>
  <c r="AH550" i="1"/>
  <c r="AJ550" i="1"/>
  <c r="AK550" i="1"/>
  <c r="AL550" i="1"/>
  <c r="AO550" i="1"/>
  <c r="AP550" i="1"/>
  <c r="AV550" i="1"/>
  <c r="AW550" i="1"/>
  <c r="AX550" i="1"/>
  <c r="BC550" i="1"/>
  <c r="BD550" i="1"/>
  <c r="BF550" i="1"/>
  <c r="BH550" i="1"/>
  <c r="BI550" i="1"/>
  <c r="BJ550" i="1"/>
  <c r="I551" i="1"/>
  <c r="J551" i="1"/>
  <c r="K551" i="1"/>
  <c r="Z551" i="1"/>
  <c r="AB551" i="1"/>
  <c r="AC551" i="1"/>
  <c r="AD551" i="1"/>
  <c r="AE551" i="1"/>
  <c r="AF551" i="1"/>
  <c r="AG551" i="1"/>
  <c r="AH551" i="1"/>
  <c r="AJ551" i="1"/>
  <c r="AK551" i="1"/>
  <c r="AL551" i="1"/>
  <c r="AO551" i="1"/>
  <c r="AP551" i="1"/>
  <c r="AV551" i="1"/>
  <c r="AW551" i="1"/>
  <c r="AX551" i="1"/>
  <c r="BC551" i="1"/>
  <c r="BD551" i="1"/>
  <c r="BF551" i="1"/>
  <c r="BH551" i="1"/>
  <c r="BI551" i="1"/>
  <c r="BJ551" i="1"/>
  <c r="I552" i="1"/>
  <c r="J552" i="1"/>
  <c r="K552" i="1"/>
  <c r="Z552" i="1"/>
  <c r="AB552" i="1"/>
  <c r="AC552" i="1"/>
  <c r="AD552" i="1"/>
  <c r="AE552" i="1"/>
  <c r="AF552" i="1"/>
  <c r="AG552" i="1"/>
  <c r="AH552" i="1"/>
  <c r="AJ552" i="1"/>
  <c r="AK552" i="1"/>
  <c r="AL552" i="1"/>
  <c r="AO552" i="1"/>
  <c r="AP552" i="1"/>
  <c r="AV552" i="1"/>
  <c r="AW552" i="1"/>
  <c r="AX552" i="1"/>
  <c r="BC552" i="1"/>
  <c r="BD552" i="1"/>
  <c r="BF552" i="1"/>
  <c r="BH552" i="1"/>
  <c r="BI552" i="1"/>
  <c r="BJ552" i="1"/>
  <c r="I553" i="1"/>
  <c r="J553" i="1"/>
  <c r="K553" i="1"/>
  <c r="Z553" i="1"/>
  <c r="AB553" i="1"/>
  <c r="AC553" i="1"/>
  <c r="AD553" i="1"/>
  <c r="AE553" i="1"/>
  <c r="AF553" i="1"/>
  <c r="AG553" i="1"/>
  <c r="AH553" i="1"/>
  <c r="AJ553" i="1"/>
  <c r="AK553" i="1"/>
  <c r="AL553" i="1"/>
  <c r="AO553" i="1"/>
  <c r="AP553" i="1"/>
  <c r="AV553" i="1"/>
  <c r="AW553" i="1"/>
  <c r="AX553" i="1"/>
  <c r="BC553" i="1"/>
  <c r="BD553" i="1"/>
  <c r="BF553" i="1"/>
  <c r="BH553" i="1"/>
  <c r="BI553" i="1"/>
  <c r="BJ553" i="1"/>
  <c r="I554" i="1"/>
  <c r="J554" i="1"/>
  <c r="K554" i="1"/>
  <c r="Z554" i="1"/>
  <c r="AB554" i="1"/>
  <c r="AC554" i="1"/>
  <c r="AD554" i="1"/>
  <c r="AE554" i="1"/>
  <c r="AF554" i="1"/>
  <c r="AG554" i="1"/>
  <c r="AH554" i="1"/>
  <c r="AJ554" i="1"/>
  <c r="AK554" i="1"/>
  <c r="AL554" i="1"/>
  <c r="AO554" i="1"/>
  <c r="AP554" i="1"/>
  <c r="AV554" i="1"/>
  <c r="AW554" i="1"/>
  <c r="AX554" i="1"/>
  <c r="BC554" i="1"/>
  <c r="BD554" i="1"/>
  <c r="BF554" i="1"/>
  <c r="BH554" i="1"/>
  <c r="BI554" i="1"/>
  <c r="BJ554" i="1"/>
  <c r="I555" i="1"/>
  <c r="J555" i="1"/>
  <c r="K555" i="1"/>
  <c r="Z555" i="1"/>
  <c r="AB555" i="1"/>
  <c r="AC555" i="1"/>
  <c r="AD555" i="1"/>
  <c r="AE555" i="1"/>
  <c r="AF555" i="1"/>
  <c r="AG555" i="1"/>
  <c r="AH555" i="1"/>
  <c r="AJ555" i="1"/>
  <c r="AK555" i="1"/>
  <c r="AL555" i="1"/>
  <c r="AO555" i="1"/>
  <c r="AP555" i="1"/>
  <c r="AV555" i="1"/>
  <c r="AW555" i="1"/>
  <c r="AX555" i="1"/>
  <c r="BC555" i="1"/>
  <c r="BD555" i="1"/>
  <c r="BF555" i="1"/>
  <c r="BH555" i="1"/>
  <c r="BI555" i="1"/>
  <c r="BJ555" i="1"/>
  <c r="I556" i="1"/>
  <c r="J556" i="1"/>
  <c r="K556" i="1"/>
  <c r="Z556" i="1"/>
  <c r="AB556" i="1"/>
  <c r="AC556" i="1"/>
  <c r="AD556" i="1"/>
  <c r="AE556" i="1"/>
  <c r="AF556" i="1"/>
  <c r="AG556" i="1"/>
  <c r="AH556" i="1"/>
  <c r="AJ556" i="1"/>
  <c r="AK556" i="1"/>
  <c r="AL556" i="1"/>
  <c r="AO556" i="1"/>
  <c r="AP556" i="1"/>
  <c r="AV556" i="1"/>
  <c r="AW556" i="1"/>
  <c r="AX556" i="1"/>
  <c r="BC556" i="1"/>
  <c r="BD556" i="1"/>
  <c r="BF556" i="1"/>
  <c r="BH556" i="1"/>
  <c r="BI556" i="1"/>
  <c r="BJ556" i="1"/>
  <c r="I557" i="1"/>
  <c r="J557" i="1"/>
  <c r="K557" i="1"/>
  <c r="Z557" i="1"/>
  <c r="AB557" i="1"/>
  <c r="AC557" i="1"/>
  <c r="AD557" i="1"/>
  <c r="AE557" i="1"/>
  <c r="AF557" i="1"/>
  <c r="AG557" i="1"/>
  <c r="AH557" i="1"/>
  <c r="AJ557" i="1"/>
  <c r="AK557" i="1"/>
  <c r="AL557" i="1"/>
  <c r="AO557" i="1"/>
  <c r="AP557" i="1"/>
  <c r="AV557" i="1"/>
  <c r="AW557" i="1"/>
  <c r="AX557" i="1"/>
  <c r="BC557" i="1"/>
  <c r="BD557" i="1"/>
  <c r="BF557" i="1"/>
  <c r="BH557" i="1"/>
  <c r="BI557" i="1"/>
  <c r="BJ557" i="1"/>
  <c r="I558" i="1"/>
  <c r="J558" i="1"/>
  <c r="K558" i="1"/>
  <c r="Z558" i="1"/>
  <c r="AB558" i="1"/>
  <c r="AC558" i="1"/>
  <c r="AD558" i="1"/>
  <c r="AE558" i="1"/>
  <c r="AF558" i="1"/>
  <c r="AG558" i="1"/>
  <c r="AH558" i="1"/>
  <c r="AJ558" i="1"/>
  <c r="AK558" i="1"/>
  <c r="AL558" i="1"/>
  <c r="AO558" i="1"/>
  <c r="AP558" i="1"/>
  <c r="AV558" i="1"/>
  <c r="AW558" i="1"/>
  <c r="AX558" i="1"/>
  <c r="BC558" i="1"/>
  <c r="BD558" i="1"/>
  <c r="BF558" i="1"/>
  <c r="BH558" i="1"/>
  <c r="BI558" i="1"/>
  <c r="BJ558" i="1"/>
  <c r="I559" i="1"/>
  <c r="J559" i="1"/>
  <c r="K559" i="1"/>
  <c r="Z559" i="1"/>
  <c r="AB559" i="1"/>
  <c r="AC559" i="1"/>
  <c r="AD559" i="1"/>
  <c r="AE559" i="1"/>
  <c r="AF559" i="1"/>
  <c r="AG559" i="1"/>
  <c r="AH559" i="1"/>
  <c r="AJ559" i="1"/>
  <c r="AK559" i="1"/>
  <c r="AL559" i="1"/>
  <c r="AO559" i="1"/>
  <c r="AP559" i="1"/>
  <c r="AV559" i="1"/>
  <c r="AW559" i="1"/>
  <c r="AX559" i="1"/>
  <c r="BC559" i="1"/>
  <c r="BD559" i="1"/>
  <c r="BF559" i="1"/>
  <c r="BH559" i="1"/>
  <c r="BI559" i="1"/>
  <c r="BJ559" i="1"/>
  <c r="I560" i="1"/>
  <c r="J560" i="1"/>
  <c r="K560" i="1"/>
  <c r="Z560" i="1"/>
  <c r="AB560" i="1"/>
  <c r="AC560" i="1"/>
  <c r="AD560" i="1"/>
  <c r="AE560" i="1"/>
  <c r="AF560" i="1"/>
  <c r="AG560" i="1"/>
  <c r="AH560" i="1"/>
  <c r="AJ560" i="1"/>
  <c r="AK560" i="1"/>
  <c r="AL560" i="1"/>
  <c r="AO560" i="1"/>
  <c r="AP560" i="1"/>
  <c r="AV560" i="1"/>
  <c r="AW560" i="1"/>
  <c r="AX560" i="1"/>
  <c r="BC560" i="1"/>
  <c r="BD560" i="1"/>
  <c r="BF560" i="1"/>
  <c r="BH560" i="1"/>
  <c r="BI560" i="1"/>
  <c r="BJ560" i="1"/>
  <c r="I561" i="1"/>
  <c r="J561" i="1"/>
  <c r="K561" i="1"/>
  <c r="Z561" i="1"/>
  <c r="AB561" i="1"/>
  <c r="AC561" i="1"/>
  <c r="AD561" i="1"/>
  <c r="AE561" i="1"/>
  <c r="AF561" i="1"/>
  <c r="AG561" i="1"/>
  <c r="AH561" i="1"/>
  <c r="AJ561" i="1"/>
  <c r="AK561" i="1"/>
  <c r="AL561" i="1"/>
  <c r="AO561" i="1"/>
  <c r="AP561" i="1"/>
  <c r="AV561" i="1"/>
  <c r="AW561" i="1"/>
  <c r="AX561" i="1"/>
  <c r="BC561" i="1"/>
  <c r="BD561" i="1"/>
  <c r="BF561" i="1"/>
  <c r="BH561" i="1"/>
  <c r="BI561" i="1"/>
  <c r="BJ561" i="1"/>
  <c r="I562" i="1"/>
  <c r="J562" i="1"/>
  <c r="K562" i="1"/>
  <c r="Z562" i="1"/>
  <c r="AB562" i="1"/>
  <c r="AC562" i="1"/>
  <c r="AD562" i="1"/>
  <c r="AE562" i="1"/>
  <c r="AF562" i="1"/>
  <c r="AG562" i="1"/>
  <c r="AH562" i="1"/>
  <c r="AJ562" i="1"/>
  <c r="AK562" i="1"/>
  <c r="AL562" i="1"/>
  <c r="AO562" i="1"/>
  <c r="AP562" i="1"/>
  <c r="AV562" i="1"/>
  <c r="AW562" i="1"/>
  <c r="AX562" i="1"/>
  <c r="BC562" i="1"/>
  <c r="BD562" i="1"/>
  <c r="BF562" i="1"/>
  <c r="BH562" i="1"/>
  <c r="BI562" i="1"/>
  <c r="BJ562" i="1"/>
  <c r="I563" i="1"/>
  <c r="J563" i="1"/>
  <c r="K563" i="1"/>
  <c r="Z563" i="1"/>
  <c r="AB563" i="1"/>
  <c r="AC563" i="1"/>
  <c r="AD563" i="1"/>
  <c r="AE563" i="1"/>
  <c r="AF563" i="1"/>
  <c r="AG563" i="1"/>
  <c r="AH563" i="1"/>
  <c r="AJ563" i="1"/>
  <c r="AK563" i="1"/>
  <c r="AL563" i="1"/>
  <c r="AO563" i="1"/>
  <c r="AP563" i="1"/>
  <c r="AV563" i="1"/>
  <c r="AW563" i="1"/>
  <c r="AX563" i="1"/>
  <c r="BC563" i="1"/>
  <c r="BD563" i="1"/>
  <c r="BF563" i="1"/>
  <c r="BH563" i="1"/>
  <c r="BI563" i="1"/>
  <c r="BJ563" i="1"/>
  <c r="I564" i="1"/>
  <c r="J564" i="1"/>
  <c r="K564" i="1"/>
  <c r="Z564" i="1"/>
  <c r="AB564" i="1"/>
  <c r="AC564" i="1"/>
  <c r="AD564" i="1"/>
  <c r="AE564" i="1"/>
  <c r="AF564" i="1"/>
  <c r="AG564" i="1"/>
  <c r="AH564" i="1"/>
  <c r="AJ564" i="1"/>
  <c r="AK564" i="1"/>
  <c r="AL564" i="1"/>
  <c r="AO564" i="1"/>
  <c r="AP564" i="1"/>
  <c r="AV564" i="1"/>
  <c r="AW564" i="1"/>
  <c r="AX564" i="1"/>
  <c r="BC564" i="1"/>
  <c r="BD564" i="1"/>
  <c r="BF564" i="1"/>
  <c r="BH564" i="1"/>
  <c r="BI564" i="1"/>
  <c r="BJ564" i="1"/>
  <c r="I565" i="1"/>
  <c r="J565" i="1"/>
  <c r="K565" i="1"/>
  <c r="Z565" i="1"/>
  <c r="AB565" i="1"/>
  <c r="AC565" i="1"/>
  <c r="AD565" i="1"/>
  <c r="AE565" i="1"/>
  <c r="AF565" i="1"/>
  <c r="AG565" i="1"/>
  <c r="AH565" i="1"/>
  <c r="AJ565" i="1"/>
  <c r="AK565" i="1"/>
  <c r="AL565" i="1"/>
  <c r="AO565" i="1"/>
  <c r="AP565" i="1"/>
  <c r="AV565" i="1"/>
  <c r="AW565" i="1"/>
  <c r="AX565" i="1"/>
  <c r="BC565" i="1"/>
  <c r="BD565" i="1"/>
  <c r="BF565" i="1"/>
  <c r="BH565" i="1"/>
  <c r="BI565" i="1"/>
  <c r="BJ565" i="1"/>
  <c r="I566" i="1"/>
  <c r="J566" i="1"/>
  <c r="K566" i="1"/>
  <c r="Z566" i="1"/>
  <c r="AB566" i="1"/>
  <c r="AC566" i="1"/>
  <c r="AD566" i="1"/>
  <c r="AE566" i="1"/>
  <c r="AF566" i="1"/>
  <c r="AG566" i="1"/>
  <c r="AH566" i="1"/>
  <c r="AJ566" i="1"/>
  <c r="AK566" i="1"/>
  <c r="AL566" i="1"/>
  <c r="AO566" i="1"/>
  <c r="AP566" i="1"/>
  <c r="AV566" i="1"/>
  <c r="AW566" i="1"/>
  <c r="AX566" i="1"/>
  <c r="BC566" i="1"/>
  <c r="BD566" i="1"/>
  <c r="BF566" i="1"/>
  <c r="BH566" i="1"/>
  <c r="BI566" i="1"/>
  <c r="BJ566" i="1"/>
  <c r="I567" i="1"/>
  <c r="J567" i="1"/>
  <c r="K567" i="1"/>
  <c r="Z567" i="1"/>
  <c r="AB567" i="1"/>
  <c r="AC567" i="1"/>
  <c r="AD567" i="1"/>
  <c r="AE567" i="1"/>
  <c r="AF567" i="1"/>
  <c r="AG567" i="1"/>
  <c r="AH567" i="1"/>
  <c r="AJ567" i="1"/>
  <c r="AK567" i="1"/>
  <c r="AL567" i="1"/>
  <c r="AO567" i="1"/>
  <c r="AP567" i="1"/>
  <c r="AV567" i="1"/>
  <c r="AW567" i="1"/>
  <c r="AX567" i="1"/>
  <c r="BC567" i="1"/>
  <c r="BD567" i="1"/>
  <c r="BF567" i="1"/>
  <c r="BH567" i="1"/>
  <c r="BI567" i="1"/>
  <c r="BJ567" i="1"/>
  <c r="I568" i="1"/>
  <c r="J568" i="1"/>
  <c r="K568" i="1"/>
  <c r="Z568" i="1"/>
  <c r="AB568" i="1"/>
  <c r="AC568" i="1"/>
  <c r="AD568" i="1"/>
  <c r="AE568" i="1"/>
  <c r="AF568" i="1"/>
  <c r="AG568" i="1"/>
  <c r="AH568" i="1"/>
  <c r="AJ568" i="1"/>
  <c r="AK568" i="1"/>
  <c r="AL568" i="1"/>
  <c r="AO568" i="1"/>
  <c r="AP568" i="1"/>
  <c r="AV568" i="1"/>
  <c r="AW568" i="1"/>
  <c r="AX568" i="1"/>
  <c r="BC568" i="1"/>
  <c r="BD568" i="1"/>
  <c r="BF568" i="1"/>
  <c r="BH568" i="1"/>
  <c r="BI568" i="1"/>
  <c r="BJ568" i="1"/>
  <c r="I569" i="1"/>
  <c r="J569" i="1"/>
  <c r="K569" i="1"/>
  <c r="Z569" i="1"/>
  <c r="AB569" i="1"/>
  <c r="AC569" i="1"/>
  <c r="AD569" i="1"/>
  <c r="AE569" i="1"/>
  <c r="AF569" i="1"/>
  <c r="AG569" i="1"/>
  <c r="AH569" i="1"/>
  <c r="AJ569" i="1"/>
  <c r="AK569" i="1"/>
  <c r="AL569" i="1"/>
  <c r="AO569" i="1"/>
  <c r="AP569" i="1"/>
  <c r="AV569" i="1"/>
  <c r="AW569" i="1"/>
  <c r="AX569" i="1"/>
  <c r="BC569" i="1"/>
  <c r="BD569" i="1"/>
  <c r="BF569" i="1"/>
  <c r="BH569" i="1"/>
  <c r="BI569" i="1"/>
  <c r="BJ569" i="1"/>
  <c r="I570" i="1"/>
  <c r="J570" i="1"/>
  <c r="K570" i="1"/>
  <c r="Z570" i="1"/>
  <c r="AB570" i="1"/>
  <c r="AC570" i="1"/>
  <c r="AD570" i="1"/>
  <c r="AE570" i="1"/>
  <c r="AF570" i="1"/>
  <c r="AG570" i="1"/>
  <c r="AH570" i="1"/>
  <c r="AJ570" i="1"/>
  <c r="AK570" i="1"/>
  <c r="AL570" i="1"/>
  <c r="AO570" i="1"/>
  <c r="AP570" i="1"/>
  <c r="AV570" i="1"/>
  <c r="AW570" i="1"/>
  <c r="AX570" i="1"/>
  <c r="BC570" i="1"/>
  <c r="BD570" i="1"/>
  <c r="BF570" i="1"/>
  <c r="BH570" i="1"/>
  <c r="BI570" i="1"/>
  <c r="BJ570" i="1"/>
  <c r="K571" i="1"/>
  <c r="K487" i="1" s="1"/>
  <c r="Z571" i="1"/>
  <c r="C21" i="4" s="1"/>
  <c r="AD571" i="1"/>
  <c r="C16" i="4" s="1"/>
  <c r="AE571" i="1"/>
  <c r="C17" i="4" s="1"/>
  <c r="AF571" i="1"/>
  <c r="C18" i="4" s="1"/>
  <c r="AG571" i="1"/>
  <c r="C19" i="4" s="1"/>
  <c r="AH571" i="1"/>
  <c r="C20" i="4" s="1"/>
  <c r="AJ571" i="1"/>
  <c r="C27" i="4" s="1"/>
  <c r="AK571" i="1"/>
  <c r="C28" i="4" s="1"/>
  <c r="F28" i="4" s="1"/>
  <c r="AL571" i="1"/>
  <c r="AU487" i="1" s="1"/>
  <c r="AO571" i="1"/>
  <c r="I571" i="1" s="1"/>
  <c r="I487" i="1" s="1"/>
  <c r="E47" i="2" s="1"/>
  <c r="AP571" i="1"/>
  <c r="AX571" i="1" s="1"/>
  <c r="BD571" i="1"/>
  <c r="BF571" i="1"/>
  <c r="BH571" i="1"/>
  <c r="AB571" i="1" s="1"/>
  <c r="BJ571" i="1"/>
  <c r="I572" i="1"/>
  <c r="J572" i="1"/>
  <c r="K572" i="1"/>
  <c r="Z572" i="1"/>
  <c r="AB572" i="1"/>
  <c r="AC572" i="1"/>
  <c r="AD572" i="1"/>
  <c r="AE572" i="1"/>
  <c r="AF572" i="1"/>
  <c r="AG572" i="1"/>
  <c r="AH572" i="1"/>
  <c r="AJ572" i="1"/>
  <c r="AK572" i="1"/>
  <c r="AL572" i="1"/>
  <c r="AO572" i="1"/>
  <c r="AP572" i="1"/>
  <c r="AV572" i="1"/>
  <c r="AW572" i="1"/>
  <c r="AX572" i="1"/>
  <c r="BC572" i="1"/>
  <c r="BD572" i="1"/>
  <c r="BF572" i="1"/>
  <c r="BH572" i="1"/>
  <c r="BI572" i="1"/>
  <c r="BJ572" i="1"/>
  <c r="I573" i="1"/>
  <c r="J573" i="1"/>
  <c r="K573" i="1"/>
  <c r="Z573" i="1"/>
  <c r="AB573" i="1"/>
  <c r="AC573" i="1"/>
  <c r="AD573" i="1"/>
  <c r="AE573" i="1"/>
  <c r="AF573" i="1"/>
  <c r="AG573" i="1"/>
  <c r="AH573" i="1"/>
  <c r="AJ573" i="1"/>
  <c r="AK573" i="1"/>
  <c r="AL573" i="1"/>
  <c r="AO573" i="1"/>
  <c r="AP573" i="1"/>
  <c r="AV573" i="1"/>
  <c r="AW573" i="1"/>
  <c r="AX573" i="1"/>
  <c r="BC573" i="1"/>
  <c r="BD573" i="1"/>
  <c r="BF573" i="1"/>
  <c r="BH573" i="1"/>
  <c r="BI573" i="1"/>
  <c r="BJ573" i="1"/>
  <c r="I574" i="1"/>
  <c r="J574" i="1"/>
  <c r="K574" i="1"/>
  <c r="Z574" i="1"/>
  <c r="AB574" i="1"/>
  <c r="AC574" i="1"/>
  <c r="AD574" i="1"/>
  <c r="AE574" i="1"/>
  <c r="AF574" i="1"/>
  <c r="AG574" i="1"/>
  <c r="AH574" i="1"/>
  <c r="AJ574" i="1"/>
  <c r="AK574" i="1"/>
  <c r="AL574" i="1"/>
  <c r="AO574" i="1"/>
  <c r="AP574" i="1"/>
  <c r="AV574" i="1"/>
  <c r="AW574" i="1"/>
  <c r="AX574" i="1"/>
  <c r="BC574" i="1"/>
  <c r="BD574" i="1"/>
  <c r="BF574" i="1"/>
  <c r="BH574" i="1"/>
  <c r="BI574" i="1"/>
  <c r="BJ574" i="1"/>
  <c r="I575" i="1"/>
  <c r="J575" i="1"/>
  <c r="K575" i="1"/>
  <c r="Z575" i="1"/>
  <c r="AB575" i="1"/>
  <c r="AC575" i="1"/>
  <c r="AD575" i="1"/>
  <c r="AE575" i="1"/>
  <c r="AF575" i="1"/>
  <c r="AG575" i="1"/>
  <c r="AH575" i="1"/>
  <c r="AJ575" i="1"/>
  <c r="AK575" i="1"/>
  <c r="AL575" i="1"/>
  <c r="AO575" i="1"/>
  <c r="AP575" i="1"/>
  <c r="AV575" i="1"/>
  <c r="AW575" i="1"/>
  <c r="AX575" i="1"/>
  <c r="BC575" i="1"/>
  <c r="BD575" i="1"/>
  <c r="BF575" i="1"/>
  <c r="BH575" i="1"/>
  <c r="BI575" i="1"/>
  <c r="BJ575" i="1"/>
  <c r="I576" i="1"/>
  <c r="J576" i="1"/>
  <c r="K576" i="1"/>
  <c r="Z576" i="1"/>
  <c r="AB576" i="1"/>
  <c r="AC576" i="1"/>
  <c r="AD576" i="1"/>
  <c r="AE576" i="1"/>
  <c r="AF576" i="1"/>
  <c r="AG576" i="1"/>
  <c r="AH576" i="1"/>
  <c r="AJ576" i="1"/>
  <c r="AK576" i="1"/>
  <c r="AL576" i="1"/>
  <c r="AO576" i="1"/>
  <c r="AP576" i="1"/>
  <c r="AV576" i="1"/>
  <c r="AW576" i="1"/>
  <c r="AX576" i="1"/>
  <c r="BC576" i="1"/>
  <c r="BD576" i="1"/>
  <c r="BF576" i="1"/>
  <c r="BH576" i="1"/>
  <c r="BI576" i="1"/>
  <c r="BJ576" i="1"/>
  <c r="I577" i="1"/>
  <c r="J577" i="1"/>
  <c r="K577" i="1"/>
  <c r="Z577" i="1"/>
  <c r="AB577" i="1"/>
  <c r="AC577" i="1"/>
  <c r="AD577" i="1"/>
  <c r="AE577" i="1"/>
  <c r="AF577" i="1"/>
  <c r="AG577" i="1"/>
  <c r="AH577" i="1"/>
  <c r="AJ577" i="1"/>
  <c r="AK577" i="1"/>
  <c r="AL577" i="1"/>
  <c r="AO577" i="1"/>
  <c r="AP577" i="1"/>
  <c r="AV577" i="1"/>
  <c r="AW577" i="1"/>
  <c r="AX577" i="1"/>
  <c r="BC577" i="1"/>
  <c r="BD577" i="1"/>
  <c r="BF577" i="1"/>
  <c r="BH577" i="1"/>
  <c r="BI577" i="1"/>
  <c r="BJ577" i="1"/>
  <c r="I578" i="1"/>
  <c r="J578" i="1"/>
  <c r="K578" i="1"/>
  <c r="Z578" i="1"/>
  <c r="AB578" i="1"/>
  <c r="AC578" i="1"/>
  <c r="AD578" i="1"/>
  <c r="AE578" i="1"/>
  <c r="AF578" i="1"/>
  <c r="AG578" i="1"/>
  <c r="AH578" i="1"/>
  <c r="AJ578" i="1"/>
  <c r="AK578" i="1"/>
  <c r="AL578" i="1"/>
  <c r="AO578" i="1"/>
  <c r="AP578" i="1"/>
  <c r="AV578" i="1"/>
  <c r="AW578" i="1"/>
  <c r="AX578" i="1"/>
  <c r="BC578" i="1"/>
  <c r="BD578" i="1"/>
  <c r="BF578" i="1"/>
  <c r="BH578" i="1"/>
  <c r="BI578" i="1"/>
  <c r="BJ578" i="1"/>
  <c r="I579" i="1"/>
  <c r="J579" i="1"/>
  <c r="K579" i="1"/>
  <c r="Z579" i="1"/>
  <c r="AB579" i="1"/>
  <c r="AC579" i="1"/>
  <c r="AD579" i="1"/>
  <c r="AE579" i="1"/>
  <c r="AF579" i="1"/>
  <c r="AG579" i="1"/>
  <c r="AH579" i="1"/>
  <c r="AJ579" i="1"/>
  <c r="AK579" i="1"/>
  <c r="AL579" i="1"/>
  <c r="AO579" i="1"/>
  <c r="AP579" i="1"/>
  <c r="AV579" i="1"/>
  <c r="AW579" i="1"/>
  <c r="AX579" i="1"/>
  <c r="BC579" i="1"/>
  <c r="BD579" i="1"/>
  <c r="BF579" i="1"/>
  <c r="BH579" i="1"/>
  <c r="BI579" i="1"/>
  <c r="BJ579" i="1"/>
  <c r="I580" i="1"/>
  <c r="J580" i="1"/>
  <c r="K580" i="1"/>
  <c r="Z580" i="1"/>
  <c r="AB580" i="1"/>
  <c r="AC580" i="1"/>
  <c r="AD580" i="1"/>
  <c r="AE580" i="1"/>
  <c r="AF580" i="1"/>
  <c r="AG580" i="1"/>
  <c r="AH580" i="1"/>
  <c r="AJ580" i="1"/>
  <c r="AK580" i="1"/>
  <c r="AL580" i="1"/>
  <c r="AO580" i="1"/>
  <c r="AP580" i="1"/>
  <c r="AV580" i="1"/>
  <c r="AW580" i="1"/>
  <c r="AX580" i="1"/>
  <c r="BC580" i="1"/>
  <c r="BD580" i="1"/>
  <c r="BF580" i="1"/>
  <c r="BH580" i="1"/>
  <c r="BI580" i="1"/>
  <c r="BJ580" i="1"/>
  <c r="I581" i="1"/>
  <c r="J581" i="1"/>
  <c r="K581" i="1"/>
  <c r="Z581" i="1"/>
  <c r="AB581" i="1"/>
  <c r="AC581" i="1"/>
  <c r="AD581" i="1"/>
  <c r="AE581" i="1"/>
  <c r="AF581" i="1"/>
  <c r="AG581" i="1"/>
  <c r="AH581" i="1"/>
  <c r="AJ581" i="1"/>
  <c r="AK581" i="1"/>
  <c r="AL581" i="1"/>
  <c r="AO581" i="1"/>
  <c r="AP581" i="1"/>
  <c r="AV581" i="1"/>
  <c r="AW581" i="1"/>
  <c r="AX581" i="1"/>
  <c r="BC581" i="1"/>
  <c r="BD581" i="1"/>
  <c r="BF581" i="1"/>
  <c r="BH581" i="1"/>
  <c r="BI581" i="1"/>
  <c r="BJ581" i="1"/>
  <c r="I582" i="1"/>
  <c r="J582" i="1"/>
  <c r="K582" i="1"/>
  <c r="Z582" i="1"/>
  <c r="AB582" i="1"/>
  <c r="AC582" i="1"/>
  <c r="AD582" i="1"/>
  <c r="AE582" i="1"/>
  <c r="AF582" i="1"/>
  <c r="AG582" i="1"/>
  <c r="AH582" i="1"/>
  <c r="AJ582" i="1"/>
  <c r="AK582" i="1"/>
  <c r="AL582" i="1"/>
  <c r="AO582" i="1"/>
  <c r="AP582" i="1"/>
  <c r="AV582" i="1"/>
  <c r="AW582" i="1"/>
  <c r="AX582" i="1"/>
  <c r="BC582" i="1"/>
  <c r="BD582" i="1"/>
  <c r="BF582" i="1"/>
  <c r="BH582" i="1"/>
  <c r="BI582" i="1"/>
  <c r="BJ582" i="1"/>
  <c r="I583" i="1"/>
  <c r="J583" i="1"/>
  <c r="K583" i="1"/>
  <c r="Z583" i="1"/>
  <c r="AB583" i="1"/>
  <c r="AC583" i="1"/>
  <c r="AD583" i="1"/>
  <c r="AE583" i="1"/>
  <c r="AF583" i="1"/>
  <c r="AG583" i="1"/>
  <c r="AH583" i="1"/>
  <c r="AJ583" i="1"/>
  <c r="AK583" i="1"/>
  <c r="AL583" i="1"/>
  <c r="AO583" i="1"/>
  <c r="AP583" i="1"/>
  <c r="AV583" i="1"/>
  <c r="AW583" i="1"/>
  <c r="AX583" i="1"/>
  <c r="BC583" i="1"/>
  <c r="BD583" i="1"/>
  <c r="BF583" i="1"/>
  <c r="BH583" i="1"/>
  <c r="BI583" i="1"/>
  <c r="BJ583" i="1"/>
  <c r="I584" i="1"/>
  <c r="J584" i="1"/>
  <c r="K584" i="1"/>
  <c r="Z584" i="1"/>
  <c r="AB584" i="1"/>
  <c r="AC584" i="1"/>
  <c r="AD584" i="1"/>
  <c r="AE584" i="1"/>
  <c r="AF584" i="1"/>
  <c r="AG584" i="1"/>
  <c r="AH584" i="1"/>
  <c r="AJ584" i="1"/>
  <c r="AK584" i="1"/>
  <c r="AL584" i="1"/>
  <c r="AO584" i="1"/>
  <c r="AP584" i="1"/>
  <c r="AV584" i="1"/>
  <c r="AW584" i="1"/>
  <c r="AX584" i="1"/>
  <c r="BC584" i="1"/>
  <c r="BD584" i="1"/>
  <c r="BF584" i="1"/>
  <c r="BH584" i="1"/>
  <c r="BI584" i="1"/>
  <c r="BJ584" i="1"/>
  <c r="I585" i="1"/>
  <c r="J585" i="1"/>
  <c r="K585" i="1"/>
  <c r="Z585" i="1"/>
  <c r="AB585" i="1"/>
  <c r="AC585" i="1"/>
  <c r="AD585" i="1"/>
  <c r="AE585" i="1"/>
  <c r="AF585" i="1"/>
  <c r="AG585" i="1"/>
  <c r="AH585" i="1"/>
  <c r="AJ585" i="1"/>
  <c r="AK585" i="1"/>
  <c r="AL585" i="1"/>
  <c r="AO585" i="1"/>
  <c r="AP585" i="1"/>
  <c r="AV585" i="1"/>
  <c r="AW585" i="1"/>
  <c r="AX585" i="1"/>
  <c r="BC585" i="1"/>
  <c r="BD585" i="1"/>
  <c r="BF585" i="1"/>
  <c r="BH585" i="1"/>
  <c r="BI585" i="1"/>
  <c r="BJ585" i="1"/>
  <c r="I586" i="1"/>
  <c r="J586" i="1"/>
  <c r="K586" i="1"/>
  <c r="Z586" i="1"/>
  <c r="AB586" i="1"/>
  <c r="AC586" i="1"/>
  <c r="AD586" i="1"/>
  <c r="AE586" i="1"/>
  <c r="AF586" i="1"/>
  <c r="AG586" i="1"/>
  <c r="AH586" i="1"/>
  <c r="AJ586" i="1"/>
  <c r="AK586" i="1"/>
  <c r="AL586" i="1"/>
  <c r="AO586" i="1"/>
  <c r="AP586" i="1"/>
  <c r="AV586" i="1"/>
  <c r="AW586" i="1"/>
  <c r="AX586" i="1"/>
  <c r="BC586" i="1"/>
  <c r="BD586" i="1"/>
  <c r="BF586" i="1"/>
  <c r="BH586" i="1"/>
  <c r="BI586" i="1"/>
  <c r="BJ586" i="1"/>
  <c r="I587" i="1"/>
  <c r="J587" i="1"/>
  <c r="K587" i="1"/>
  <c r="Z587" i="1"/>
  <c r="AB587" i="1"/>
  <c r="AC587" i="1"/>
  <c r="AD587" i="1"/>
  <c r="AE587" i="1"/>
  <c r="AF587" i="1"/>
  <c r="AG587" i="1"/>
  <c r="AH587" i="1"/>
  <c r="AJ587" i="1"/>
  <c r="AK587" i="1"/>
  <c r="AL587" i="1"/>
  <c r="AO587" i="1"/>
  <c r="AP587" i="1"/>
  <c r="AV587" i="1"/>
  <c r="AW587" i="1"/>
  <c r="AX587" i="1"/>
  <c r="BC587" i="1"/>
  <c r="BD587" i="1"/>
  <c r="BF587" i="1"/>
  <c r="BH587" i="1"/>
  <c r="BI587" i="1"/>
  <c r="BJ587" i="1"/>
  <c r="I588" i="1"/>
  <c r="J588" i="1"/>
  <c r="K588" i="1"/>
  <c r="Z588" i="1"/>
  <c r="AB588" i="1"/>
  <c r="AC588" i="1"/>
  <c r="AD588" i="1"/>
  <c r="AE588" i="1"/>
  <c r="AF588" i="1"/>
  <c r="AG588" i="1"/>
  <c r="AH588" i="1"/>
  <c r="AJ588" i="1"/>
  <c r="AK588" i="1"/>
  <c r="AL588" i="1"/>
  <c r="AO588" i="1"/>
  <c r="AP588" i="1"/>
  <c r="AV588" i="1"/>
  <c r="AW588" i="1"/>
  <c r="AX588" i="1"/>
  <c r="BC588" i="1"/>
  <c r="BD588" i="1"/>
  <c r="BF588" i="1"/>
  <c r="BH588" i="1"/>
  <c r="BI588" i="1"/>
  <c r="BJ588" i="1"/>
  <c r="I589" i="1"/>
  <c r="J589" i="1"/>
  <c r="K589" i="1"/>
  <c r="Z589" i="1"/>
  <c r="AB589" i="1"/>
  <c r="AC589" i="1"/>
  <c r="AD589" i="1"/>
  <c r="AE589" i="1"/>
  <c r="AF589" i="1"/>
  <c r="AG589" i="1"/>
  <c r="AH589" i="1"/>
  <c r="AJ589" i="1"/>
  <c r="AK589" i="1"/>
  <c r="AL589" i="1"/>
  <c r="AO589" i="1"/>
  <c r="AP589" i="1"/>
  <c r="AV589" i="1"/>
  <c r="AW589" i="1"/>
  <c r="AX589" i="1"/>
  <c r="BC589" i="1"/>
  <c r="BD589" i="1"/>
  <c r="BF589" i="1"/>
  <c r="BH589" i="1"/>
  <c r="BI589" i="1"/>
  <c r="BJ589" i="1"/>
  <c r="I590" i="1"/>
  <c r="J590" i="1"/>
  <c r="K590" i="1"/>
  <c r="Z590" i="1"/>
  <c r="AB590" i="1"/>
  <c r="AC590" i="1"/>
  <c r="AD590" i="1"/>
  <c r="AE590" i="1"/>
  <c r="AF590" i="1"/>
  <c r="AG590" i="1"/>
  <c r="AH590" i="1"/>
  <c r="AJ590" i="1"/>
  <c r="AK590" i="1"/>
  <c r="AL590" i="1"/>
  <c r="AO590" i="1"/>
  <c r="AP590" i="1"/>
  <c r="AV590" i="1"/>
  <c r="AW590" i="1"/>
  <c r="AX590" i="1"/>
  <c r="BC590" i="1"/>
  <c r="BD590" i="1"/>
  <c r="BF590" i="1"/>
  <c r="BH590" i="1"/>
  <c r="BI590" i="1"/>
  <c r="BJ590" i="1"/>
  <c r="I591" i="1"/>
  <c r="J591" i="1"/>
  <c r="K591" i="1"/>
  <c r="Z591" i="1"/>
  <c r="AB591" i="1"/>
  <c r="AC591" i="1"/>
  <c r="AD591" i="1"/>
  <c r="AE591" i="1"/>
  <c r="AF591" i="1"/>
  <c r="AG591" i="1"/>
  <c r="AH591" i="1"/>
  <c r="AJ591" i="1"/>
  <c r="AK591" i="1"/>
  <c r="AL591" i="1"/>
  <c r="AO591" i="1"/>
  <c r="AP591" i="1"/>
  <c r="AV591" i="1"/>
  <c r="AW591" i="1"/>
  <c r="AX591" i="1"/>
  <c r="BC591" i="1"/>
  <c r="BD591" i="1"/>
  <c r="BF591" i="1"/>
  <c r="BH591" i="1"/>
  <c r="BI591" i="1"/>
  <c r="BJ591" i="1"/>
  <c r="I592" i="1"/>
  <c r="J592" i="1"/>
  <c r="K592" i="1"/>
  <c r="Z592" i="1"/>
  <c r="AB592" i="1"/>
  <c r="AC592" i="1"/>
  <c r="AD592" i="1"/>
  <c r="AE592" i="1"/>
  <c r="AF592" i="1"/>
  <c r="AG592" i="1"/>
  <c r="AH592" i="1"/>
  <c r="AJ592" i="1"/>
  <c r="AK592" i="1"/>
  <c r="AL592" i="1"/>
  <c r="AO592" i="1"/>
  <c r="AP592" i="1"/>
  <c r="AV592" i="1"/>
  <c r="AW592" i="1"/>
  <c r="AX592" i="1"/>
  <c r="BC592" i="1"/>
  <c r="BD592" i="1"/>
  <c r="BF592" i="1"/>
  <c r="BH592" i="1"/>
  <c r="BI592" i="1"/>
  <c r="BJ592" i="1"/>
  <c r="I593" i="1"/>
  <c r="J593" i="1"/>
  <c r="K593" i="1"/>
  <c r="Z593" i="1"/>
  <c r="AB593" i="1"/>
  <c r="AC593" i="1"/>
  <c r="AD593" i="1"/>
  <c r="AE593" i="1"/>
  <c r="AF593" i="1"/>
  <c r="AG593" i="1"/>
  <c r="AH593" i="1"/>
  <c r="AJ593" i="1"/>
  <c r="AK593" i="1"/>
  <c r="AL593" i="1"/>
  <c r="AO593" i="1"/>
  <c r="AP593" i="1"/>
  <c r="AV593" i="1"/>
  <c r="AW593" i="1"/>
  <c r="AX593" i="1"/>
  <c r="BC593" i="1"/>
  <c r="BD593" i="1"/>
  <c r="BF593" i="1"/>
  <c r="BH593" i="1"/>
  <c r="BI593" i="1"/>
  <c r="BJ593" i="1"/>
  <c r="I594" i="1"/>
  <c r="J594" i="1"/>
  <c r="K594" i="1"/>
  <c r="Z594" i="1"/>
  <c r="AB594" i="1"/>
  <c r="AC594" i="1"/>
  <c r="AD594" i="1"/>
  <c r="AE594" i="1"/>
  <c r="AF594" i="1"/>
  <c r="AG594" i="1"/>
  <c r="AH594" i="1"/>
  <c r="AJ594" i="1"/>
  <c r="AK594" i="1"/>
  <c r="AL594" i="1"/>
  <c r="AO594" i="1"/>
  <c r="AP594" i="1"/>
  <c r="AV594" i="1"/>
  <c r="AW594" i="1"/>
  <c r="AX594" i="1"/>
  <c r="BC594" i="1"/>
  <c r="BD594" i="1"/>
  <c r="BF594" i="1"/>
  <c r="BH594" i="1"/>
  <c r="BI594" i="1"/>
  <c r="BJ594" i="1"/>
  <c r="I595" i="1"/>
  <c r="J595" i="1"/>
  <c r="K595" i="1"/>
  <c r="Z595" i="1"/>
  <c r="AB595" i="1"/>
  <c r="AC595" i="1"/>
  <c r="AD595" i="1"/>
  <c r="AE595" i="1"/>
  <c r="AF595" i="1"/>
  <c r="AG595" i="1"/>
  <c r="AH595" i="1"/>
  <c r="AJ595" i="1"/>
  <c r="AK595" i="1"/>
  <c r="AL595" i="1"/>
  <c r="AO595" i="1"/>
  <c r="AP595" i="1"/>
  <c r="AV595" i="1"/>
  <c r="AW595" i="1"/>
  <c r="AX595" i="1"/>
  <c r="BC595" i="1"/>
  <c r="BD595" i="1"/>
  <c r="BF595" i="1"/>
  <c r="BH595" i="1"/>
  <c r="BI595" i="1"/>
  <c r="BJ595" i="1"/>
  <c r="I596" i="1"/>
  <c r="J596" i="1"/>
  <c r="K596" i="1"/>
  <c r="Z596" i="1"/>
  <c r="AB596" i="1"/>
  <c r="AC596" i="1"/>
  <c r="AD596" i="1"/>
  <c r="AE596" i="1"/>
  <c r="AF596" i="1"/>
  <c r="AG596" i="1"/>
  <c r="AH596" i="1"/>
  <c r="AJ596" i="1"/>
  <c r="AK596" i="1"/>
  <c r="AL596" i="1"/>
  <c r="AO596" i="1"/>
  <c r="AP596" i="1"/>
  <c r="AV596" i="1"/>
  <c r="AW596" i="1"/>
  <c r="AX596" i="1"/>
  <c r="BC596" i="1"/>
  <c r="BD596" i="1"/>
  <c r="BF596" i="1"/>
  <c r="BH596" i="1"/>
  <c r="BI596" i="1"/>
  <c r="BJ596" i="1"/>
  <c r="I597" i="1"/>
  <c r="J597" i="1"/>
  <c r="K597" i="1"/>
  <c r="Z597" i="1"/>
  <c r="AB597" i="1"/>
  <c r="AC597" i="1"/>
  <c r="AD597" i="1"/>
  <c r="AE597" i="1"/>
  <c r="AF597" i="1"/>
  <c r="AG597" i="1"/>
  <c r="AH597" i="1"/>
  <c r="AJ597" i="1"/>
  <c r="AK597" i="1"/>
  <c r="AL597" i="1"/>
  <c r="AO597" i="1"/>
  <c r="AP597" i="1"/>
  <c r="AV597" i="1"/>
  <c r="AW597" i="1"/>
  <c r="AX597" i="1"/>
  <c r="BC597" i="1"/>
  <c r="BD597" i="1"/>
  <c r="BF597" i="1"/>
  <c r="BH597" i="1"/>
  <c r="BI597" i="1"/>
  <c r="BJ597" i="1"/>
  <c r="I598" i="1"/>
  <c r="J598" i="1"/>
  <c r="K598" i="1"/>
  <c r="Z598" i="1"/>
  <c r="AB598" i="1"/>
  <c r="AC598" i="1"/>
  <c r="AD598" i="1"/>
  <c r="AE598" i="1"/>
  <c r="AF598" i="1"/>
  <c r="AG598" i="1"/>
  <c r="AH598" i="1"/>
  <c r="AJ598" i="1"/>
  <c r="AK598" i="1"/>
  <c r="AL598" i="1"/>
  <c r="AO598" i="1"/>
  <c r="AP598" i="1"/>
  <c r="AV598" i="1"/>
  <c r="AW598" i="1"/>
  <c r="AX598" i="1"/>
  <c r="BC598" i="1"/>
  <c r="BD598" i="1"/>
  <c r="BF598" i="1"/>
  <c r="BH598" i="1"/>
  <c r="BI598" i="1"/>
  <c r="BJ598" i="1"/>
  <c r="I599" i="1"/>
  <c r="J599" i="1"/>
  <c r="K599" i="1"/>
  <c r="Z599" i="1"/>
  <c r="AB599" i="1"/>
  <c r="AC599" i="1"/>
  <c r="AD599" i="1"/>
  <c r="AE599" i="1"/>
  <c r="AF599" i="1"/>
  <c r="AG599" i="1"/>
  <c r="AH599" i="1"/>
  <c r="AJ599" i="1"/>
  <c r="AK599" i="1"/>
  <c r="AL599" i="1"/>
  <c r="AO599" i="1"/>
  <c r="AP599" i="1"/>
  <c r="AV599" i="1"/>
  <c r="AW599" i="1"/>
  <c r="AX599" i="1"/>
  <c r="BC599" i="1"/>
  <c r="BD599" i="1"/>
  <c r="BF599" i="1"/>
  <c r="BH599" i="1"/>
  <c r="BI599" i="1"/>
  <c r="BJ599" i="1"/>
  <c r="I600" i="1"/>
  <c r="J600" i="1"/>
  <c r="K600" i="1"/>
  <c r="Z600" i="1"/>
  <c r="AB600" i="1"/>
  <c r="AC600" i="1"/>
  <c r="AD600" i="1"/>
  <c r="AE600" i="1"/>
  <c r="AF600" i="1"/>
  <c r="AG600" i="1"/>
  <c r="AH600" i="1"/>
  <c r="AJ600" i="1"/>
  <c r="AK600" i="1"/>
  <c r="AL600" i="1"/>
  <c r="AO600" i="1"/>
  <c r="AP600" i="1"/>
  <c r="AV600" i="1"/>
  <c r="AW600" i="1"/>
  <c r="AX600" i="1"/>
  <c r="BC600" i="1"/>
  <c r="BD600" i="1"/>
  <c r="BF600" i="1"/>
  <c r="BH600" i="1"/>
  <c r="BI600" i="1"/>
  <c r="BJ600" i="1"/>
  <c r="I601" i="1"/>
  <c r="J601" i="1"/>
  <c r="K601" i="1"/>
  <c r="Z601" i="1"/>
  <c r="AB601" i="1"/>
  <c r="AC601" i="1"/>
  <c r="AD601" i="1"/>
  <c r="AE601" i="1"/>
  <c r="AF601" i="1"/>
  <c r="AG601" i="1"/>
  <c r="AH601" i="1"/>
  <c r="AJ601" i="1"/>
  <c r="AK601" i="1"/>
  <c r="AL601" i="1"/>
  <c r="AO601" i="1"/>
  <c r="AP601" i="1"/>
  <c r="AV601" i="1"/>
  <c r="AW601" i="1"/>
  <c r="AX601" i="1"/>
  <c r="BC601" i="1"/>
  <c r="BD601" i="1"/>
  <c r="BF601" i="1"/>
  <c r="BH601" i="1"/>
  <c r="BI601" i="1"/>
  <c r="BJ601" i="1"/>
  <c r="I602" i="1"/>
  <c r="J602" i="1"/>
  <c r="K602" i="1"/>
  <c r="Z602" i="1"/>
  <c r="AB602" i="1"/>
  <c r="AC602" i="1"/>
  <c r="AD602" i="1"/>
  <c r="AE602" i="1"/>
  <c r="AF602" i="1"/>
  <c r="AG602" i="1"/>
  <c r="AH602" i="1"/>
  <c r="AJ602" i="1"/>
  <c r="AK602" i="1"/>
  <c r="AL602" i="1"/>
  <c r="AO602" i="1"/>
  <c r="AP602" i="1"/>
  <c r="AV602" i="1"/>
  <c r="AW602" i="1"/>
  <c r="AX602" i="1"/>
  <c r="BC602" i="1"/>
  <c r="BD602" i="1"/>
  <c r="BF602" i="1"/>
  <c r="BH602" i="1"/>
  <c r="BI602" i="1"/>
  <c r="BJ602" i="1"/>
  <c r="I603" i="1"/>
  <c r="J603" i="1"/>
  <c r="K603" i="1"/>
  <c r="Z603" i="1"/>
  <c r="AB603" i="1"/>
  <c r="AC603" i="1"/>
  <c r="AD603" i="1"/>
  <c r="AE603" i="1"/>
  <c r="AF603" i="1"/>
  <c r="AG603" i="1"/>
  <c r="AH603" i="1"/>
  <c r="AJ603" i="1"/>
  <c r="AK603" i="1"/>
  <c r="AL603" i="1"/>
  <c r="AO603" i="1"/>
  <c r="AP603" i="1"/>
  <c r="AV603" i="1"/>
  <c r="AW603" i="1"/>
  <c r="AX603" i="1"/>
  <c r="BC603" i="1"/>
  <c r="BD603" i="1"/>
  <c r="BF603" i="1"/>
  <c r="BH603" i="1"/>
  <c r="BI603" i="1"/>
  <c r="BJ603" i="1"/>
  <c r="I604" i="1"/>
  <c r="J604" i="1"/>
  <c r="K604" i="1"/>
  <c r="Z604" i="1"/>
  <c r="AB604" i="1"/>
  <c r="AC604" i="1"/>
  <c r="AD604" i="1"/>
  <c r="AE604" i="1"/>
  <c r="AF604" i="1"/>
  <c r="AG604" i="1"/>
  <c r="AH604" i="1"/>
  <c r="AJ604" i="1"/>
  <c r="AK604" i="1"/>
  <c r="AL604" i="1"/>
  <c r="AO604" i="1"/>
  <c r="AP604" i="1"/>
  <c r="AV604" i="1"/>
  <c r="AW604" i="1"/>
  <c r="AX604" i="1"/>
  <c r="BC604" i="1"/>
  <c r="BD604" i="1"/>
  <c r="BF604" i="1"/>
  <c r="BH604" i="1"/>
  <c r="BI604" i="1"/>
  <c r="BJ604" i="1"/>
  <c r="I605" i="1"/>
  <c r="J605" i="1"/>
  <c r="K605" i="1"/>
  <c r="Z605" i="1"/>
  <c r="AB605" i="1"/>
  <c r="AC605" i="1"/>
  <c r="AD605" i="1"/>
  <c r="AE605" i="1"/>
  <c r="AF605" i="1"/>
  <c r="AG605" i="1"/>
  <c r="AH605" i="1"/>
  <c r="AJ605" i="1"/>
  <c r="AK605" i="1"/>
  <c r="AL605" i="1"/>
  <c r="AO605" i="1"/>
  <c r="AP605" i="1"/>
  <c r="AV605" i="1"/>
  <c r="AW605" i="1"/>
  <c r="AX605" i="1"/>
  <c r="BC605" i="1"/>
  <c r="BD605" i="1"/>
  <c r="BF605" i="1"/>
  <c r="BH605" i="1"/>
  <c r="BI605" i="1"/>
  <c r="BJ605" i="1"/>
  <c r="I606" i="1"/>
  <c r="J606" i="1"/>
  <c r="K606" i="1"/>
  <c r="Z606" i="1"/>
  <c r="AB606" i="1"/>
  <c r="AC606" i="1"/>
  <c r="AD606" i="1"/>
  <c r="AE606" i="1"/>
  <c r="AF606" i="1"/>
  <c r="AG606" i="1"/>
  <c r="AH606" i="1"/>
  <c r="AJ606" i="1"/>
  <c r="AK606" i="1"/>
  <c r="AL606" i="1"/>
  <c r="AO606" i="1"/>
  <c r="AP606" i="1"/>
  <c r="AV606" i="1"/>
  <c r="AW606" i="1"/>
  <c r="AX606" i="1"/>
  <c r="BC606" i="1"/>
  <c r="BD606" i="1"/>
  <c r="BF606" i="1"/>
  <c r="BH606" i="1"/>
  <c r="BI606" i="1"/>
  <c r="BJ606" i="1"/>
  <c r="I607" i="1"/>
  <c r="J607" i="1"/>
  <c r="K607" i="1"/>
  <c r="Z607" i="1"/>
  <c r="AB607" i="1"/>
  <c r="AC607" i="1"/>
  <c r="AD607" i="1"/>
  <c r="AE607" i="1"/>
  <c r="AF607" i="1"/>
  <c r="AG607" i="1"/>
  <c r="AH607" i="1"/>
  <c r="AJ607" i="1"/>
  <c r="AK607" i="1"/>
  <c r="AL607" i="1"/>
  <c r="AO607" i="1"/>
  <c r="AP607" i="1"/>
  <c r="AV607" i="1"/>
  <c r="AW607" i="1"/>
  <c r="AX607" i="1"/>
  <c r="BC607" i="1"/>
  <c r="BD607" i="1"/>
  <c r="BF607" i="1"/>
  <c r="BH607" i="1"/>
  <c r="BI607" i="1"/>
  <c r="BJ607" i="1"/>
  <c r="I608" i="1"/>
  <c r="J608" i="1"/>
  <c r="K608" i="1"/>
  <c r="Z608" i="1"/>
  <c r="AB608" i="1"/>
  <c r="AC608" i="1"/>
  <c r="AD608" i="1"/>
  <c r="AE608" i="1"/>
  <c r="AF608" i="1"/>
  <c r="AG608" i="1"/>
  <c r="AH608" i="1"/>
  <c r="AJ608" i="1"/>
  <c r="AK608" i="1"/>
  <c r="AL608" i="1"/>
  <c r="AO608" i="1"/>
  <c r="AP608" i="1"/>
  <c r="AV608" i="1"/>
  <c r="AW608" i="1"/>
  <c r="AX608" i="1"/>
  <c r="BC608" i="1"/>
  <c r="BD608" i="1"/>
  <c r="BF608" i="1"/>
  <c r="BH608" i="1"/>
  <c r="BI608" i="1"/>
  <c r="BJ608" i="1"/>
  <c r="I609" i="1"/>
  <c r="J609" i="1"/>
  <c r="K609" i="1"/>
  <c r="Z609" i="1"/>
  <c r="AB609" i="1"/>
  <c r="AC609" i="1"/>
  <c r="AD609" i="1"/>
  <c r="AE609" i="1"/>
  <c r="AF609" i="1"/>
  <c r="AG609" i="1"/>
  <c r="AH609" i="1"/>
  <c r="AJ609" i="1"/>
  <c r="AK609" i="1"/>
  <c r="AL609" i="1"/>
  <c r="AO609" i="1"/>
  <c r="AP609" i="1"/>
  <c r="AV609" i="1"/>
  <c r="AW609" i="1"/>
  <c r="AX609" i="1"/>
  <c r="BC609" i="1"/>
  <c r="BD609" i="1"/>
  <c r="BF609" i="1"/>
  <c r="BH609" i="1"/>
  <c r="BI609" i="1"/>
  <c r="BJ609" i="1"/>
  <c r="I610" i="1"/>
  <c r="J610" i="1"/>
  <c r="K610" i="1"/>
  <c r="Z610" i="1"/>
  <c r="AB610" i="1"/>
  <c r="AC610" i="1"/>
  <c r="AD610" i="1"/>
  <c r="AE610" i="1"/>
  <c r="AF610" i="1"/>
  <c r="AG610" i="1"/>
  <c r="AH610" i="1"/>
  <c r="AJ610" i="1"/>
  <c r="AK610" i="1"/>
  <c r="AL610" i="1"/>
  <c r="AO610" i="1"/>
  <c r="AP610" i="1"/>
  <c r="AV610" i="1"/>
  <c r="AW610" i="1"/>
  <c r="AX610" i="1"/>
  <c r="BC610" i="1"/>
  <c r="BD610" i="1"/>
  <c r="BF610" i="1"/>
  <c r="BH610" i="1"/>
  <c r="BI610" i="1"/>
  <c r="BJ610" i="1"/>
  <c r="I611" i="1"/>
  <c r="J611" i="1"/>
  <c r="K611" i="1"/>
  <c r="Z611" i="1"/>
  <c r="AB611" i="1"/>
  <c r="AC611" i="1"/>
  <c r="AD611" i="1"/>
  <c r="AE611" i="1"/>
  <c r="AF611" i="1"/>
  <c r="AG611" i="1"/>
  <c r="AH611" i="1"/>
  <c r="AJ611" i="1"/>
  <c r="AK611" i="1"/>
  <c r="AL611" i="1"/>
  <c r="AO611" i="1"/>
  <c r="AP611" i="1"/>
  <c r="AV611" i="1"/>
  <c r="AW611" i="1"/>
  <c r="AX611" i="1"/>
  <c r="BC611" i="1"/>
  <c r="BD611" i="1"/>
  <c r="BF611" i="1"/>
  <c r="BH611" i="1"/>
  <c r="BI611" i="1"/>
  <c r="BJ611" i="1"/>
  <c r="I612" i="1"/>
  <c r="J612" i="1"/>
  <c r="K612" i="1"/>
  <c r="Z612" i="1"/>
  <c r="AB612" i="1"/>
  <c r="AC612" i="1"/>
  <c r="AD612" i="1"/>
  <c r="AE612" i="1"/>
  <c r="AF612" i="1"/>
  <c r="AG612" i="1"/>
  <c r="AH612" i="1"/>
  <c r="AJ612" i="1"/>
  <c r="AK612" i="1"/>
  <c r="AL612" i="1"/>
  <c r="AO612" i="1"/>
  <c r="AP612" i="1"/>
  <c r="AV612" i="1"/>
  <c r="AW612" i="1"/>
  <c r="AX612" i="1"/>
  <c r="BC612" i="1"/>
  <c r="BD612" i="1"/>
  <c r="BF612" i="1"/>
  <c r="BH612" i="1"/>
  <c r="BI612" i="1"/>
  <c r="BJ612" i="1"/>
  <c r="I613" i="1"/>
  <c r="J613" i="1"/>
  <c r="K613" i="1"/>
  <c r="Z613" i="1"/>
  <c r="AB613" i="1"/>
  <c r="AC613" i="1"/>
  <c r="AD613" i="1"/>
  <c r="AE613" i="1"/>
  <c r="AF613" i="1"/>
  <c r="AG613" i="1"/>
  <c r="AH613" i="1"/>
  <c r="AJ613" i="1"/>
  <c r="AK613" i="1"/>
  <c r="AL613" i="1"/>
  <c r="AO613" i="1"/>
  <c r="AP613" i="1"/>
  <c r="AV613" i="1"/>
  <c r="AW613" i="1"/>
  <c r="AX613" i="1"/>
  <c r="BC613" i="1"/>
  <c r="BD613" i="1"/>
  <c r="BF613" i="1"/>
  <c r="BH613" i="1"/>
  <c r="BI613" i="1"/>
  <c r="BJ613" i="1"/>
  <c r="I614" i="1"/>
  <c r="J614" i="1"/>
  <c r="K614" i="1"/>
  <c r="Z614" i="1"/>
  <c r="AB614" i="1"/>
  <c r="AC614" i="1"/>
  <c r="AD614" i="1"/>
  <c r="AE614" i="1"/>
  <c r="AF614" i="1"/>
  <c r="AG614" i="1"/>
  <c r="AH614" i="1"/>
  <c r="AJ614" i="1"/>
  <c r="AK614" i="1"/>
  <c r="AL614" i="1"/>
  <c r="AO614" i="1"/>
  <c r="AP614" i="1"/>
  <c r="AV614" i="1"/>
  <c r="AW614" i="1"/>
  <c r="AX614" i="1"/>
  <c r="BC614" i="1"/>
  <c r="BD614" i="1"/>
  <c r="BF614" i="1"/>
  <c r="BH614" i="1"/>
  <c r="BI614" i="1"/>
  <c r="BJ614" i="1"/>
  <c r="I615" i="1"/>
  <c r="J615" i="1"/>
  <c r="K615" i="1"/>
  <c r="Z615" i="1"/>
  <c r="AB615" i="1"/>
  <c r="AC615" i="1"/>
  <c r="AD615" i="1"/>
  <c r="AE615" i="1"/>
  <c r="AF615" i="1"/>
  <c r="AG615" i="1"/>
  <c r="AH615" i="1"/>
  <c r="AJ615" i="1"/>
  <c r="AK615" i="1"/>
  <c r="AL615" i="1"/>
  <c r="AO615" i="1"/>
  <c r="AP615" i="1"/>
  <c r="AV615" i="1"/>
  <c r="AW615" i="1"/>
  <c r="AX615" i="1"/>
  <c r="BC615" i="1"/>
  <c r="BD615" i="1"/>
  <c r="BF615" i="1"/>
  <c r="BH615" i="1"/>
  <c r="BI615" i="1"/>
  <c r="BJ615" i="1"/>
  <c r="I616" i="1"/>
  <c r="J616" i="1"/>
  <c r="K616" i="1"/>
  <c r="Z616" i="1"/>
  <c r="AB616" i="1"/>
  <c r="AC616" i="1"/>
  <c r="AD616" i="1"/>
  <c r="AE616" i="1"/>
  <c r="AF616" i="1"/>
  <c r="AG616" i="1"/>
  <c r="AH616" i="1"/>
  <c r="AJ616" i="1"/>
  <c r="AK616" i="1"/>
  <c r="AL616" i="1"/>
  <c r="AO616" i="1"/>
  <c r="AP616" i="1"/>
  <c r="AV616" i="1"/>
  <c r="AW616" i="1"/>
  <c r="AX616" i="1"/>
  <c r="BC616" i="1"/>
  <c r="BD616" i="1"/>
  <c r="BF616" i="1"/>
  <c r="BH616" i="1"/>
  <c r="BI616" i="1"/>
  <c r="BJ616" i="1"/>
  <c r="I617" i="1"/>
  <c r="J617" i="1"/>
  <c r="K617" i="1"/>
  <c r="AS617" i="1"/>
  <c r="AT617" i="1"/>
  <c r="AU617" i="1"/>
  <c r="I618" i="1"/>
  <c r="J618" i="1"/>
  <c r="K618" i="1"/>
  <c r="Z618" i="1"/>
  <c r="AB618" i="1"/>
  <c r="AC618" i="1"/>
  <c r="AD618" i="1"/>
  <c r="AE618" i="1"/>
  <c r="AF618" i="1"/>
  <c r="AG618" i="1"/>
  <c r="AH618" i="1"/>
  <c r="AJ618" i="1"/>
  <c r="AK618" i="1"/>
  <c r="AL618" i="1"/>
  <c r="AO618" i="1"/>
  <c r="AP618" i="1"/>
  <c r="AV618" i="1"/>
  <c r="AW618" i="1"/>
  <c r="AX618" i="1"/>
  <c r="BC618" i="1"/>
  <c r="BD618" i="1"/>
  <c r="BF618" i="1"/>
  <c r="BH618" i="1"/>
  <c r="BI618" i="1"/>
  <c r="BJ618" i="1"/>
  <c r="I619" i="1"/>
  <c r="J619" i="1"/>
  <c r="K619" i="1"/>
  <c r="Z619" i="1"/>
  <c r="AB619" i="1"/>
  <c r="AC619" i="1"/>
  <c r="AD619" i="1"/>
  <c r="AE619" i="1"/>
  <c r="AF619" i="1"/>
  <c r="AG619" i="1"/>
  <c r="AH619" i="1"/>
  <c r="AJ619" i="1"/>
  <c r="AK619" i="1"/>
  <c r="AL619" i="1"/>
  <c r="AO619" i="1"/>
  <c r="AP619" i="1"/>
  <c r="AV619" i="1"/>
  <c r="AW619" i="1"/>
  <c r="AX619" i="1"/>
  <c r="BC619" i="1"/>
  <c r="BD619" i="1"/>
  <c r="BF619" i="1"/>
  <c r="BH619" i="1"/>
  <c r="BI619" i="1"/>
  <c r="BJ619" i="1"/>
  <c r="I620" i="1"/>
  <c r="J620" i="1"/>
  <c r="K620" i="1"/>
  <c r="Z620" i="1"/>
  <c r="AB620" i="1"/>
  <c r="AC620" i="1"/>
  <c r="AD620" i="1"/>
  <c r="AE620" i="1"/>
  <c r="AF620" i="1"/>
  <c r="AG620" i="1"/>
  <c r="AH620" i="1"/>
  <c r="AJ620" i="1"/>
  <c r="AK620" i="1"/>
  <c r="AL620" i="1"/>
  <c r="AO620" i="1"/>
  <c r="AP620" i="1"/>
  <c r="AV620" i="1"/>
  <c r="AW620" i="1"/>
  <c r="AX620" i="1"/>
  <c r="BC620" i="1"/>
  <c r="BD620" i="1"/>
  <c r="BF620" i="1"/>
  <c r="BH620" i="1"/>
  <c r="BI620" i="1"/>
  <c r="BJ620" i="1"/>
  <c r="I621" i="1"/>
  <c r="J621" i="1"/>
  <c r="K621" i="1"/>
  <c r="Z621" i="1"/>
  <c r="AB621" i="1"/>
  <c r="AC621" i="1"/>
  <c r="AD621" i="1"/>
  <c r="AE621" i="1"/>
  <c r="AF621" i="1"/>
  <c r="AG621" i="1"/>
  <c r="AH621" i="1"/>
  <c r="AJ621" i="1"/>
  <c r="AK621" i="1"/>
  <c r="AL621" i="1"/>
  <c r="AO621" i="1"/>
  <c r="AP621" i="1"/>
  <c r="AV621" i="1"/>
  <c r="AW621" i="1"/>
  <c r="AX621" i="1"/>
  <c r="BC621" i="1"/>
  <c r="BD621" i="1"/>
  <c r="BF621" i="1"/>
  <c r="BH621" i="1"/>
  <c r="BI621" i="1"/>
  <c r="BJ621" i="1"/>
  <c r="I622" i="1"/>
  <c r="J622" i="1"/>
  <c r="K622" i="1"/>
  <c r="Z622" i="1"/>
  <c r="AB622" i="1"/>
  <c r="AC622" i="1"/>
  <c r="AD622" i="1"/>
  <c r="AE622" i="1"/>
  <c r="AF622" i="1"/>
  <c r="AG622" i="1"/>
  <c r="AH622" i="1"/>
  <c r="AJ622" i="1"/>
  <c r="AK622" i="1"/>
  <c r="AL622" i="1"/>
  <c r="AO622" i="1"/>
  <c r="AP622" i="1"/>
  <c r="AV622" i="1"/>
  <c r="AW622" i="1"/>
  <c r="AX622" i="1"/>
  <c r="BC622" i="1"/>
  <c r="BD622" i="1"/>
  <c r="BF622" i="1"/>
  <c r="BH622" i="1"/>
  <c r="BI622" i="1"/>
  <c r="BJ622" i="1"/>
  <c r="I623" i="1"/>
  <c r="J623" i="1"/>
  <c r="K623" i="1"/>
  <c r="Z623" i="1"/>
  <c r="AB623" i="1"/>
  <c r="AC623" i="1"/>
  <c r="AD623" i="1"/>
  <c r="AE623" i="1"/>
  <c r="AF623" i="1"/>
  <c r="AG623" i="1"/>
  <c r="AH623" i="1"/>
  <c r="AJ623" i="1"/>
  <c r="AK623" i="1"/>
  <c r="AL623" i="1"/>
  <c r="AO623" i="1"/>
  <c r="AP623" i="1"/>
  <c r="AV623" i="1"/>
  <c r="AW623" i="1"/>
  <c r="AX623" i="1"/>
  <c r="BC623" i="1"/>
  <c r="BD623" i="1"/>
  <c r="BF623" i="1"/>
  <c r="BH623" i="1"/>
  <c r="BI623" i="1"/>
  <c r="BJ623" i="1"/>
  <c r="B2" i="2"/>
  <c r="E2" i="2"/>
  <c r="B4" i="2"/>
  <c r="E4" i="2"/>
  <c r="B6" i="2"/>
  <c r="E6" i="2"/>
  <c r="B8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48" i="2"/>
  <c r="F48" i="2"/>
  <c r="G48" i="2"/>
  <c r="I48" i="2"/>
  <c r="C2" i="3"/>
  <c r="F2" i="3"/>
  <c r="C4" i="3"/>
  <c r="F4" i="3"/>
  <c r="C6" i="3"/>
  <c r="F6" i="3"/>
  <c r="C8" i="3"/>
  <c r="BH13" i="1" l="1"/>
  <c r="AB13" i="1" s="1"/>
  <c r="C14" i="4" s="1"/>
  <c r="AV13" i="1"/>
  <c r="AL13" i="1"/>
  <c r="AU12" i="1" s="1"/>
  <c r="BC13" i="1"/>
  <c r="J13" i="1"/>
  <c r="J12" i="1" s="1"/>
  <c r="F11" i="2" s="1"/>
  <c r="K624" i="1"/>
  <c r="G47" i="2"/>
  <c r="I47" i="2" s="1"/>
  <c r="G50" i="2" s="1"/>
  <c r="BI571" i="1"/>
  <c r="AC571" i="1" s="1"/>
  <c r="C15" i="4" s="1"/>
  <c r="AW571" i="1"/>
  <c r="BC571" i="1" s="1"/>
  <c r="J571" i="1"/>
  <c r="J487" i="1" s="1"/>
  <c r="F47" i="2" s="1"/>
  <c r="AT487" i="1"/>
  <c r="AS487" i="1"/>
  <c r="C29" i="4" l="1"/>
  <c r="F29" i="4" s="1"/>
  <c r="C22" i="4"/>
  <c r="AV571" i="1"/>
  <c r="I28" i="4" l="1"/>
  <c r="I29" i="4" s="1"/>
</calcChain>
</file>

<file path=xl/sharedStrings.xml><?xml version="1.0" encoding="utf-8"?>
<sst xmlns="http://schemas.openxmlformats.org/spreadsheetml/2006/main" count="7661" uniqueCount="2011">
  <si>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</si>
  <si>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</si>
  <si>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</si>
  <si>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</si>
  <si>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</si>
  <si>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</si>
  <si>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</si>
  <si>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</si>
  <si>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</si>
  <si>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</si>
  <si>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</si>
  <si>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</si>
  <si>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</si>
  <si>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</si>
  <si>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</si>
  <si>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</si>
  <si>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</si>
  <si>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</si>
  <si>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</si>
  <si>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</si>
  <si>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</si>
  <si>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</si>
  <si>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</si>
  <si>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</si>
  <si>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</si>
  <si>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</si>
  <si>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</si>
  <si>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</si>
  <si>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</si>
  <si>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</si>
  <si>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</si>
  <si>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</si>
  <si>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</si>
  <si>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</si>
  <si>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</si>
  <si>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</si>
  <si>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</si>
  <si>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</si>
  <si>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</si>
  <si>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</si>
  <si>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</si>
  <si>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</si>
  <si>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</si>
  <si>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</si>
  <si>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</si>
  <si>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</si>
  <si>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</si>
  <si>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</si>
  <si>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</si>
  <si>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</si>
  <si>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</si>
  <si>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</si>
  <si>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</si>
  <si>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</si>
  <si>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</si>
  <si>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</si>
  <si>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</si>
  <si>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</si>
  <si>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</si>
  <si>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</si>
  <si>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</si>
  <si>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</si>
  <si>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</si>
  <si>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</si>
  <si>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</si>
  <si>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</si>
  <si>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</si>
  <si>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</si>
  <si>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</si>
  <si>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</si>
  <si>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</si>
  <si>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</si>
  <si>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</si>
  <si>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</si>
  <si>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</si>
  <si>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</si>
  <si>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</si>
  <si>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</si>
  <si>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</si>
  <si>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</si>
  <si>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</si>
  <si>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</si>
  <si>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</si>
  <si>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</si>
  <si>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</si>
  <si>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</si>
  <si>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</si>
  <si>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</si>
  <si>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</si>
  <si>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</si>
  <si>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</si>
  <si>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</si>
  <si>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</si>
  <si>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</si>
  <si>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</si>
  <si>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</si>
  <si>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</si>
  <si>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</si>
  <si>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</si>
  <si>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</si>
  <si>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</si>
  <si>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</si>
  <si>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</si>
  <si>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</si>
  <si>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</si>
  <si>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</si>
  <si>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</si>
  <si>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</si>
  <si>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</si>
  <si>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</si>
  <si>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</si>
  <si>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</si>
  <si>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</si>
  <si>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</si>
  <si>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</si>
  <si>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</si>
  <si>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</si>
  <si>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</si>
  <si>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</si>
  <si>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</si>
  <si>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</si>
  <si>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</si>
  <si>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</si>
  <si>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</si>
  <si>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</si>
  <si>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</si>
  <si>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</si>
  <si>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</si>
  <si>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</si>
  <si>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</si>
  <si>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</si>
  <si>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</si>
  <si>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</si>
  <si>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</si>
  <si>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</si>
  <si>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</si>
  <si>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</si>
  <si>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</si>
  <si>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</si>
  <si>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</si>
  <si>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</si>
  <si>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</si>
  <si>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</si>
  <si>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</si>
  <si>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</si>
  <si>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</si>
  <si>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</si>
  <si>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</si>
  <si>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</si>
  <si>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</si>
  <si>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</si>
  <si>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</si>
  <si>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</si>
  <si>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</si>
  <si>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</si>
  <si>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</si>
  <si>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</si>
  <si>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</si>
  <si>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</si>
  <si>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</si>
  <si>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</si>
  <si>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</si>
  <si>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</si>
  <si>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</si>
  <si>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</si>
  <si>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</si>
  <si>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</si>
  <si>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</si>
  <si>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</si>
  <si>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</si>
  <si>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</si>
  <si>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</si>
  <si>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</si>
  <si>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</si>
  <si>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</si>
  <si>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</si>
  <si>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</si>
  <si>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</si>
  <si>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</si>
  <si>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</si>
  <si>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</si>
  <si>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</si>
  <si>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</si>
  <si>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</si>
  <si>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</si>
  <si>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</si>
  <si>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</si>
  <si>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</si>
  <si>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</si>
  <si>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</si>
  <si>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</si>
  <si>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</si>
  <si>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</si>
  <si>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</si>
  <si>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</si>
  <si>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</si>
  <si>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</si>
  <si>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</si>
  <si>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</si>
  <si>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</si>
  <si>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</si>
  <si>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</si>
  <si>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</si>
  <si>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</si>
  <si>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</si>
  <si>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</si>
  <si>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</si>
  <si>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</si>
  <si>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</si>
  <si>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</si>
  <si>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</si>
  <si>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</si>
  <si>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</si>
  <si>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</si>
  <si>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</si>
  <si>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</si>
  <si>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</si>
  <si>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</si>
  <si>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</si>
  <si>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</si>
  <si>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</si>
  <si>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</si>
  <si>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</si>
  <si>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</si>
  <si>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</si>
  <si>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</si>
  <si>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</si>
  <si>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</si>
  <si>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</si>
  <si>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</si>
  <si>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</si>
  <si>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</si>
  <si>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</si>
  <si>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</si>
  <si>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</si>
  <si>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</si>
  <si>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</si>
  <si>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</si>
  <si>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</si>
  <si>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</si>
  <si>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</si>
  <si>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</si>
  <si>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</si>
  <si>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</si>
  <si>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</si>
  <si>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</si>
  <si>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</si>
  <si>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</si>
  <si>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</si>
  <si>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</si>
  <si>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</si>
  <si>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</si>
  <si>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</si>
  <si>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</si>
  <si>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</si>
  <si>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</si>
  <si>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</si>
  <si>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</si>
  <si>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</si>
  <si>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</si>
  <si>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</si>
  <si>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</si>
  <si>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</si>
  <si>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</si>
  <si>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</si>
  <si>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</si>
  <si>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</si>
  <si>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</si>
  <si>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</si>
  <si>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</si>
  <si>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</si>
  <si>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</si>
  <si>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</si>
  <si>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</si>
  <si>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</si>
  <si>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</si>
  <si>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</si>
  <si>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</si>
  <si>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</si>
  <si>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</si>
  <si>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</si>
  <si>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</si>
  <si>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</si>
  <si>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</si>
  <si>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</si>
  <si>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</si>
  <si>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</si>
  <si>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</si>
  <si>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</si>
  <si>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</si>
  <si>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</si>
  <si>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</si>
  <si>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</si>
  <si>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</si>
  <si>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</si>
  <si>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</si>
  <si>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</si>
  <si>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</si>
  <si>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</si>
  <si>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</si>
  <si>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</si>
  <si>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</si>
  <si>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</si>
  <si>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</si>
  <si>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</si>
  <si>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</si>
  <si>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</si>
  <si>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</si>
  <si>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</si>
  <si>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</si>
  <si>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</si>
  <si>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</si>
  <si>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</si>
  <si>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</si>
  <si>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</si>
  <si>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</si>
  <si>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</si>
  <si>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</si>
  <si>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</si>
  <si>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</si>
  <si>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</si>
  <si>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</si>
  <si>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</si>
  <si>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</si>
  <si>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</si>
  <si>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</si>
  <si>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</si>
  <si>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</si>
  <si>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</si>
  <si>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</si>
  <si>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</si>
  <si>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</si>
  <si>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</si>
  <si>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</si>
  <si>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</si>
  <si>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</si>
  <si>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</si>
  <si>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</si>
  <si>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</si>
  <si>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</si>
  <si>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</si>
  <si>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</si>
  <si>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</si>
  <si>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</si>
  <si>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</si>
  <si>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</si>
  <si>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</si>
  <si>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</si>
  <si>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</si>
  <si>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</si>
  <si>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</si>
  <si>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</si>
  <si>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</si>
  <si>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</si>
  <si>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</si>
  <si>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</si>
  <si>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</si>
  <si>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</si>
  <si>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</si>
  <si>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</si>
  <si>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</si>
  <si>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</si>
  <si>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</si>
  <si>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</si>
  <si>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</si>
  <si>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</si>
  <si>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</si>
  <si>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</si>
  <si>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</si>
  <si>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</si>
  <si>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</si>
  <si>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</si>
  <si>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</si>
  <si>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</si>
  <si>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</si>
  <si>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</si>
  <si>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</si>
  <si>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</si>
  <si>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</si>
  <si>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</si>
  <si>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</si>
  <si>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</si>
  <si>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</si>
  <si>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</si>
  <si>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</si>
  <si>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</si>
  <si>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</si>
  <si>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</si>
  <si>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</si>
  <si>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</si>
  <si>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</si>
  <si>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</si>
  <si>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</si>
  <si>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</si>
  <si>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</si>
  <si>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</si>
  <si>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</si>
  <si>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</si>
  <si>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</si>
  <si>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</si>
  <si>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</si>
  <si>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</si>
  <si>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</si>
  <si>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</si>
  <si>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</si>
  <si>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</si>
  <si>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</si>
  <si>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</si>
  <si>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</si>
  <si>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</si>
  <si>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</si>
  <si>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</si>
  <si>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</si>
  <si>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</si>
  <si>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</si>
  <si>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</si>
  <si>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</si>
  <si>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</si>
  <si>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</si>
  <si>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</si>
  <si>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</si>
  <si>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</si>
  <si>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</si>
  <si>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</si>
  <si>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</si>
  <si>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</si>
  <si>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</si>
  <si>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</si>
  <si>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</si>
  <si>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</si>
  <si>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</si>
  <si>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</si>
  <si>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</si>
  <si>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</si>
  <si>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</si>
  <si>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</si>
  <si>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</si>
  <si>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</si>
  <si>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</si>
  <si>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</si>
  <si>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</si>
  <si>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</si>
  <si>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</si>
  <si>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</si>
  <si>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</si>
  <si>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</si>
  <si>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</si>
  <si>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</si>
  <si>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</si>
  <si>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</si>
  <si>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</si>
  <si>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</si>
  <si>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</si>
  <si>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</si>
  <si>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</si>
  <si>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</si>
  <si>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</si>
  <si>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</si>
  <si>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</si>
  <si>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</si>
  <si>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</si>
  <si>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</si>
  <si>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</si>
  <si>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</si>
  <si>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</si>
  <si>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</si>
  <si>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</si>
  <si>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</si>
  <si>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</si>
  <si>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</si>
  <si>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</si>
  <si>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</si>
  <si>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</si>
  <si>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</si>
  <si>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</si>
  <si>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</si>
  <si>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</si>
  <si>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</si>
  <si>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</si>
  <si>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</si>
  <si>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</si>
  <si>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</si>
  <si>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</si>
  <si>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</si>
  <si>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</si>
  <si>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</si>
  <si>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</si>
  <si>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</si>
  <si>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</si>
  <si>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</si>
  <si>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</si>
  <si>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</si>
  <si>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</si>
  <si>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</si>
  <si>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</si>
  <si>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</si>
  <si>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</si>
  <si>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</si>
  <si>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</si>
  <si>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</si>
  <si>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</si>
  <si>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</si>
  <si>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</si>
  <si>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</si>
  <si>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</si>
  <si>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</si>
  <si>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</si>
  <si>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</si>
  <si>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</si>
  <si>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</si>
  <si>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</si>
  <si>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</si>
  <si>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</si>
  <si>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</si>
  <si>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</si>
  <si>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</si>
  <si>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</si>
  <si>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</si>
  <si>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</si>
  <si>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</si>
  <si>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</si>
  <si>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</si>
  <si>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</si>
  <si>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</si>
  <si>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</si>
  <si>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</si>
  <si>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</si>
  <si>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</si>
  <si>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</si>
  <si>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</si>
  <si>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</si>
  <si>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</si>
  <si>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</si>
  <si>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</si>
  <si>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</si>
  <si>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</si>
  <si>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</si>
  <si>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</si>
  <si>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</si>
  <si>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</si>
  <si>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</si>
  <si>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</si>
  <si>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</si>
  <si>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Poznámka:</t>
  </si>
  <si>
    <t>Kód</t>
  </si>
  <si>
    <t>132201210R00</t>
  </si>
  <si>
    <t>132201219R00</t>
  </si>
  <si>
    <t>162701105R00</t>
  </si>
  <si>
    <t>166101101R00</t>
  </si>
  <si>
    <t>167101101R00</t>
  </si>
  <si>
    <t>171151111RT1</t>
  </si>
  <si>
    <t>171201201R00</t>
  </si>
  <si>
    <t>174101101R00</t>
  </si>
  <si>
    <t>180405110RA2</t>
  </si>
  <si>
    <t>199000004R00</t>
  </si>
  <si>
    <t>310100017RA0</t>
  </si>
  <si>
    <t>310100017RAA</t>
  </si>
  <si>
    <t>311231330RT1</t>
  </si>
  <si>
    <t>342012224RT1</t>
  </si>
  <si>
    <t>342090111R00</t>
  </si>
  <si>
    <t>342091043R00</t>
  </si>
  <si>
    <t>342091061R00</t>
  </si>
  <si>
    <t>342091055R00</t>
  </si>
  <si>
    <t>342091082R00</t>
  </si>
  <si>
    <t>411354255RT1</t>
  </si>
  <si>
    <t>416021227RT1</t>
  </si>
  <si>
    <t>417320035RAB</t>
  </si>
  <si>
    <t>564811111RT1</t>
  </si>
  <si>
    <t>564831111RT4</t>
  </si>
  <si>
    <t>564831111RT5</t>
  </si>
  <si>
    <t>564861111RT4</t>
  </si>
  <si>
    <t>567211105R00</t>
  </si>
  <si>
    <t>568111111RT1</t>
  </si>
  <si>
    <t>577000007RAB</t>
  </si>
  <si>
    <t>596811111RT3</t>
  </si>
  <si>
    <t>596841101RA1</t>
  </si>
  <si>
    <t>596841111RT4</t>
  </si>
  <si>
    <t>597085150RT1</t>
  </si>
  <si>
    <t>610991007R00</t>
  </si>
  <si>
    <t>610991111R00</t>
  </si>
  <si>
    <t>612425931RU1</t>
  </si>
  <si>
    <t>620991121R00</t>
  </si>
  <si>
    <t>621420107RT5</t>
  </si>
  <si>
    <t>622300130RT1</t>
  </si>
  <si>
    <t>622300130RT3</t>
  </si>
  <si>
    <t>622300181RT2</t>
  </si>
  <si>
    <t>622311013R00</t>
  </si>
  <si>
    <t>622311042R00</t>
  </si>
  <si>
    <t>622311112R00</t>
  </si>
  <si>
    <t>622311114R00</t>
  </si>
  <si>
    <t>622311535RT2</t>
  </si>
  <si>
    <t>622311610RT5</t>
  </si>
  <si>
    <t>622311610RT9</t>
  </si>
  <si>
    <t>622311635RT3</t>
  </si>
  <si>
    <t>622311635RT5</t>
  </si>
  <si>
    <t>622311635RZ1</t>
  </si>
  <si>
    <t>622311752RZ1</t>
  </si>
  <si>
    <t>622311752RZ2</t>
  </si>
  <si>
    <t>622391102R00</t>
  </si>
  <si>
    <t>622391521R00</t>
  </si>
  <si>
    <t>622421492R00</t>
  </si>
  <si>
    <t>622421494R00</t>
  </si>
  <si>
    <t>622474151RT3</t>
  </si>
  <si>
    <t>622903111R00</t>
  </si>
  <si>
    <t>622904112R00</t>
  </si>
  <si>
    <t>622904121R00</t>
  </si>
  <si>
    <t>622904212R00</t>
  </si>
  <si>
    <t>648991111RT3</t>
  </si>
  <si>
    <t>648991111RT4</t>
  </si>
  <si>
    <t>909      R00</t>
  </si>
  <si>
    <t>941941031R00</t>
  </si>
  <si>
    <t>941941191R00</t>
  </si>
  <si>
    <t>941941831R00</t>
  </si>
  <si>
    <t>941955002R00</t>
  </si>
  <si>
    <t>944944011R00</t>
  </si>
  <si>
    <t>944944031R00</t>
  </si>
  <si>
    <t>944944081R00</t>
  </si>
  <si>
    <t>947941121RT1</t>
  </si>
  <si>
    <t>952901110R00</t>
  </si>
  <si>
    <t>953953611RT1</t>
  </si>
  <si>
    <t>954112104R00</t>
  </si>
  <si>
    <t>954158211RT1</t>
  </si>
  <si>
    <t>954158211RT2</t>
  </si>
  <si>
    <t>959950104RA1</t>
  </si>
  <si>
    <t>959950110RA1</t>
  </si>
  <si>
    <t>959950110RT7</t>
  </si>
  <si>
    <t>959950120RA1</t>
  </si>
  <si>
    <t>959950810RT1</t>
  </si>
  <si>
    <t>722254110RT1</t>
  </si>
  <si>
    <t>722254114RM5</t>
  </si>
  <si>
    <t>962032231R00</t>
  </si>
  <si>
    <t>962081141R00</t>
  </si>
  <si>
    <t>964073221RT1</t>
  </si>
  <si>
    <t>965043421RT1</t>
  </si>
  <si>
    <t>965049112R00</t>
  </si>
  <si>
    <t>965081925R00</t>
  </si>
  <si>
    <t>966077110RT1</t>
  </si>
  <si>
    <t>966077110RT2</t>
  </si>
  <si>
    <t>966079821RT1</t>
  </si>
  <si>
    <t>967031734R00</t>
  </si>
  <si>
    <t>967051111R00</t>
  </si>
  <si>
    <t>968061112R00</t>
  </si>
  <si>
    <t>968061125R00</t>
  </si>
  <si>
    <t>968062246R00</t>
  </si>
  <si>
    <t>968062354R00</t>
  </si>
  <si>
    <t>968062355R00</t>
  </si>
  <si>
    <t>968062356R00</t>
  </si>
  <si>
    <t>968062455R00</t>
  </si>
  <si>
    <t>968062456R00</t>
  </si>
  <si>
    <t>968072895RT1</t>
  </si>
  <si>
    <t>968087111RT1</t>
  </si>
  <si>
    <t>968095011RT1</t>
  </si>
  <si>
    <t>969011111RT1</t>
  </si>
  <si>
    <t>978015291R00</t>
  </si>
  <si>
    <t>970031030R00</t>
  </si>
  <si>
    <t>970031060R00</t>
  </si>
  <si>
    <t>970033030R00</t>
  </si>
  <si>
    <t>970033060R00</t>
  </si>
  <si>
    <t>971033541R00</t>
  </si>
  <si>
    <t>978041205R00</t>
  </si>
  <si>
    <t>978059631R00</t>
  </si>
  <si>
    <t>981012316RT1</t>
  </si>
  <si>
    <t>S</t>
  </si>
  <si>
    <t>979011211R00</t>
  </si>
  <si>
    <t>979081111R00</t>
  </si>
  <si>
    <t>979081121R00</t>
  </si>
  <si>
    <t>979082111R00</t>
  </si>
  <si>
    <t>979082121R00</t>
  </si>
  <si>
    <t>979086112R00</t>
  </si>
  <si>
    <t>979093111R00</t>
  </si>
  <si>
    <t>979990101R00</t>
  </si>
  <si>
    <t>979990103R00</t>
  </si>
  <si>
    <t>979990105R00</t>
  </si>
  <si>
    <t>979990107R00</t>
  </si>
  <si>
    <t>979990109R00</t>
  </si>
  <si>
    <t>979990111R00</t>
  </si>
  <si>
    <t>979990121R00</t>
  </si>
  <si>
    <t>979990141R00</t>
  </si>
  <si>
    <t>979990143R00</t>
  </si>
  <si>
    <t>979990144R00</t>
  </si>
  <si>
    <t>979990161R00</t>
  </si>
  <si>
    <t>979990162R00</t>
  </si>
  <si>
    <t>979990181R00</t>
  </si>
  <si>
    <t>H99</t>
  </si>
  <si>
    <t>999281108R00</t>
  </si>
  <si>
    <t>712</t>
  </si>
  <si>
    <t>712300831R00</t>
  </si>
  <si>
    <t>712300831RZ1</t>
  </si>
  <si>
    <t>712373111RS3</t>
  </si>
  <si>
    <t>712373111RT3</t>
  </si>
  <si>
    <t>712373117RT3</t>
  </si>
  <si>
    <t>712391171RZ5</t>
  </si>
  <si>
    <t>998712102R00</t>
  </si>
  <si>
    <t>713</t>
  </si>
  <si>
    <t>713101121R00</t>
  </si>
  <si>
    <t>713101311R00</t>
  </si>
  <si>
    <t>713103121R00</t>
  </si>
  <si>
    <t>713104121R00</t>
  </si>
  <si>
    <t>713111231RT1</t>
  </si>
  <si>
    <t>713111231RS2</t>
  </si>
  <si>
    <t>713111231RS5</t>
  </si>
  <si>
    <t>713121121RZ1</t>
  </si>
  <si>
    <t>631508595</t>
  </si>
  <si>
    <t>631508593</t>
  </si>
  <si>
    <t>6315085951</t>
  </si>
  <si>
    <t>6315085941</t>
  </si>
  <si>
    <t>713141221RK4</t>
  </si>
  <si>
    <t>713141311R00</t>
  </si>
  <si>
    <t>63151497</t>
  </si>
  <si>
    <t>63151500</t>
  </si>
  <si>
    <t>63151502</t>
  </si>
  <si>
    <t>713141313R00</t>
  </si>
  <si>
    <t>63151504</t>
  </si>
  <si>
    <t>998713102R00</t>
  </si>
  <si>
    <t>721</t>
  </si>
  <si>
    <t>72111</t>
  </si>
  <si>
    <t>72112</t>
  </si>
  <si>
    <t>72113</t>
  </si>
  <si>
    <t>72121</t>
  </si>
  <si>
    <t>72131</t>
  </si>
  <si>
    <t>72141</t>
  </si>
  <si>
    <t>72161</t>
  </si>
  <si>
    <t>72162</t>
  </si>
  <si>
    <t>72163</t>
  </si>
  <si>
    <t>72171</t>
  </si>
  <si>
    <t>72172</t>
  </si>
  <si>
    <t>72173</t>
  </si>
  <si>
    <t>72174</t>
  </si>
  <si>
    <t>72175</t>
  </si>
  <si>
    <t>72176</t>
  </si>
  <si>
    <t>72177</t>
  </si>
  <si>
    <t>72178</t>
  </si>
  <si>
    <t>72179</t>
  </si>
  <si>
    <t>721710</t>
  </si>
  <si>
    <t>722</t>
  </si>
  <si>
    <t>72211</t>
  </si>
  <si>
    <t>72212</t>
  </si>
  <si>
    <t>72213</t>
  </si>
  <si>
    <t>72221</t>
  </si>
  <si>
    <t>72231</t>
  </si>
  <si>
    <t>72241</t>
  </si>
  <si>
    <t>72242</t>
  </si>
  <si>
    <t>72243</t>
  </si>
  <si>
    <t>72251</t>
  </si>
  <si>
    <t>72252</t>
  </si>
  <si>
    <t>72253</t>
  </si>
  <si>
    <t>72254</t>
  </si>
  <si>
    <t>72255</t>
  </si>
  <si>
    <t>72256</t>
  </si>
  <si>
    <t>72261</t>
  </si>
  <si>
    <t>72262</t>
  </si>
  <si>
    <t>72263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</si>
  <si>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</si>
  <si>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</si>
  <si>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</si>
  <si>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</si>
  <si>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</si>
  <si>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</si>
  <si>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</si>
  <si>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</si>
  <si>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</si>
  <si>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722710</t>
  </si>
  <si>
    <t>728</t>
  </si>
  <si>
    <t>7281001</t>
  </si>
  <si>
    <t>7281002</t>
  </si>
  <si>
    <t>7281003</t>
  </si>
  <si>
    <t>7281004</t>
  </si>
  <si>
    <t>7281005</t>
  </si>
  <si>
    <t>7281006</t>
  </si>
  <si>
    <t>7281007</t>
  </si>
  <si>
    <t>7281008</t>
  </si>
  <si>
    <t>7281009</t>
  </si>
  <si>
    <t>7281010</t>
  </si>
  <si>
    <t>7281011</t>
  </si>
  <si>
    <t>7281012</t>
  </si>
  <si>
    <t>7281013</t>
  </si>
  <si>
    <t>7282001</t>
  </si>
  <si>
    <t>7282002</t>
  </si>
  <si>
    <t>7282003</t>
  </si>
  <si>
    <t>7282004</t>
  </si>
  <si>
    <t>7282005</t>
  </si>
  <si>
    <t>7282006</t>
  </si>
  <si>
    <t>7282007</t>
  </si>
  <si>
    <t>7282008</t>
  </si>
  <si>
    <t>7282009</t>
  </si>
  <si>
    <t>7282010</t>
  </si>
  <si>
    <t>7282011</t>
  </si>
  <si>
    <t>7282012</t>
  </si>
  <si>
    <t>7283001</t>
  </si>
  <si>
    <t>7283002</t>
  </si>
  <si>
    <t>7283003</t>
  </si>
  <si>
    <t>7283004</t>
  </si>
  <si>
    <t>7283005</t>
  </si>
  <si>
    <t>7283006</t>
  </si>
  <si>
    <t>7283007</t>
  </si>
  <si>
    <t>7283008</t>
  </si>
  <si>
    <t>7283009</t>
  </si>
  <si>
    <t>7283010</t>
  </si>
  <si>
    <t>7283011</t>
  </si>
  <si>
    <t>730</t>
  </si>
  <si>
    <t>73111</t>
  </si>
  <si>
    <t>73112</t>
  </si>
  <si>
    <t>73113</t>
  </si>
  <si>
    <t>73114</t>
  </si>
  <si>
    <t>73121</t>
  </si>
  <si>
    <t>73122</t>
  </si>
  <si>
    <t>73123</t>
  </si>
  <si>
    <t>73124</t>
  </si>
  <si>
    <t>73125</t>
  </si>
  <si>
    <t>73131</t>
  </si>
  <si>
    <t>73133</t>
  </si>
  <si>
    <t>73134</t>
  </si>
  <si>
    <t>73135</t>
  </si>
  <si>
    <t>73136</t>
  </si>
  <si>
    <t>73137</t>
  </si>
  <si>
    <t>73138</t>
  </si>
  <si>
    <t>73139</t>
  </si>
  <si>
    <t>73141</t>
  </si>
  <si>
    <t>73142</t>
  </si>
  <si>
    <t>73143</t>
  </si>
  <si>
    <t>73151</t>
  </si>
  <si>
    <t>73152</t>
  </si>
  <si>
    <t>73161</t>
  </si>
  <si>
    <t>73162</t>
  </si>
  <si>
    <t>73163</t>
  </si>
  <si>
    <t>73165</t>
  </si>
  <si>
    <t>73166</t>
  </si>
  <si>
    <t>73167</t>
  </si>
  <si>
    <t>73168</t>
  </si>
  <si>
    <t>73169</t>
  </si>
  <si>
    <t>762</t>
  </si>
  <si>
    <t>762088113R00</t>
  </si>
  <si>
    <t>762088116R00</t>
  </si>
  <si>
    <t>762100022RA0</t>
  </si>
  <si>
    <t>762311817RU1</t>
  </si>
  <si>
    <t>762331812RU1</t>
  </si>
  <si>
    <t>762340110RA1</t>
  </si>
  <si>
    <t>762341811R00</t>
  </si>
  <si>
    <t>762812811R00</t>
  </si>
  <si>
    <t>998762102R00</t>
  </si>
  <si>
    <t>764</t>
  </si>
  <si>
    <t>764311822RT1</t>
  </si>
  <si>
    <t>764312841RT1</t>
  </si>
  <si>
    <t>764352810RT1</t>
  </si>
  <si>
    <t>764359810R00</t>
  </si>
  <si>
    <t>764410420RT2</t>
  </si>
  <si>
    <t>764410442RT2</t>
  </si>
  <si>
    <t>764410451RT2</t>
  </si>
  <si>
    <t>764410850R00</t>
  </si>
  <si>
    <t>764453842R00</t>
  </si>
  <si>
    <t>764454801RT1</t>
  </si>
  <si>
    <t>764456852R00</t>
  </si>
  <si>
    <t>764813221RT1</t>
  </si>
  <si>
    <t>764813332RT1</t>
  </si>
  <si>
    <t>764813438RT1</t>
  </si>
  <si>
    <t>764813442RT1</t>
  </si>
  <si>
    <t>764813444RT1</t>
  </si>
  <si>
    <t>764815212R00</t>
  </si>
  <si>
    <t>764819213R00</t>
  </si>
  <si>
    <t>998764102R00</t>
  </si>
  <si>
    <t>766</t>
  </si>
  <si>
    <t>766411813R00</t>
  </si>
  <si>
    <t>766411821R00</t>
  </si>
  <si>
    <t>766411822R00</t>
  </si>
  <si>
    <t>766421821R00</t>
  </si>
  <si>
    <t>766421822R00</t>
  </si>
  <si>
    <t>766624050RT1</t>
  </si>
  <si>
    <t>766601216RT1</t>
  </si>
  <si>
    <t>766601229RT3</t>
  </si>
  <si>
    <t>766629311RT1</t>
  </si>
  <si>
    <t>766629311RT2</t>
  </si>
  <si>
    <t>766629311RT3</t>
  </si>
  <si>
    <t>766629311RT4</t>
  </si>
  <si>
    <t>766629311RT5</t>
  </si>
  <si>
    <t>766629311RT6</t>
  </si>
  <si>
    <t>766629330RT1</t>
  </si>
  <si>
    <t>766629330RT2</t>
  </si>
  <si>
    <t>766629330RT3</t>
  </si>
  <si>
    <t>766629330RT4</t>
  </si>
  <si>
    <t>766629330RT5</t>
  </si>
  <si>
    <t>766629330RT6</t>
  </si>
  <si>
    <t>766629330RT7</t>
  </si>
  <si>
    <t>766629330RT8</t>
  </si>
  <si>
    <t>766629330RT9</t>
  </si>
  <si>
    <t>766629330RU1</t>
  </si>
  <si>
    <t>766629330RU2</t>
  </si>
  <si>
    <t>766661104RT1</t>
  </si>
  <si>
    <t>998766102R00</t>
  </si>
  <si>
    <t>767</t>
  </si>
  <si>
    <t>767100030RA0</t>
  </si>
  <si>
    <t>767100040RA0</t>
  </si>
  <si>
    <t>767310850RT1</t>
  </si>
  <si>
    <t>767390115RT1</t>
  </si>
  <si>
    <t>767510140RT1</t>
  </si>
  <si>
    <t>767570250RT1</t>
  </si>
  <si>
    <t>767610110RT1</t>
  </si>
  <si>
    <t>767610510RZ1</t>
  </si>
  <si>
    <t>767610510RZ2</t>
  </si>
  <si>
    <t>767610510RZ3</t>
  </si>
  <si>
    <t>767611210RT1</t>
  </si>
  <si>
    <t>767611210RT2</t>
  </si>
  <si>
    <t>767611210RT3</t>
  </si>
  <si>
    <t>767611210RT4</t>
  </si>
  <si>
    <t>767646510RT1</t>
  </si>
  <si>
    <t>767646510RT2</t>
  </si>
  <si>
    <t>767646510RT3</t>
  </si>
  <si>
    <t>767646510RT4</t>
  </si>
  <si>
    <t>767646510RT5</t>
  </si>
  <si>
    <t>767646510RT6</t>
  </si>
  <si>
    <t>767646510RT7</t>
  </si>
  <si>
    <t>767646510RT8</t>
  </si>
  <si>
    <t>767662130RU1</t>
  </si>
  <si>
    <t>767662130RU2</t>
  </si>
  <si>
    <t>767662130RU3</t>
  </si>
  <si>
    <t>767669221RT1</t>
  </si>
  <si>
    <t>767811120RT1</t>
  </si>
  <si>
    <t>767837110RZ1</t>
  </si>
  <si>
    <t>767837110RZ2</t>
  </si>
  <si>
    <t>767837115RZ1</t>
  </si>
  <si>
    <t>998767102R00</t>
  </si>
  <si>
    <t>771</t>
  </si>
  <si>
    <t>771101101R00</t>
  </si>
  <si>
    <t>771101142RT1</t>
  </si>
  <si>
    <t>771101210R00</t>
  </si>
  <si>
    <t>771212115R00</t>
  </si>
  <si>
    <t>597642070</t>
  </si>
  <si>
    <t>771578011RT4</t>
  </si>
  <si>
    <t>771579795R00</t>
  </si>
  <si>
    <t>771589791R00</t>
  </si>
  <si>
    <t>998771102R00</t>
  </si>
  <si>
    <t>776</t>
  </si>
  <si>
    <t>776101101R00</t>
  </si>
  <si>
    <t>776101115R00</t>
  </si>
  <si>
    <t>776101210R00</t>
  </si>
  <si>
    <t>776401800R00</t>
  </si>
  <si>
    <t>776421100R00</t>
  </si>
  <si>
    <t>28342451</t>
  </si>
  <si>
    <t>776511820R00</t>
  </si>
  <si>
    <t>776521100RV1</t>
  </si>
  <si>
    <t>28412331</t>
  </si>
  <si>
    <t>998776102R00</t>
  </si>
  <si>
    <t>781</t>
  </si>
  <si>
    <t>781101210R00</t>
  </si>
  <si>
    <t>781320121R00</t>
  </si>
  <si>
    <t>597813706</t>
  </si>
  <si>
    <t>781415016R00</t>
  </si>
  <si>
    <t>781491001RT1</t>
  </si>
  <si>
    <t>5537065.A</t>
  </si>
  <si>
    <t>781419706R00</t>
  </si>
  <si>
    <t>998781102R00</t>
  </si>
  <si>
    <t>783</t>
  </si>
  <si>
    <t>783220010RAD</t>
  </si>
  <si>
    <t>784</t>
  </si>
  <si>
    <t>784450068RA0</t>
  </si>
  <si>
    <t>784450069RAA</t>
  </si>
  <si>
    <t>784450069RAB</t>
  </si>
  <si>
    <t>784450069RAC</t>
  </si>
  <si>
    <t>M21</t>
  </si>
  <si>
    <t>210010101RT1</t>
  </si>
  <si>
    <t>210010102RT1</t>
  </si>
  <si>
    <t>210010103RT1</t>
  </si>
  <si>
    <t>210010104RT1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</si>
  <si>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</si>
  <si>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</si>
  <si>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</si>
  <si>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</si>
  <si>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</si>
  <si>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</si>
  <si>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</si>
  <si>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</si>
  <si>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35714716R</t>
  </si>
  <si>
    <t>742231106</t>
  </si>
  <si>
    <t>742268485</t>
  </si>
  <si>
    <t>35711289R</t>
  </si>
  <si>
    <t>74281111R</t>
  </si>
  <si>
    <t>743112115</t>
  </si>
  <si>
    <t>345710510</t>
  </si>
  <si>
    <t>743112117</t>
  </si>
  <si>
    <t>345710940</t>
  </si>
  <si>
    <t>743112156</t>
  </si>
  <si>
    <t>345710018</t>
  </si>
  <si>
    <t>743411111</t>
  </si>
  <si>
    <t>345715110</t>
  </si>
  <si>
    <t>345715210</t>
  </si>
  <si>
    <t>345715240</t>
  </si>
  <si>
    <t>345715841</t>
  </si>
  <si>
    <t>743411121</t>
  </si>
  <si>
    <t>10033023</t>
  </si>
  <si>
    <t>743611121</t>
  </si>
  <si>
    <t>354410730</t>
  </si>
  <si>
    <t>743622200</t>
  </si>
  <si>
    <t>354420290</t>
  </si>
  <si>
    <t>743681100</t>
  </si>
  <si>
    <t>743681100D</t>
  </si>
  <si>
    <t>718111222</t>
  </si>
  <si>
    <t>341828522</t>
  </si>
  <si>
    <t>744211111</t>
  </si>
  <si>
    <t>341408256</t>
  </si>
  <si>
    <t>341408258</t>
  </si>
  <si>
    <t>341408260</t>
  </si>
  <si>
    <t>744211112</t>
  </si>
  <si>
    <t>341408270</t>
  </si>
  <si>
    <t>341408276</t>
  </si>
  <si>
    <t>744411220</t>
  </si>
  <si>
    <t>341110300R</t>
  </si>
  <si>
    <t>341110050R</t>
  </si>
  <si>
    <t>744411230</t>
  </si>
  <si>
    <t>341110380</t>
  </si>
  <si>
    <t>341110360</t>
  </si>
  <si>
    <t>744411260</t>
  </si>
  <si>
    <t>103541040R</t>
  </si>
  <si>
    <t>103541000R</t>
  </si>
  <si>
    <t>746211110</t>
  </si>
  <si>
    <t>21060624</t>
  </si>
  <si>
    <t>68500231</t>
  </si>
  <si>
    <t>68500240</t>
  </si>
  <si>
    <t>345723090</t>
  </si>
  <si>
    <t>746211140</t>
  </si>
  <si>
    <t>746591510</t>
  </si>
  <si>
    <t>10939562</t>
  </si>
  <si>
    <t>747111111</t>
  </si>
  <si>
    <t>345357601</t>
  </si>
  <si>
    <t>747111115</t>
  </si>
  <si>
    <t>345357695</t>
  </si>
  <si>
    <t>747111126</t>
  </si>
  <si>
    <t>345355554</t>
  </si>
  <si>
    <t>747111128</t>
  </si>
  <si>
    <t>345357130</t>
  </si>
  <si>
    <t>747161060</t>
  </si>
  <si>
    <t>345551240R</t>
  </si>
  <si>
    <t>747161340</t>
  </si>
  <si>
    <t>345576840R</t>
  </si>
  <si>
    <t>747161341</t>
  </si>
  <si>
    <t>747161099</t>
  </si>
  <si>
    <t>345551245R</t>
  </si>
  <si>
    <t>7471621R</t>
  </si>
  <si>
    <t>748121142</t>
  </si>
  <si>
    <t>34814435R1</t>
  </si>
  <si>
    <t>34814435R2</t>
  </si>
  <si>
    <t>34814435R3</t>
  </si>
  <si>
    <t>748121211</t>
  </si>
  <si>
    <t>348381000R</t>
  </si>
  <si>
    <t>74899220R</t>
  </si>
  <si>
    <t>748992300</t>
  </si>
  <si>
    <t>749115515</t>
  </si>
  <si>
    <t>340520000</t>
  </si>
  <si>
    <t>749322286</t>
  </si>
  <si>
    <t>340550876</t>
  </si>
  <si>
    <t>749300748</t>
  </si>
  <si>
    <t>340550123</t>
  </si>
  <si>
    <t>749115555</t>
  </si>
  <si>
    <t>340521555</t>
  </si>
  <si>
    <t>749008122</t>
  </si>
  <si>
    <t>340520874</t>
  </si>
  <si>
    <t>749115547</t>
  </si>
  <si>
    <t>340521048</t>
  </si>
  <si>
    <t>749115549</t>
  </si>
  <si>
    <t>340521518</t>
  </si>
  <si>
    <t>340521515</t>
  </si>
  <si>
    <t>340521868</t>
  </si>
  <si>
    <t>749115500</t>
  </si>
  <si>
    <t>340521894</t>
  </si>
  <si>
    <t>749115961</t>
  </si>
  <si>
    <t>340521480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</si>
  <si>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</si>
  <si>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</si>
  <si>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</si>
  <si>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</si>
  <si>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</si>
  <si>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</si>
  <si>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</si>
  <si>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</si>
  <si>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09210012</t>
  </si>
  <si>
    <t>09210054R</t>
  </si>
  <si>
    <t>092203041</t>
  </si>
  <si>
    <t>0</t>
  </si>
  <si>
    <t>005 12-1020.R</t>
  </si>
  <si>
    <t>005 12-2010.R</t>
  </si>
  <si>
    <t>005 12-4010.R</t>
  </si>
  <si>
    <t>005-24-1010.R</t>
  </si>
  <si>
    <t>005 24-1020.R</t>
  </si>
  <si>
    <t>005-24-1030.R</t>
  </si>
  <si>
    <t>SOUp Jílové - snížení energetické náročnosti budovy odborného výcviku a ředitelství - PD</t>
  </si>
  <si>
    <t>Zkrácený popis / Varianta</t>
  </si>
  <si>
    <t>Rozměry</t>
  </si>
  <si>
    <t>Hloubené vykopávky</t>
  </si>
  <si>
    <t>Hloubení rýh š.do 200 cm hor.3 do 50 m3</t>
  </si>
  <si>
    <t>Přípl.za lepivost,hloubení rýh 200cm,hor.3</t>
  </si>
  <si>
    <t>Přemístění výkopku</t>
  </si>
  <si>
    <t>Vodorovné přemístění výkopku z hor.1-4 do 10000 m</t>
  </si>
  <si>
    <t>Přehození výkopku z hor.1-4</t>
  </si>
  <si>
    <t>Nakládání výkopku z hor.1-4 v množství do 100 m3</t>
  </si>
  <si>
    <t>Konstrukce ze zemin</t>
  </si>
  <si>
    <t>Urovnání a hutnění  pláně -skl.ZP01, bod 7 + skl.ZP03, bod 5</t>
  </si>
  <si>
    <t>Uložení sypaniny na skl.-sypanina na výšku přes 2m</t>
  </si>
  <si>
    <t>Zásyp jam, rýh, šachet se zhutněním</t>
  </si>
  <si>
    <t>Povrchové úpravy terénu</t>
  </si>
  <si>
    <t>Ohumusování, osetí travním semenem dotčené části po opravách -úplné provedení dle popisu v PD</t>
  </si>
  <si>
    <t>Poplatek za skládku výkopku 1- 4</t>
  </si>
  <si>
    <t>Zdi podpěrné a volné</t>
  </si>
  <si>
    <t>Zazdívka otvorů ve zdivu, s úpravou povrchu tl.25cm</t>
  </si>
  <si>
    <t>Zazdívka otvorů ve zdivu, s úpravou povrchu tl.30cm</t>
  </si>
  <si>
    <t>Zazdívka otvorů ve zdivu, s úpravou povrchu tl.30cm -po větracích mřížkách -dle pozn.17</t>
  </si>
  <si>
    <t>Přezdění stávajícího obvod.zdiva -provedení dle popisu v TZ</t>
  </si>
  <si>
    <t>Stěny a příčky</t>
  </si>
  <si>
    <t>Příčka SDK tl.100mm,ocel.kce,1x oplášť.,tl.12,5mm, izol.tl.80mm</t>
  </si>
  <si>
    <t>Otvor v SDK, pro dveře 1kř do 25 kg, CW 50, 1xopl.</t>
  </si>
  <si>
    <t>Příplatek za nestandardní povrchovou úpravu Q3</t>
  </si>
  <si>
    <t>Příplatek za vložení vrstvy tepelné izolace</t>
  </si>
  <si>
    <t>Příplatek za dotěsnění stávaj.příček</t>
  </si>
  <si>
    <t>Příplatek k příčce sádrokart. za plochu do 5 m2</t>
  </si>
  <si>
    <t>Stropy a stropní konstrukce (pro pozemní stavby)</t>
  </si>
  <si>
    <t>Bednění stropů plech trapéz.TR50/250/0,63 -provedení dle popisu v PD -skladba STŘ02, bod 3</t>
  </si>
  <si>
    <t>Podhledy protipož.SDK, kov.kce zesílená,2x deska 15 mm,izol.tl.50mm -skladba STŘ02, bod 1</t>
  </si>
  <si>
    <t>Ztužující věnec ŽB beton C 20/25, 25 x 25 cm, bednění, výztuž 120 kg/m3</t>
  </si>
  <si>
    <t>Podkladní vrstvy komunikací, letišť a ploch</t>
  </si>
  <si>
    <t>Podklad ze štěrkodrti po zhutnění tloušťky 5 cm, štěrkodrť frakce 4-8 mm -skl.ZP01, bod 4 + skl.ZP03, bod 2</t>
  </si>
  <si>
    <t>Podklad ze štěrkodrti po zhutnění tloušťky 10 cm, štěrkodrť frakce 0-63 mm -skl.ZP01, bod 5</t>
  </si>
  <si>
    <t>Podklad ze štěrkodrti po zhutnění tloušťky 10 cm, štěrkodrť frakce 8-16 mm -skl.ZP03, bod 3</t>
  </si>
  <si>
    <t>Podklad ze štěrkodrti po zhutnění tloušťky 20 cm, štěrkodrť frakce 0-63 mm -skl.ZP03, bod 4</t>
  </si>
  <si>
    <t>Podklad z prostého betonu C 20/25 tloušťky 5 cm -skl.ZP01, bod 2</t>
  </si>
  <si>
    <t>Zřízení vrstvy z geotextilie skl.do 1:5, š.do 3 m vč.textilie -skl.ZP01, body 3, 6 + skl.ZP03, bod 5</t>
  </si>
  <si>
    <t>Kryty pozemních komunikací, letišť a ploch z kameniva nebo živičné</t>
  </si>
  <si>
    <t>Obnova komunikace s asfaltobetonem -skladba ZP02, body 1-6</t>
  </si>
  <si>
    <t>Kryty pozemních komunikací, letišť a ploch dlážděných (předlažby)</t>
  </si>
  <si>
    <t>Kladení dlaždic kom.pro pěší, vč.dlažby betonové skládané 50/50/5 cm -skl.ZP03, bod 1</t>
  </si>
  <si>
    <t>Přeskládání zpev.plochy z betonové zámkové dlažby, také pozn.9</t>
  </si>
  <si>
    <t>Kladení dlažby z dlaždic kom.pro pěší do bet.tl.50mm vč.dlaždic beton.HBB 50/50/5 cm -skl.ZP01, bod 1</t>
  </si>
  <si>
    <t>Beton.žlabovky š.500 mm -montáž vč.dodávky</t>
  </si>
  <si>
    <t>Úprava povrchů vnitřní</t>
  </si>
  <si>
    <t>Začišťovací okenní lišta pro omítku vč.zatmelení, zaomítnutí, přeštukování a výmalby ostění a nadpraží</t>
  </si>
  <si>
    <t>Zakrývání výplní vnitřních otvorů</t>
  </si>
  <si>
    <t>Stavební řešení vnitřních parapetů ve spoj.chodbě</t>
  </si>
  <si>
    <t>Úprava povrchů vnější</t>
  </si>
  <si>
    <t>Zakrývání výplní vnějších otvorů z lešení</t>
  </si>
  <si>
    <t>Zateplení -řešení okapu a pásového okna chodby -provedení dle detailu Det5</t>
  </si>
  <si>
    <t>Odmaštění,vyspravení a vyrovnání povrchu jemnou cement.maltou-stěny -skl.SO01B, bod 4 + SO01C, bod 4 + SO02, bod 4</t>
  </si>
  <si>
    <t>Vyrovnávací cementová stěrka -skl.SO01A, bod 3</t>
  </si>
  <si>
    <t>Montáž chráničky kabelu do zateplení z polystyrenu vč. chráničky DN 40 mm</t>
  </si>
  <si>
    <t>Zakládací lišta hliník KZS tl. 120 mm</t>
  </si>
  <si>
    <t>Omítkový profil KZS ukončovací</t>
  </si>
  <si>
    <t>Omítkový profil KZS koutový</t>
  </si>
  <si>
    <t>Omítkový profil KZS rohový</t>
  </si>
  <si>
    <t>Zatepl.systém, fasáda, desky PUR tl.120 mm se zásypem a nopovou folií -skl.SO01A, body 4-9</t>
  </si>
  <si>
    <t>Zatepl.systém, fasáda, desky PUR tl.20 mm se silikon.probarv.omítkou -ostění</t>
  </si>
  <si>
    <t>Zatepl.systém, fasáda, desky PUR tl.20 mm s omítkou -ostění vnitřní</t>
  </si>
  <si>
    <t>Zatepl.systém, fasáda, desky PUR tl.120 mm se silikon.probarv.omítkou -skladba SO01C, body 5-10</t>
  </si>
  <si>
    <t>Zatepl.systém, fasáda, desky PUR tl.120 mm se silikon.probarv.omítkou -skladba SO02, body 5-10</t>
  </si>
  <si>
    <t>Zatepl.systém, fasáda, desky PUR tl.120 mm s dekor.sokl.omítkou -skladba SO01B, body 6-12</t>
  </si>
  <si>
    <t>Zatepl.systém, fasáda, desky PUR tl.120 mm se silikon.probarv.omítkou -skladba SO03, body 5-14</t>
  </si>
  <si>
    <t>Zatepl.syst.-spádový klín PUR desky pod parapet vnější</t>
  </si>
  <si>
    <t>Zatepl.syst.-izolace PUR desky pod parapet vnitřní</t>
  </si>
  <si>
    <t>Hmoždinky zápustné (6 ks/m2)</t>
  </si>
  <si>
    <t>Příplatek ke KZS a fasádnímu systému za systémové doplňky a příslušenství</t>
  </si>
  <si>
    <t>Doplňky zatepl. systémů, okenní lišta s tkaninou</t>
  </si>
  <si>
    <t>Doplňky zatepl. systémů, podparapetní lišta s tkan</t>
  </si>
  <si>
    <t>Sanace trhlin na fasádě ozn.OS 21, také pozn.19 - úplné provedení dle popisu v PD</t>
  </si>
  <si>
    <t>Očištění zdí a valů před opravou, ručně -skl.SO01A,SO01B,SO01C,SO02</t>
  </si>
  <si>
    <t>Očištění fasád tlakovou vodou složitost 1 - 2  -skl.SO01A,SO01B,SO01C,SO02</t>
  </si>
  <si>
    <t>Ruční čištění ocelovým kartáčem -30% z plochy -skl.SO01A,SO01B,SO01C,SO02</t>
  </si>
  <si>
    <t>Očištění organických nečistot z fasád slož.1-2 50% z plochy -skl.SO01B,SO01C,SO02</t>
  </si>
  <si>
    <t>Výplně otvorů</t>
  </si>
  <si>
    <t>Osazení parapet.desek plast. a lamin. š. do 20cm vč.dodávky laminát.parap.desky š.125 mm ozn.OS 02</t>
  </si>
  <si>
    <t>Osazení parapet.desek plast. a lamin. š. do 20cm vč.dodávky laminát.parap.desky š. 1130 mm ozn.OS 03</t>
  </si>
  <si>
    <t>Hodinové zúčtovací sazby (HZS)</t>
  </si>
  <si>
    <t>Hzs-nezmeritelne stavebni prace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</si>
  <si>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</si>
  <si>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</si>
  <si>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</si>
  <si>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</si>
  <si>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</si>
  <si>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Montáž ochranné sítě z umělých vláken</t>
  </si>
  <si>
    <t>Příplatek za každý měsíc použití sítí k pol. 4011</t>
  </si>
  <si>
    <t>Demontáž ochranné sítě z umělých vláken</t>
  </si>
  <si>
    <t>Práce plošiny MP20 vč.přistavení a dopravy</t>
  </si>
  <si>
    <t>Různé dokončovací konstrukce a práce na pozemních stavbách</t>
  </si>
  <si>
    <t>Čištění mytím vnějších ploch oken a dveří</t>
  </si>
  <si>
    <t>Ochrana podlah stáv.budovy -při výměně výplní otvorů</t>
  </si>
  <si>
    <t>SDK obklad ocel.sloupů 4str., provedení dle popisu v PD</t>
  </si>
  <si>
    <t>Obezdění hydrant.skříně zdivem P2-500 599x249x300mm vč.povrch.úpravy KZS PUR tl.20mm -ozn.OS 16</t>
  </si>
  <si>
    <t>Obezdění stáv.mřížek průduchů VZT zdivem P2-500 599x249x300mm -ozn.OS 19</t>
  </si>
  <si>
    <t>Stavební přípomoce pro profese</t>
  </si>
  <si>
    <t>Provedení výtažných a odtrhových zkoušek pro ověření únosnosti podkladu</t>
  </si>
  <si>
    <t>Přesazení stáv.prvků na fasádě -rozsah a provedení dle popisu v PD a pozn.10</t>
  </si>
  <si>
    <t>Podrobný průzkum stavu obvod.pláště,lokalizace a popis míst s výskytem skrytých poruch</t>
  </si>
  <si>
    <t>Oprava stáv.dvířek skříně elektro-provedení dle popisu v PD, ozn.OS 14</t>
  </si>
  <si>
    <t>Demontáž hydrantových skříní -úplné provedení dle popisu v PD -pozn.12</t>
  </si>
  <si>
    <t>Skříň hydrantová venkovní s výzbrojí -ozn.OS 15</t>
  </si>
  <si>
    <t>Bourání konstrukcí</t>
  </si>
  <si>
    <t>Bourání zdiva z cihel pálených na MVC -provedení dle pozn.14</t>
  </si>
  <si>
    <t>Bourání příček ze skleněných tvárnic tl. 15 cm</t>
  </si>
  <si>
    <t>Vybourání nosníků ze zdi cihelné dl. 4 m, 20 kg/m -dle pozn.18, vč.ekolog.likvidace na skládce</t>
  </si>
  <si>
    <t>Bourání podkladních  beton.desek -skl.ZP01, bod 7 + skl.ZP03, bod 6, také pozn.9</t>
  </si>
  <si>
    <t>Příplatek, bourání mazanin se svař.síťí nad 10 cm skl.ZP01, bod 7 + skl.ZP03, bod 6, také pozn.9</t>
  </si>
  <si>
    <t>Bourání dlažeb betonových.tl.nad 50 mm, pl.nad 1 m2 -skl.ZP01, bod 7, také pozn.9</t>
  </si>
  <si>
    <t>Demontáž poklopu venk.šachty -dle pozn.11, vč.ekolog.likvidace na skládce</t>
  </si>
  <si>
    <t>Vybourání venk.kovové čistící rohože 1,0x0,5 m -dle pozn.13, vč.ekolog.likvidace na skládce</t>
  </si>
  <si>
    <t>Demontáž kov.zábradlí u vstupu do dílen -provedení dle pozn.16</t>
  </si>
  <si>
    <t>Přisekání plošné zdiva cihelného na MVC tl. do 30 cm -začištění, dle pozn.14</t>
  </si>
  <si>
    <t>Úprava líce podzemních stěn tl. nálitků do 15 cm -skl.SO01A, bod 2</t>
  </si>
  <si>
    <t>Vyvěšení dřevěných okenních křídel pl. do 1,5 m2 -dle pozn.5</t>
  </si>
  <si>
    <t>Vyvěšení dřevěných dveřních křídel pl. do 2 m2 -dle pozn.5</t>
  </si>
  <si>
    <t>Vybourání dřevěných rámů oken jednoduch. pl. 4 m2 -dle pozn.5</t>
  </si>
  <si>
    <t>Vybourání dřevěných rámů oken dvojitých pl. 1 m2 -dle pozn.5</t>
  </si>
  <si>
    <t>Vybourání dřevěných rámů oken dvojitých pl. 2 m2 -dle pozn.5</t>
  </si>
  <si>
    <t>Vybourání dřevěných rámů oken dvojitých pl. 4 m2 -dle pozn.5</t>
  </si>
  <si>
    <t>Vybourání dřevěných dveřních zárubní pl. do 2 m2 -dle pozn.5</t>
  </si>
  <si>
    <t>Vybourání dřevěných dveřních zárubní pl. nad 2 m2 -dle pozn.5</t>
  </si>
  <si>
    <t>Vybourání mříží pl. do 2 m2 -dle pozn.7, vč.ekolog.likvidace na skládce</t>
  </si>
  <si>
    <t>Demontáž výlezu 1,0x0,6 m do podstřeší -dle pozn.8</t>
  </si>
  <si>
    <t>Bourání parapetů vnitřních vč.ekolog.likvidace na skládce</t>
  </si>
  <si>
    <t>Demontáž větracích mřížek dle pozn.17</t>
  </si>
  <si>
    <t>Prorážení otvorů a ostatní bourací práce</t>
  </si>
  <si>
    <t>Otlučení omítek vnějších MVC v složit.1-4 do 100 % -dle pozn.1, také skl.SO01B, bod 4 + skl.SO01C, bod 4 + skl.SO02, body 3,4</t>
  </si>
  <si>
    <t>Otlučení omítek vnějších MVC v složit.1-4 do 100 % -ostění -dle pozn.1, také skl.SO01C, bod 4 + skl.SO02, bod 4</t>
  </si>
  <si>
    <t>Vrtání jádrové do zdiva cihelného d 30 mm</t>
  </si>
  <si>
    <t>Vrtání jádrové do zdiva cihelného d 45 mm</t>
  </si>
  <si>
    <t>Příp. za jádr. vrt. ve H nad 1,5 m cihel d 30 mm</t>
  </si>
  <si>
    <t>Příp. za jádr. vrt. ve H nad 1,5 m cihel d 45mm</t>
  </si>
  <si>
    <t>Vybourání otv. zeď cihel. pl.1 m2, tl.30 cm, MVC -pro VZT</t>
  </si>
  <si>
    <t>Odstranění KZS EPS F tl. 50 mm bez omítky -skladba SO02, bod 3</t>
  </si>
  <si>
    <t>Odsekání vnějších obkladů stěn nad 2 m2 -dle pozn.2</t>
  </si>
  <si>
    <t>Demolice</t>
  </si>
  <si>
    <t>Demolice budov, zdivo, podíl konstr. do 35 %, MVC, provedení dle pozn.4, vč.zaslepení odpadů</t>
  </si>
  <si>
    <t>Přesuny sutí</t>
  </si>
  <si>
    <t>Svislá doprava suti a vybour. hmot za 2.NP nošením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</si>
  <si>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</si>
  <si>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</si>
  <si>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</si>
  <si>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</si>
  <si>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</si>
  <si>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</si>
  <si>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Poplatek za sklád.suti-směs omítky a další odpad</t>
  </si>
  <si>
    <t>Poplatek za skládku suti - beton do 30x30 cm</t>
  </si>
  <si>
    <t>Poplatek za skládku suti-cihel.výrobky do 30x30 cm</t>
  </si>
  <si>
    <t>Poplatek za skládku suti - směs betonu,cihel,dřeva -z demolice</t>
  </si>
  <si>
    <t>Poplatek za skládku suti - skleněné tvárnice</t>
  </si>
  <si>
    <t>Poplatek za skládku suti - stavební keramika</t>
  </si>
  <si>
    <t>Poplatek za skládku suti - asfaltové pásy</t>
  </si>
  <si>
    <t>Poplatek za skládku suti - polystyren+omítka</t>
  </si>
  <si>
    <t>Poplatek za skládku suti - polystyren</t>
  </si>
  <si>
    <t>Poplatek za skládku suti - minerální vata</t>
  </si>
  <si>
    <t>Poplatek za skládku suti - dřevo</t>
  </si>
  <si>
    <t>Poplatek za skládku suti - dřevo+sklo</t>
  </si>
  <si>
    <t>Poplatek za skládku suti - PVC podlahová krytina</t>
  </si>
  <si>
    <t>Ostatní přesuny hmot</t>
  </si>
  <si>
    <t>Přesun hmot pro opravy a údržbu do výšky 12 m</t>
  </si>
  <si>
    <t>Izolace střech (živičné krytiny)</t>
  </si>
  <si>
    <t>Odstranění povlakové krytiny střech do 10° 1vrstvé -asf.pás -skladba STŘ02A, bod 5 + STŘ02B, body 2,5</t>
  </si>
  <si>
    <t>Odstranění parozábrany 1vrstvé -lepenka A 400 H a papír -skladba STR01, body 3,6,8,9,11 + STR02, body 4,5,8,9</t>
  </si>
  <si>
    <t>Krytina střech do 10° fólie, vč.dodávky mPVC tl. 1,5 mm -skladba STŘ03, bod 7</t>
  </si>
  <si>
    <t>Krytina střech do 10° fólie, 6 kotev/m2, tl.izol.do 300 mm, vč.dodávky mPVC tl. 1,5 mm -skladba STŘ02, bod 8</t>
  </si>
  <si>
    <t>provedení vč.detailů a systémových doplňků</t>
  </si>
  <si>
    <t>Prostup střešním pláštěm-speciální ošetření dle popisu v PD</t>
  </si>
  <si>
    <t>Povlaková krytina střech do 10°,podklad.textilie 1 vrstva -vč.dodávky separ.textilie 300 g/m2 -skladba STŘ03, bod 6</t>
  </si>
  <si>
    <t>Povlaková krytina střech do 10°,podklad.textilie 1 vrstva -vč.dodávky separ.textilie 300 g/m2 -skladba STŘ02, bod 7</t>
  </si>
  <si>
    <t>Přesun hmot pro povlakové krytiny, výšky do 12 m</t>
  </si>
  <si>
    <t>Izolace tepelné</t>
  </si>
  <si>
    <t>Odstr.tep.izol.stropů,volně,minerál tl.do 100 mm -skladba STR01, bod 10 + STR02, body 3,7</t>
  </si>
  <si>
    <t>Odstr.tep.izolace stropů EPS tl. do 100 mm -skladba STR01, bod 7</t>
  </si>
  <si>
    <t>Odstr.tep.izolace stěn,volně,minerál tl.do 100 mm -skladba SO03, bod 2</t>
  </si>
  <si>
    <t>Odstr.tep.izol.střech pl,volně,minerál tl.do 100 mm -skladba STŘ02A, bod 2 + STŘ02B, bod 3</t>
  </si>
  <si>
    <t>Montáž difúzní folie stropů shora s přelepením spojů, vč.dodávky -skladba STR01, bod + STR02, bod 13</t>
  </si>
  <si>
    <t>Montáž parozábrany stropů shora s přelepením spojů, vč.dodávky -skladba STR02, bod 10</t>
  </si>
  <si>
    <t>Montáž parozábrany stropů shora s přelepením spojů, vč.dodávky -skladba STR01, bod 12</t>
  </si>
  <si>
    <t>Izolace tepelná podlah (stropů) na sucho, dvouvrstvá -skladba STR01, body 13,14</t>
  </si>
  <si>
    <t>Pás izolační ze skelné plsti 2600x1200x 180 mm</t>
  </si>
  <si>
    <t>Pás izolační ze skelné plsti 4000x1200x 120 mm</t>
  </si>
  <si>
    <t>Izolace tepelná podlah (stropů) na sucho, dvouvrstvá -skladba STR02, body 11,12</t>
  </si>
  <si>
    <t>Pás izolační ze skelné plsti 2900x1200x 160 mm</t>
  </si>
  <si>
    <t>Pás izolační ze skelné plsti 3300x1200x 140 mm</t>
  </si>
  <si>
    <t>Montáž parozábrany, ploché střechy, přelep. spojů vč.dodávky folie -skladba STŘ02, bod 4</t>
  </si>
  <si>
    <t>Izolace tepelná střech do tl.100 mm,1vrstva -skladba STŘ02, bod 3</t>
  </si>
  <si>
    <t>Deska z minerální plsti -klíny do vln trapéz.plechu</t>
  </si>
  <si>
    <t>Izolace tepelná střech do tl.100 mm,1vrstva -skladba STŘ02, bod 5</t>
  </si>
  <si>
    <t>Deska z minerální plsti 2000x1200x 80 mm</t>
  </si>
  <si>
    <t>Deska z minerální plsti 2000x1200x100 mm</t>
  </si>
  <si>
    <t>Izolace tepelná střech do tl.200 mm,1vrstva -skladba STŘ02, bod 6</t>
  </si>
  <si>
    <t>Deska z minerální plsti 2000x1200x120 mm</t>
  </si>
  <si>
    <t>Přesun hmot pro izolace tepelné, výšky do 12 m</t>
  </si>
  <si>
    <t>Zdravotechnika-Vnitřní kanalizace</t>
  </si>
  <si>
    <t>Demontáž - Odpadní a připojovací potrubí litinové/plastové do DN 200 vč. tvarovek</t>
  </si>
  <si>
    <t>Demontáž stávajícího potrubí, instalačních prefabrikátů, včetně armatur, příslušenství a ekologické likvidace odpadu.</t>
  </si>
  <si>
    <t>Demontáž - PV - Podlahová vpusť DN 70 - odstranit, včetně armatur a potrubí</t>
  </si>
  <si>
    <t>Demontáž - UJ - Betonová usazovací jímka - odstranit, včetně armatur a potrubí</t>
  </si>
  <si>
    <t>D+M - Odpadní a připojovací potrubí (HT systém) DN 50</t>
  </si>
  <si>
    <t>Dodávka a montáž odpadního potrubí z polypropylenu, odolávající vysokým teplotám, vyráběné podle ČSN EN 1451-1 (26 dB) pro stoupací, připojovací, větrací potrubí a odvod kondenzátu od VZT, vč. tvarovek, objímek, závěsů, kotvících bodů a tlakových zkoušek.</t>
  </si>
  <si>
    <t>Vyvedení a upevnění odpadních výpustek</t>
  </si>
  <si>
    <t>Dodávka a montáž instalačních armatur včetně příslušného vybavení uvedeného v popisu.</t>
  </si>
  <si>
    <t>D+M - VL - Závěsná nerezová výlevka se zadní stěnou a mřížkou, přepadová sada, nerezový sifon, úchytová sada, materiál AISI - 304, povrch matný</t>
  </si>
  <si>
    <t>rozměr  455/340/217 mm_x000D_
Dodávka a montáž instalační prefabrikátů, včetně příslušného vybavení uvedeného v popisu.</t>
  </si>
  <si>
    <t>Bourání prostupu nosnou stěnou a stropem pro dvojic až čtveřici potrubí do DN 80, vč.transportu suti a uložení na skládku...</t>
  </si>
  <si>
    <t>Bourání prostupu nosnou stěnou a stropem pro dvojic až čtveřici potrubí do DN 80, včetně transportu suti a uložení na skládku + oprava, začištění omítky, utěsnění prostupu a malba</t>
  </si>
  <si>
    <t>Bourání prostupu příčkou pro dvojic až čtveřici potrubí do DN 80, včetně transportu suti a uložení na skládku...</t>
  </si>
  <si>
    <t>Bourání prostupu příčkou pro dvojic až čtveřici potrubí do DN 80, včetně transportu suti a uložení na skládku + oprava, začištění omítky, utěsnění prostupu a malba</t>
  </si>
  <si>
    <t>Ostatní bourací, přípomocné a zednické práce</t>
  </si>
  <si>
    <t>Tlaková zkouška potrubí do DN 125</t>
  </si>
  <si>
    <t>Pročištění potrubí do DN 125</t>
  </si>
  <si>
    <t>Zkouška těsnosti kanalizačního potrubí do DN 125</t>
  </si>
  <si>
    <t>Napojení na stávající potrubí, včetně utěsnění</t>
  </si>
  <si>
    <t>Zaslepení stávajícího potrubí + zátka DN 150</t>
  </si>
  <si>
    <t>Vyčištění stávajícího lapolu dle technické zprávy</t>
  </si>
  <si>
    <t>Vyčištění stávající usazovací jímky dle technické zprávy</t>
  </si>
  <si>
    <t>Přesun hmot</t>
  </si>
  <si>
    <t>Dokumentace skutečného provedení (3 paré) - není součástí položky ve VRN</t>
  </si>
  <si>
    <t>Koordinace - není součástí položky ve VRN</t>
  </si>
  <si>
    <t>Pokud je v tomto dokumentu uveden název výrobku, jde pouze o specifikaci požadovaného standartu, který musí být dodržen. Je tedy možno použít výrobek s jiným názvem a označením, který ale splní požadovaný standart.</t>
  </si>
  <si>
    <t>Zdravotechnika-Vnitřní vodovod</t>
  </si>
  <si>
    <t>Demontáž - Ocelové nebo plastové potrubí do DN 80 - vč. armatur</t>
  </si>
  <si>
    <t xml:space="preserve">Demontáž stávajícího potrubí, instalačních předmětů, včetně armatur, příslušenství a ekologické likvidace odpadu.	</t>
  </si>
  <si>
    <t>Demontáž - Ns - Nástěnná baterie - odstranit, včetně armatur a potrubí</t>
  </si>
  <si>
    <t>Demontáž - Vv - Výtokový kohout - odstranit, včetně armatur a potrubí</t>
  </si>
  <si>
    <t>D+M - potrubí PP-RCT (S 3,2) - d 20x2,8 mm</t>
  </si>
  <si>
    <t>Dodávka a montáž vícevrstvé trubky s čedičovými vlákny pro rozvody studené vody, teplé vody a cirkulace z plastových trub z polypropylenu (PP-RCT) třívrstvá s čedičovým vláknem s lisovanými kovovými spojkami vč. tvarovek, objímek, závěsů, proplachu a zkoušek.</t>
  </si>
  <si>
    <t>D+M - Návleková tepelná izolace PE tl. 20 mm + polep ALS fólií na potrubí 20-22 mm</t>
  </si>
  <si>
    <t xml:space="preserve">Dodávka a montáž potrubních izolačních pouzder s polepem ALS, jedná se o řezaná potrubní pouzdra z kamenné vlny kašírovaná hliníkovou fólií se skleněnou mřížkou, ?=0,033 W/mK. 	</t>
  </si>
  <si>
    <t>D+M - Vl - Nástěnná páková baterie s prodlouženým ramínkem délky 250 mm</t>
  </si>
  <si>
    <t>D+M - Vl - Nástěnná páková baterie s prodlouženým ramínkem délky 250 mm, rozteč 150 mm, chromovaná, keramická kartuš 35 mm, průtok 18 l/min</t>
  </si>
  <si>
    <t>D+M - Zv - Venkovní nezámrzný ventil, instalační a konstrukční sada 
průměr armatury O 38 mm, material mosaz DIN EN, povrch matný chrom, hmotnost 1,77</t>
  </si>
  <si>
    <t>"D+M - Zv - Venkovní nezámrzný ventil, instalační a konstrukční sada 
průměr armatury ? 38 mm, material mosaz DIN EN, povrch matný chrom, hmotnost 1,77 kg, rozměry G 1/2"", vnější závit DN 15
Sedlo ventilu je mrazuvzdorné ve zdivu pro tloušťku zdiva 200 - 500 mm, nucené přivzdušnění k automatickému vyprázdnění armatury při každém uzavření
Montážní sada - stěnová průchodka se zabudovaným ventilovým sedlem, izolovaná hadice, uchycení na stěnu zajištěné proti přetočení, upevňovací materiál, montážní krytka
Instalační sada - tělo armatury s vrškem na nástrčný klíč i ovládací rukojeť, dlouhé vřeteno se zpětnou klapkou, nástěnná rozeta s vnitřním závitem, upevňovací materiál, montážní pomůcky (pro zkracování)"</t>
  </si>
  <si>
    <t>D+M - E - Kompaktní elektrický ohřívač vody o objemu 20 litrů
Rozměry 597x502x263 mm, hmotnost 12,0 kg, el. připojení 230/50 V/Hz, elektrické krytí IP</t>
  </si>
  <si>
    <t>"D+M - E - Kompaktní elektrický ohřívač vody o objemu 20 litrů
Rozměry 597x502x263 mm, hmotnost 12,0 kg, el. připojení 230/50 V/Hz, elektrické krytí IP 44, výkon 2 200 W, objem 20 l, tlaková smaltovaná nádoba, jmenovitý přetlak 0,6 MPa, topné těleso o příkonu 2,2 kW, třída energetické účinnosti A"</t>
  </si>
  <si>
    <t>D+M - Kulový kohout, závitový, chromovaný, páka, DN 15</t>
  </si>
  <si>
    <t>D+M - Zkušební kohout DN 15</t>
  </si>
  <si>
    <t>D+M - Zpětná klapka DN 15</t>
  </si>
  <si>
    <t>D+M - Pojistný ventil, DN 15</t>
  </si>
  <si>
    <t>D+M - Vypouštěcí kohout, DN 15</t>
  </si>
  <si>
    <t>D+M - zátka na potrubí, DN 15 + utěsnění</t>
  </si>
  <si>
    <t>Bourání prostupu nosnou stěnou a stropem pro potrubí do DN 80, včetně transportu suti a uložení na skládku + oprava...</t>
  </si>
  <si>
    <t>Bourání prostupu nosnou stěnou a stropem pro potrubí do DN 80, včetně transportu suti a uložení na skládku + oprava, začištění omítky, utěsnění prostupu a malba</t>
  </si>
  <si>
    <t>Bourání prostupu příčkou pro potrubí do DN 80, včetně transportu suti a uložení na skládku + oprava, začištění omítky, utěsnění prostupu a malba</t>
  </si>
  <si>
    <t>Vypuštění soustavy</t>
  </si>
  <si>
    <t>Napuštění soustavy</t>
  </si>
  <si>
    <t>Napojení na stávající potrubí</t>
  </si>
  <si>
    <t>Tlaková zkouška vnitřní potrubí do DN 80</t>
  </si>
  <si>
    <t>Proplach a dezinfekce vodovodního potrubí do DN 80</t>
  </si>
  <si>
    <t>Zkouška těsnosti vodovodního potrubí do DN 80</t>
  </si>
  <si>
    <t>Pojízdné lešení, pomocné konstrukce, montážní plošina v rámci výšky jednoho podlaží</t>
  </si>
  <si>
    <t>Vzduchotechnika</t>
  </si>
  <si>
    <t>AHU1-Vzduchotechnická jednotka ve venkovním provedení - pro přívod a odvod vzduchu</t>
  </si>
  <si>
    <t>Přívod: klapka, filtr EU5, deskový rekuperační výměník, elektrický ohřívač, ventilátor_x000D_
Odvod: klapka, filtr EU4, ventilátor_x000D_
Vp = 1470 m3/h, Pext = 260Pa _x000D_
Vo = 1470 m3/h, Pext = 250Pa _x000D_
vč.pružných vložek na sání a výtlaku z jednotky, základového rámu</t>
  </si>
  <si>
    <t>vč.měření a regulace ( rozváděč, kabeláž, čidla, manometry, teploměry, regulátor, propojení, zprovoznění…)</t>
  </si>
  <si>
    <t>SA1.1-Tlumič hluku do potrubí 500x300 / 1000</t>
  </si>
  <si>
    <t>CAV1.1-Regulátor variabilního průtoku se servopohonem o315 mm, napájení 230V</t>
  </si>
  <si>
    <t>CAV.12-Regulátor variabilního průtoku se servopohonem o200 mm, napájení 230V</t>
  </si>
  <si>
    <t>SG1.1-Přívodní anemostat VDW -Q-Z / 600x24</t>
  </si>
  <si>
    <t>EG1.1-Odvodní vyúst komfortní s regulací R1, vel. 1025x125</t>
  </si>
  <si>
    <t>EG1.2-Odvodní vyúst komfortní s regulací R1, vel. 825x75</t>
  </si>
  <si>
    <t>do obvodu 1600/20% tvarovek</t>
  </si>
  <si>
    <t>Potrubí hranaté z pozinkovaného plechu o síle dle norem, včetně tvarovek, regulačních klapek, spojovacího a těsnícího materiálu</t>
  </si>
  <si>
    <t>do průměru 200 / 20% tvarovek</t>
  </si>
  <si>
    <t>Kruhové potrubí z pozinkovaného plechu o síle dle norem, včetně tvarovek, regulačních klapek, spojovacího a těsnícího materiálu ( SPIRO )</t>
  </si>
  <si>
    <t>do průměru 315 / 20% tvarovek</t>
  </si>
  <si>
    <t>Tepelná izolace potrubí - minerální vlna s polepem - tl.4cm</t>
  </si>
  <si>
    <t>Tepelná izolace potrubí - minerální vlna s oplechováním - tl.8cm</t>
  </si>
  <si>
    <t>AHU2-Vzduchotechnická jednotka ve venkovním provedení - pro přívod a odvod vzduchu</t>
  </si>
  <si>
    <t>Přívod: klapka, filtr EU5, deskový rekuperační výměník, elektrický ohřívač, ventilátor_x000D_
Odvod: klapka, filtr EU4, ventilátor_x000D_
Vp = 800 m3/h, Pext = 260Pa _x000D_
Vo = 800 m3/h, Pext = 250Pa _x000D_
vč.pružných vložek na sání a výtlaku z jednotky, základového rámu</t>
  </si>
  <si>
    <t>SA2.1-Tlumič hluku do potrubí 500x250 / 1000</t>
  </si>
  <si>
    <t>CAV2.1-Regulátor variabilního průtoku se servopohonem o250 mm, napájení 230V</t>
  </si>
  <si>
    <t>CAV2.2-Regulátor variabilního průtoku se servopohonem o200 mm, napájení 230V</t>
  </si>
  <si>
    <t>SG2.1-Přívodní anemostat VDW -Q-Z / 600x24</t>
  </si>
  <si>
    <t>EG2.1-Odvodní vyúst komfortní s regulací R1, vel. 825x75</t>
  </si>
  <si>
    <t>do průměru 250 / 20% tvarovek</t>
  </si>
  <si>
    <t>Závěsný systém jednoho výrobce (např. Hilti)...</t>
  </si>
  <si>
    <t>Závěsný systém jednoho výrobce (např. Hilti) - objímky, závěsy, kotvy, příčníky, závitové tyče, konzoly, hmoždínky; vrtání do betonových a jiných konstrukcí; statické výpočty výrobce</t>
  </si>
  <si>
    <t>Betonové desky 500x500x60 pro kotvení na střechu vč. pryžové podložky 600x600</t>
  </si>
  <si>
    <t>Dodavatelská dokumentace</t>
  </si>
  <si>
    <t>Pokud není uvedeno jinak, obsahují všechny položky dodávku a montáž zařízení vč. veškerých pomocných materiálů nutných k montáži zařízení_x000D_
Montážní, spojovací, těsnící, závěsový materiál, vč. pomocných konstrukcí pod zařízení, vč. materiálu pro  eliminaci přenosu vibrací do stavebních konstrukcí od všech zařízení, rýhovaná vícevrstvá pryž, izolátory chvění _x000D_
Výměry potrubí jsou uvedeny bez prořezů_x000D_
Veškeré zařízení bude vybíráno od prověřených výrobců v oboru. Uvedené referenční výrobky udávají technický a kvalitativní standard výrobku. _x000D_
Podkladem pro ocenění, stavbu, technické řešení jednotlivých konstrukcí a objednávání materiálu je projekt jako celek, přičemž stačí, aby příslušné dodávky a práce byly zmíněny v některé z jeho částí. Technické řešení jednotlivých konstrukcí nelze v žádném případě odvozovat od této specifikace, ale výlučně od projektu._x000D_
Uchazeč (Zhotovitel) si je vědom, že je jeho povinností zahrnout do ceny  i veškeré práce a materiály, které nemusí být v tomto výkazu výměr vyslovně uvedené, ale jsou součástí projektu. Případné doplnění specifikaci je možno jen v samostatném výkazu  (tzn. ""pod čarou"" tohoto výkazu výměr). Následné změny výměr v průběhu realizace nebudou akceptovány._x000D_
Pokud to není jmenovitě uvedeno v této specifikaci, jsou součástí ceny Zhotovitele i veškeré zkoušky, potřebná měření, inspekce, uvedení zařízení do provozu, zaškolení obsluhy a revize, zpracování veškeré dílenské dokumentace, provozních předpisů, manuálů a zpracování projektu skutečného provedení.</t>
  </si>
  <si>
    <t>Dokumentace skutečného provedení</t>
  </si>
  <si>
    <t>Zaregulování soustavy</t>
  </si>
  <si>
    <t>Manuály</t>
  </si>
  <si>
    <t>Testy a revize</t>
  </si>
  <si>
    <t>Zaškolení</t>
  </si>
  <si>
    <t>Zkušební provoz</t>
  </si>
  <si>
    <t>Energie a jiná media</t>
  </si>
  <si>
    <t>Lešení a pomocné konstrukce</t>
  </si>
  <si>
    <t>Ústřední vytápění</t>
  </si>
  <si>
    <t>Stávající ocelové potrubí do DN 50, včetně konzol, tepelných izolací a připojovacích armatur</t>
  </si>
  <si>
    <t>Demontáž stávajícího potrubí a otopných těles, včetně armatur, příslušenství a ekologické likvidace odpadu</t>
  </si>
  <si>
    <t>Demontáž a zpětná montáž - Stávající litinové článkové otopné těleso - odstranit připojovací armatury</t>
  </si>
  <si>
    <t>Demontáž a zpětná montáž - Stávající trubkové otopné těleso - odstranit připojovací armatury</t>
  </si>
  <si>
    <t>Demontáž - Stávající trubkové žebrové otopné těleso - odstranit bez náhrady, odstranit připojovací armatury, připojovací potrubí a kotvení otopného tě</t>
  </si>
  <si>
    <t>D+M - Potrubí Oc 18,0x1,2 mm</t>
  </si>
  <si>
    <t>Dodávka a montáž potrubí z uhlíkové oceli, vně pozinkované E195 č. 1.0034 nebo alternativně E190 č. 1.0031 nebo jiné třídy ekvivalentního složení dle EN 10305-3, max. provozní tlak PN 16, vč. tvarovek, redukcí, přechodek, návarků a kotvení potrubí</t>
  </si>
  <si>
    <t>D+M - Potrubí Oc 22,0x1,5 mm</t>
  </si>
  <si>
    <t>D+M - Potrubí Oc 28,0x1,5 mm</t>
  </si>
  <si>
    <t>D+M - Přechod ocel / uhlíková ocel</t>
  </si>
  <si>
    <t>D+M - Zátka na potrubí DN 20 + utěsnění</t>
  </si>
  <si>
    <t>Zpětná montáž otopného tělesa</t>
  </si>
  <si>
    <t>D+M - TRV - Nový termostatický ventil s ovládacím víčkem, jednoregulační. Max. 10 bar, max. 110 °C, povrchová úprava chrom.</t>
  </si>
  <si>
    <t>D+M - TH - Termostatická hlavice s vestavěným kapalinou plněným čidlem, pro tělesa s integrovaným termostatickým ventilem se závitem M 30x1,5, rozsah</t>
  </si>
  <si>
    <t>D+M - TH - Termostatická hlavice s vestavěným kapalinou plněným čidlem, pro tělesa s integrovaným termostatickým ventilem se závitem M 30x1,5, rozsah nastavení 6 °C až 28 °C, stupnice nastavení 1 až 5, zabezpečení proti nadměrnému zdvihu, ochrana proti zamrznutí 6 °C, maximální teplota čidla 50 °C.</t>
  </si>
  <si>
    <t>D+M - Radiátorové regulační a uzavíratelné šroubení, gumové těsnění, Max. 16 bar, max. 120 °C, povrchová úprava chrom.</t>
  </si>
  <si>
    <t>D+M - OV - Odvzdušňovací radiátorový ventil niklovaný DN 15 (1/2"), ruční ovládání klíčkem, vč. ovládacího klíčku.</t>
  </si>
  <si>
    <t>D+M - Vyregulování ventilů s termostatickým ovládáním</t>
  </si>
  <si>
    <t>D+M - Přetěsnění stávajících článků otopných těles - předpoklad 25%</t>
  </si>
  <si>
    <t>D+M - Nátěry syntetické litinových radiátorů 2x email vrchní bílá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</si>
  <si>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</si>
  <si>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</si>
  <si>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</si>
  <si>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 xml:space="preserve">Dodávka a montáž Instalační prefabrikátů včetně tvarovek, objímek, závěsů, kotvících bodů a tlakových zkoušek.	</t>
  </si>
  <si>
    <t>Bourání podlahy, včetně transportu suti a uložení na skládku + oprava do původního stavu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</si>
  <si>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</si>
  <si>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</si>
  <si>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</si>
  <si>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</si>
  <si>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</si>
  <si>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 xml:space="preserve">Pokud je v tomto dokumentu uveden název výrobku, jde pouze o specifikaci požadovaného standartu, který musí být dodržen. Je tedy možno použít výrobek s jiným názvem a označením, který ale splní požadovaný standart. 	</t>
  </si>
  <si>
    <t>Konstrukce tesařské</t>
  </si>
  <si>
    <t>Zakrývání provizorní plachtou 12x15m,vč.odstranění</t>
  </si>
  <si>
    <t>Zakrývání provizorní plachtou 15x20m,vč.odstranění</t>
  </si>
  <si>
    <t>Dřevěné stropnice 80/180mm -kontrola stavu, lokální opravy tesařské (5 %), vč.impregnace -skladba STR01, bod 4</t>
  </si>
  <si>
    <t>cena vztažená na půdorysnou plochu</t>
  </si>
  <si>
    <t>Demontáž válc.profilů I 160 vč.ekolog.likvidace na skládce -skladba STŘ02B, bod 3</t>
  </si>
  <si>
    <t>vztaženo k ploše</t>
  </si>
  <si>
    <t>Demontáž konstrukcí krovů z hranolů do 224 cm2 -skladba STŘ02A, bod 3 + STŘ02B, bod 4</t>
  </si>
  <si>
    <t>M+D Stříška nad vstupy -skladba STŘ03, body 1-5</t>
  </si>
  <si>
    <t>Demontáž bednění střech rovných z prken hrubých -skladba STŘ02A, bod 4 + STŘ02B, bod 5</t>
  </si>
  <si>
    <t>Demontáž záklopů z prken tl. do 3,2 cm -skladba STR01, bod 5</t>
  </si>
  <si>
    <t>Přesun hmot pro tesařské konstrukce, výšky do 12 m</t>
  </si>
  <si>
    <t>Konstrukce klempířské</t>
  </si>
  <si>
    <t>Demont. krytiny,plech.,nad 25 m2,vč.nástř.prvků a doplňků, vč.ekolog.likvidace na skládce -skladba  STŘ02A, bod 6 + STŘ02B, body 1,6</t>
  </si>
  <si>
    <t>Demont.krytiny plech, do 25 m2, nad 45°, vč.ekolog.likvidace na skládce -skladba SO03, bod 4</t>
  </si>
  <si>
    <t>Demontáž žlabů půlkruh. rovných, rš 330 mm, do 30° -dle pozn.15, vč.ekolog.likvidace na skládce</t>
  </si>
  <si>
    <t>Demontáž kotlíku kónického, sklon do 30° -dle pozn.15, vč.ekolog.likvidacve na skládce</t>
  </si>
  <si>
    <t>Oplech.parapetů z Al extr.plechu tl. 2,6 mm, rš 120mm vč.bočních plast.lišt, ozn.K02 -provedení dle popisu v PD</t>
  </si>
  <si>
    <t>Oplech.parapetů z Al extr.plechu tl. 2,6 mm, rš 270mm vč.bočních plast.lišt, ozn.K04 -provedení dle popisu v PD</t>
  </si>
  <si>
    <t>Oplech.parapetů z Al extr.plechu tl. 2,6 mm, rš 305mm vč.bočních plast.lišt, ozn.K01 -provedení dle popisu v PD</t>
  </si>
  <si>
    <t>Demontáž oplechování parapetů, a dalš.oplech -dle pozn.3, vč.ekolog.likvidace na skládce</t>
  </si>
  <si>
    <t>Demontáž kolen horních dvojitých D 100 mm -dle pozn.15, vč.ekolog.likvidace na skládce</t>
  </si>
  <si>
    <t>Demontáž odpadních trub kruhových D 100 mm -dle pozn.15, vč.ekolog.likvidace na skládce</t>
  </si>
  <si>
    <t>Demontáž kolen výtokových.kruhových,D 100 mm -dle pozn.15 vč.ekolog.likvidace na skládce</t>
  </si>
  <si>
    <t>Oplech.pilířku hydrantu ocel.pozink.plech poplast.,tl.0,6mm rš 570 mm ozn.K08 -provedení dle popisu v PD</t>
  </si>
  <si>
    <t>Lemování zdí ploch.střech, ocel.poz.plech tl.0,6mm, poplast., rš 400 mm ozn.K03 -provedení dle popisu v PD</t>
  </si>
  <si>
    <t>Oplech.stříšky nad vstupy ocel.pozink.plech poplast.,tl.0,6mm rš 100 mm ozn.K07 -provedení dle popisu v PD</t>
  </si>
  <si>
    <t>Oplech.stříšky nad vstupy ocel.pozink.plech poplast.,tl.0,6mm rš 440 mm ozn.K05 -provedení dle popisu v PD</t>
  </si>
  <si>
    <t>Oplech.stříšky nad vstupy ocel.pozink.plech poplast.,tl.0,6mm rš 600 mm ozn.K06 -provedení dle popisu v PD</t>
  </si>
  <si>
    <t>Žlab podokapní půlkruh.z lak.Pz plechu tl.0,6mm, rš 330 mm ozn.K09 -provedení dle popisu v PD</t>
  </si>
  <si>
    <t>Odpadní trouby kruhové z lak.Pz plechu tl.0,6mm, D 125 mm, vč.objímek,kotlíků, ozn.K10 -provedení dle popisu v PD</t>
  </si>
  <si>
    <t>Přesun hmot pro klempířské konstr., výšky do 12 m</t>
  </si>
  <si>
    <t>Konstrukce truhlářské</t>
  </si>
  <si>
    <t>Demontáž obložení stěn -dřev.bednění -skladba SO03, bod 3</t>
  </si>
  <si>
    <t>Demontáž obložení stěn palubkami -skladba SO03, bod 1</t>
  </si>
  <si>
    <t>Demontáž podkladových roštů obložení stěn -skladba SO03, bod 2</t>
  </si>
  <si>
    <t>Demontáž obložení stropů palubkami -skladba STŘ02A, bod 1</t>
  </si>
  <si>
    <t>Demontáž podkladových roštů obložení podhledů -skladba STŘ02A, bod 2</t>
  </si>
  <si>
    <t>M+D Střešní výlez 1000/600 ozn.W21 - provedení dle popisu v PD</t>
  </si>
  <si>
    <t>Těsnění oken.spáry, ostění, PT páska + PP páska</t>
  </si>
  <si>
    <t>Těsnění oken.spáry,parapet,PT folie+PP folie+páska</t>
  </si>
  <si>
    <t>M+D Okno plastové 2400/1500mm -provedení dle popisu v PD, ozn.W01</t>
  </si>
  <si>
    <t>M+D Okno plastové 3600/1500mm -provedení dle popisu v PD, ozn.W02</t>
  </si>
  <si>
    <t>M+D Okno plastové 1200/1500mm -provedení dle popisu v PD, ozn.W03</t>
  </si>
  <si>
    <t>M+D Okno plastové 1200/1500mm -provedení dle popisu v PD, ozn.W03b</t>
  </si>
  <si>
    <t>M+D Okno plastové 600/1200mm -provedení dle popisu v PD, ozn.W04</t>
  </si>
  <si>
    <t>M+D Okno plastové 1500/760mm -provedení dle popisu v PD, ozn.W05</t>
  </si>
  <si>
    <t>M+D Světlík plastový stěnový 14440/880mm -provedení dle popisu v PD, ozn.W06</t>
  </si>
  <si>
    <t>M+D Světlík plastový stěnový 7945/880mm -provedení dle popisu v PD, ozn.W07</t>
  </si>
  <si>
    <t>M+D Světlík plastový stěnový 36570/880mm -provedení dle popisu v PD, ozn.W08</t>
  </si>
  <si>
    <t>M+D Světlík plastový stěnový 3500/1250mm -provedení dle popisu v PD, ozn.W09</t>
  </si>
  <si>
    <t>M+D Světlík plastový stěnový 4200/1250mm -provedení dle popisu v PD, ozn.W10</t>
  </si>
  <si>
    <t>M+D Světlík plastový stěnový 1500/2260mm -provedení dle popisu v PD, ozn.W11</t>
  </si>
  <si>
    <t>M+D Světlík plastový stěnový 4200/1350mm -provedení dle popisu v PD, ozn.W12</t>
  </si>
  <si>
    <t>M+D Světlík plastový stěnový 3600/1350mm -provedení dle popisu v PD, ozn.W13</t>
  </si>
  <si>
    <t>M+D Světlík plastový stěnový 1500/1350mm -provedení dle popisu v PD, ozn.W14</t>
  </si>
  <si>
    <t>M+D Světlík plastový stěnový 4200/1350mm -provedení dle popisu v PD, ozn.W19</t>
  </si>
  <si>
    <t>M+D Světlík plastový stěnový 3600/1350mm -provedení dle popisu v PD, ozn.W20</t>
  </si>
  <si>
    <t>M+D Dveře dřev.800x1970mm vč.kování, zárubně, povrch.úpravy -ozn.D09 -úplné provedení dle popisu v PD</t>
  </si>
  <si>
    <t>Přesun hmot pro truhlářské konstr., výšky do 12 m</t>
  </si>
  <si>
    <t>Konstrukce doplňkové stavební (zámečnické)</t>
  </si>
  <si>
    <t>Ocelový profil "T" 80 -kontrola stavu,obroušení,nový nátěr -skladba STR02, bod 2</t>
  </si>
  <si>
    <t>Spodní pásnice vazníku -kontrola stavu,obroušení,nový nátěr -skladba STR02, bod 6</t>
  </si>
  <si>
    <t>M+D Ocelová konstrukce -úplné provedení dle popisu v PD, také skl.STŘ02, bod 2</t>
  </si>
  <si>
    <t>Rozkrytí a zpětná montáž střechy z trapéz.plechu (do 25% plochy) -skladba STŘ01, také pozn.20 a detail Det6</t>
  </si>
  <si>
    <t>M+D Ocel.poklop pro zádlažbu 1100/600mm -provedení dle PD, ozn.Z07</t>
  </si>
  <si>
    <t>M+D Venkovní rohož zapuštěná vč.vaničky a rámu 1000/500mm -provedení dle PD, ozn.Z07</t>
  </si>
  <si>
    <t>M+D Pevná okenní síť proti hmyzu 3600/1500mm -provedení dle popisu v PD, ozn.OS 07</t>
  </si>
  <si>
    <t>M+D Venkovní žaluzie s krytem 2400/1500mm -provedení dle popisu v PD, ozn.OS 08</t>
  </si>
  <si>
    <t>M+D Venkovní žaluzie s krytem 3600/1500mm -provedení dle popisu v PD, ozn.OS 09</t>
  </si>
  <si>
    <t>M+D Venkovní žaluzie s krytem 2200/1500mm -provedení dle popisu v PD, ozn.OS 10</t>
  </si>
  <si>
    <t>M+D Okno vnitřní požární Al 1150/1450mm, ozn.W15 -úplné provedení dle popisu v PD</t>
  </si>
  <si>
    <t>M+D Okno vnitřní požární Al 4050/1450mm, ozn.W16 -úplné provedení dle popisu v PD</t>
  </si>
  <si>
    <t>M+D Okno vnitřní požární Al 2600/1450mm, ozn.W17 -úplné provedení dle popisu v PD</t>
  </si>
  <si>
    <t>M+D Okno vnitřní požární Al 3050/1450mm, ozn.W18 -úplné provedení dle popisu v PD</t>
  </si>
  <si>
    <t>M+D Dveře vchodové  Al 1400/2200mm, ozn.D01 -úplné provedení dle PD</t>
  </si>
  <si>
    <t>M+D Dveře vchodové  Al 1600/2200mm, ozn.D02 -úplné provedení dle PD</t>
  </si>
  <si>
    <t>M+D Dveře vchodové+nadsv. Al 1400/2500mm, ozn.D03 -úplné provedení dle PD</t>
  </si>
  <si>
    <t>M+D Dveře vchodové  Al 1000/2100mm, ozn.D04 -úplné provedení dle PD</t>
  </si>
  <si>
    <t>M+D Dveře vchodové  Al 900/2100mm, ozn.D05 -úplné provedení dle PD</t>
  </si>
  <si>
    <t>M+D Dveře vnitřní+nadsv. Al požární 1550/2450mm, ozn.D06 -úplné provedení dle PD</t>
  </si>
  <si>
    <t>M+D Dveře vnitřní+nadsv. Al požární 1000/2450mm, ozn.D07 -úplné provedení dle PD</t>
  </si>
  <si>
    <t>M+D Dveře vnitřní+nadsv. Al požární 1000/2450mm, ozn.D08 -úplné provedení dle PD</t>
  </si>
  <si>
    <t>M+D Okenní mříž ozn.Z01 -provedení dle popisu v PD</t>
  </si>
  <si>
    <t>M+D Okenní mříž ozn.Z02 -provedení dle popisu v PD</t>
  </si>
  <si>
    <t>M+D Okenní mříž ozn.Z03 -provedení dle popisu v PD</t>
  </si>
  <si>
    <t>Přípl.-úprava zámků pro generální klíč</t>
  </si>
  <si>
    <t>M+D Kovová větrací mřížka s protidešťovou žaluzií 300x300 mm ozn.Z06 -provedení dle popisu v PD</t>
  </si>
  <si>
    <t>M+D Překlad ze dvou UPE -provedení dle popisu v PD vč.betonu -ozn.Z5</t>
  </si>
  <si>
    <t>M+D Překlady nad otvory nové VZT -úplné provedení dle popisu v TZ, ozn.Z9</t>
  </si>
  <si>
    <t>M+D Ocel.rám přístřešku nad vstupy 1425x1187 mm -úplné provedení dle popisu v PD, ozn.Z08</t>
  </si>
  <si>
    <t>M+D Ocel.rám přístřešku nad vstupy 1625x1187 mm -úplné provedení dle popisu v PD, ozn.Z08</t>
  </si>
  <si>
    <t>Přesun hmot pro zámečnické konstr., výšky do 12 m</t>
  </si>
  <si>
    <t>Podlahy z dlaždic</t>
  </si>
  <si>
    <t>Vysávání podlah prům.vysavačem pro pokládku dlažby</t>
  </si>
  <si>
    <t>Hydroizolační stěrka -vlhké provozy- pod dlažby, vč.vytažení pod obklad</t>
  </si>
  <si>
    <t>Penetrace podkladu pod dlažby</t>
  </si>
  <si>
    <t>Kladení dlažby keramické do TM, vel.do 300x300mm</t>
  </si>
  <si>
    <t>Dlažba keramická prostiskluzná R10,velkoformátová -dle výběru investora</t>
  </si>
  <si>
    <t>Spára podlaha - stěna, silikonem+separač.provazec</t>
  </si>
  <si>
    <t>Příplatek za spárování vodotěsnou hmotou - plošně</t>
  </si>
  <si>
    <t>Příplatek za plochu do 5 m2 jednotlivě</t>
  </si>
  <si>
    <t>Přesun hmot pro podlahy z dlaždic, výšky do 12 m</t>
  </si>
  <si>
    <t>Podlahy povlakové</t>
  </si>
  <si>
    <t>Vysávání podlah prům.vysavačem pod povlak.podlahy ozn.OS 22</t>
  </si>
  <si>
    <t>Vyrovnání podkladů samonivelační hmotou ozn.OS 22</t>
  </si>
  <si>
    <t>Penetrace podkladu pod povlak.krytiny ozn.OS 22</t>
  </si>
  <si>
    <t>Demontáž soklíků nebo lišt, pryžových nebo z PVC ozn.OS 22</t>
  </si>
  <si>
    <t>Lepení podlahových soklíků z PVC a vinylu ozn.OS 22</t>
  </si>
  <si>
    <t>Lišta soklová PVC dle výběru investora</t>
  </si>
  <si>
    <t>Odstranění PVC a koberců lepených s podložkou ozn.OS 22</t>
  </si>
  <si>
    <t>Lepení povlak.podlah z pásů PVC, vč.přebroušení, odmaštění, zbavení plísní podkladu -ozn.OS 22</t>
  </si>
  <si>
    <t>Zátěžové linoleum dle popisu v PD a výběru investora</t>
  </si>
  <si>
    <t>Přesun hmot pro podlahy povlakové, výšky do 12 m</t>
  </si>
  <si>
    <t>Obklady (keramické)</t>
  </si>
  <si>
    <t>Penetrace podkladu pod obklady</t>
  </si>
  <si>
    <t>Obkládání parapetů do tmele šířky 300 mm &gt; ozn.OS 01 + OS 04 + OS 05 + OS 06</t>
  </si>
  <si>
    <t>Obkládačka keramická, střední standart, dle výběru investora</t>
  </si>
  <si>
    <t>Montáž obkladů stěn, porovin.,tmel, do 20x25 cm</t>
  </si>
  <si>
    <t>Montáž lišt k obkladům -nárožních,koutových, horních</t>
  </si>
  <si>
    <t>Profil ukončovací PVC  H = 10 mm</t>
  </si>
  <si>
    <t>Příplatek za spárovací vodotěsnou hmotu - plošně</t>
  </si>
  <si>
    <t>Přesun hmot pro obklady keramické, výšky do 12 m</t>
  </si>
  <si>
    <t>Nátěry</t>
  </si>
  <si>
    <t>Obroušení a nový nátěr zábradlí u venk.schodiště -provedení dle PD, ozn.OS 18</t>
  </si>
  <si>
    <t>Malby</t>
  </si>
  <si>
    <t>Nová výmalba spojovací chodby -úplné provedení dle  popisu v PD  -ozn.OS 23</t>
  </si>
  <si>
    <t>Nová výmalba dotčených prostor -úplné provedení dle  popisu v PD  -ozn.OS 24 -stropy</t>
  </si>
  <si>
    <t>Nová výmalba dotčených prostor -úplné provedení dle  popisu v PD  -ozn.OS 24 -stěny -otěruvzdorný nátěr</t>
  </si>
  <si>
    <t>Nová výmalba dotčených prostor -úplné provedení dle  popisu v PD  -ozn.OS 24 -stěny -omyvatelný nátěr</t>
  </si>
  <si>
    <t>Elektromontáže</t>
  </si>
  <si>
    <t>Demontáž a opětovná montáž zabezpečovacího zařízení ozn.OS 11 -provedení dle popisu v PD</t>
  </si>
  <si>
    <t>Demontáž a opětovná montáž osvětlení hlavního vstupu ozn.OS 12 -provedení dle popisu v PD</t>
  </si>
  <si>
    <t>Přeložení zvonkového tabla ozn.OS 13 -provedení dle popisu v PD</t>
  </si>
  <si>
    <t>Demontáž a opětovná montáž antény WIFI ozn.OS 17 -provedení dle popisu v PD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</si>
  <si>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</si>
  <si>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</si>
  <si>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</si>
  <si>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</si>
  <si>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</si>
  <si>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1 milionu Kč</t>
  </si>
  <si>
    <t>Montáž rozvodné skříně do 50 kg</t>
  </si>
  <si>
    <t>Úpravy stávajícího hlavního rozvaděče</t>
  </si>
  <si>
    <t>Rozvaděč  MaR1 a MaR2 , každý s náplní s náplní : 1x hlavní vypínač, 
1x přepěťová ochrana B+C, 2x jistič 1/6A,
5x jistič 1/10A, 2x jistič 3/4A, 2x re</t>
  </si>
  <si>
    <t xml:space="preserve">"Rozvaděč  MaR1 a MaR2 , každý s náplní s náplní : 1x hlavní vypínač, 
1x přepěťová ochrana B+C, 2x jistič 1/6A,
5x jistič 1/10A, 2x jistič 3/4A, 2x regulátor pro CO2, 2x spouštěč motorů pro 0,78 kW, 2x stykač 3/16A
Provedení OCEP ""P"" ( 800x100x20 mm )
Krytí IP54/20,  svorky"_x000D_
</t>
  </si>
  <si>
    <t>Materiál k doplnění do hlavního rozvaděče : 3x  jistič s chráničem 1/10A/0,03A, 2x stykač 1/40A,    2x impulsní relé, 1x jistič 1/16A , 2x jistič 3/20</t>
  </si>
  <si>
    <t>Materiál k doplnění do hlavního rozvaděče : 3x  jistič s chráničem 1/10A/0,03A, 2x stykač 1/40A,    2x impulsní relé, 1x jistič 1/16A , 2x jistič 3/20A, 2x jistič 1/10A, svorky, popisky, ranžírovací vodič</t>
  </si>
  <si>
    <t>Kontrola přívodů</t>
  </si>
  <si>
    <t>Přípojnice hlavního /lokálního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</si>
  <si>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</si>
  <si>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</si>
  <si>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</si>
  <si>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</si>
  <si>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</si>
  <si>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trubka plastová ohebná D 13,5 mm uložená pevně</t>
  </si>
  <si>
    <t>trubka elektroinstalační ohebná D 13,5 mm</t>
  </si>
  <si>
    <t>Montáž krabice zapuštěná plastová kruhová typ KU68/2-1902, KO125</t>
  </si>
  <si>
    <t>krabice přístrojová instalační KP 68/1</t>
  </si>
  <si>
    <t>krabice univerzální z PH KU 68/2-1903</t>
  </si>
  <si>
    <t>krabice přístrojová odbočná s víčkem z PH KO125</t>
  </si>
  <si>
    <t>krabice přístrojová IP65 vč. svorek IP65</t>
  </si>
  <si>
    <t>Montáž krabice zapuštěná plastová čtyřhranná typ KO100</t>
  </si>
  <si>
    <t>Krabice  KO100</t>
  </si>
  <si>
    <t>Montáž vodič uzemňovací drát nebo lano D do 10 mm / v liště / pod omítkou</t>
  </si>
  <si>
    <t>drát průměr 10 mm FeZn</t>
  </si>
  <si>
    <t>Montáž svorka hromosvodná typ ST, SJ, SK, SZ, SR01, 02 se 3 šrouby</t>
  </si>
  <si>
    <t>svorka uzemnění  SU nerez univerzální</t>
  </si>
  <si>
    <t>Lišta LV 40x40 mm</t>
  </si>
  <si>
    <t>Demontáž stávajících rozvodů NN ( Úklid,  zařízení na vnějším plášti objektu souvisejících se zateplením.</t>
  </si>
  <si>
    <t>Trubka korugovaná 50/41</t>
  </si>
  <si>
    <t>Montáž vodič Cu izolovaný sk.1 do 1 kV žíla 0,35 až 6 mm2 do stěny</t>
  </si>
  <si>
    <t>vodič silový s Cu jádrem CY H07 V-U 2 mm2</t>
  </si>
  <si>
    <t>vodič silový s Cu jádrem CY H07 V-U 4 mm2</t>
  </si>
  <si>
    <t>vodič silový s Cu jádrem CY H07 V-U 6 mm2</t>
  </si>
  <si>
    <t>Montáž vodič Cu izolovaný sk.1 do 1 kV žíla 10 až 16 mm2 do stěny</t>
  </si>
  <si>
    <t>vodič silový s Cu jádrem CY H07 V-U 10 mm2</t>
  </si>
  <si>
    <t>vodič silový s Cu jádrem CY H07 V-U 16 mm2</t>
  </si>
  <si>
    <t>Montáž kabel Cu sk.2 do 1 kV do 0,20 kg pod omítku stěn</t>
  </si>
  <si>
    <t>kabel silový s Cu jádrem CYKY-J 3x1,5 mm2</t>
  </si>
  <si>
    <t>kabel silový s Cu jádrem CYKY-O 2x1,5 mm2</t>
  </si>
  <si>
    <t>Montáž kabel Cu sk.2 do 1 kV do 0,40 kg pod omítku stěn</t>
  </si>
  <si>
    <t>kabel silový s Cu jádrem CYKY 5x1,5 mm2</t>
  </si>
  <si>
    <t>kabel silový s Cu jádrem CYKY 3x2,5 mm2</t>
  </si>
  <si>
    <t>Montáž kabel Cu sk.2 do 1 kV do 1,10 kg pod omítku stěn</t>
  </si>
  <si>
    <t>kabel silový s Cu jádrem CYKY-J 5x6mm2</t>
  </si>
  <si>
    <t>kabel silový s Cu jádrem CYKY 4Bx10mm2</t>
  </si>
  <si>
    <t>Ukončení vodič izolovaný do 2,5mm2 v rozváděči nebo na přístroji vč. zapojení VZT serv a čidel CO2 ( bez jejich dodávek )</t>
  </si>
  <si>
    <t>SVORKA 221-415 5x2,5</t>
  </si>
  <si>
    <t>SVORKA ST 5 NA POTRUBI</t>
  </si>
  <si>
    <t>OZNAC.STITEK C.1</t>
  </si>
  <si>
    <t>páska stahovací kabelová VPP 4/280</t>
  </si>
  <si>
    <t>Ukončení vodič izolovaný do 16 mm2 v rozváděči nebo na přístroji</t>
  </si>
  <si>
    <t>Montáž pospojení</t>
  </si>
  <si>
    <t>Sada pro ochranné pospojení</t>
  </si>
  <si>
    <t>Montáž vypínač nástěnný 1-jednopólový prostředí obyčejné nebo vlhké</t>
  </si>
  <si>
    <t>spínač jednopólový řazení 1 10A bílý, IP44, komplet</t>
  </si>
  <si>
    <t>Montáž spínač nástěnný řaz 0/1 jednopólový prostředí obyčejné nebo vlhké</t>
  </si>
  <si>
    <t>Tlačítkový spínač řazení 0/1 IP20 komplet</t>
  </si>
  <si>
    <t>Montáž přepínač nástěnný 6-střídavý prostředí obyčejné nebo vlhké</t>
  </si>
  <si>
    <t>spínač řazení 6 10A bílý IP20, komplet</t>
  </si>
  <si>
    <t>Montáž přepínač nástěnný 7-křížový prostředí obyčejné nebo vlhké</t>
  </si>
  <si>
    <t>spínač řazení 7 10A bílý IP20</t>
  </si>
  <si>
    <t>Krabice vývodka do 5x2,5mm2</t>
  </si>
  <si>
    <t>Montáž zásuvka chráněná bezšroubové připojení v krabici L+N+PE dvojí zapojení prostř. základní,vlhké</t>
  </si>
  <si>
    <t>zásuvka 2násobná 16A IP 20 bílá komplet</t>
  </si>
  <si>
    <t>Rámeček jednonásobný</t>
  </si>
  <si>
    <t>Rámeček dvojnásobný</t>
  </si>
  <si>
    <t>Montáž žaluziový ovladač nástěnný UP/DOWN prostředí obyčejné nebo vlhké</t>
  </si>
  <si>
    <t>Žaluziový ovladač nástěnný UP/DOWN komplet</t>
  </si>
  <si>
    <t>Podružný montážní materiál</t>
  </si>
  <si>
    <t>Montáž svítidlo zářivkové bytové stropní do dvou zdrojů</t>
  </si>
  <si>
    <t>S - Svítidlo LED 25W/ 2200 lm
600x600 / do rastru / přisazené / svěšené min IP20 vč. přísl.</t>
  </si>
  <si>
    <t>S/N - Svítidlo LED 25W/ 2200 lm
600x600 / do rastru / přisazené / svěšené min IP20 / s invertorem 1 hod, vč. přísl.</t>
  </si>
  <si>
    <t>F - Svítidlo LED / žárovkové / zářivkové max 60W / IP44 / s IR pohybovým čidlem</t>
  </si>
  <si>
    <t>Montáž svítidlo zářivkové bytové nástěnné přisazené 1 zdroj</t>
  </si>
  <si>
    <t>N - Svítidlo LED nouzové s piktogramy 8W/1 hod</t>
  </si>
  <si>
    <t>zkouška nouzových svítidel</t>
  </si>
  <si>
    <t>Měření intenzity osvětlení</t>
  </si>
  <si>
    <t>zemnící drát FeZn d10</t>
  </si>
  <si>
    <t>svorka do dvou šroubů</t>
  </si>
  <si>
    <t>Svorka AB vč. pásky Cu</t>
  </si>
  <si>
    <t>zemnící drát AlMgSi d8 polotvrdý</t>
  </si>
  <si>
    <t>zemnicí páska FeZn 30/4</t>
  </si>
  <si>
    <t>zemnící páska FeZn 30/4</t>
  </si>
  <si>
    <t>Svorka zkušební ZS</t>
  </si>
  <si>
    <t>Svorka okapová SO</t>
  </si>
  <si>
    <t>Podpěra PV</t>
  </si>
  <si>
    <t>Zemnící tyč 1,5m</t>
  </si>
  <si>
    <t>Izolovaný vodič HVI vč podpěr s příslušenství vč. spojek ( 12m )</t>
  </si>
  <si>
    <t>Jímač tyčový v=2m vč příslušenství</t>
  </si>
  <si>
    <t>Podružný, spojovací, připojovací, kotevní a upevňovací materiál, svorky a - veškeré příslušenství, asfaltový nátěr</t>
  </si>
  <si>
    <t>Dokumentace skutečného provedení stavby</t>
  </si>
  <si>
    <t>Výkopové sondy ( základový zemnič )</t>
  </si>
  <si>
    <t>práce ve výšce nad 3m</t>
  </si>
  <si>
    <t>Náklady na zkušební provoz</t>
  </si>
  <si>
    <t>Stavební přípomoce</t>
  </si>
  <si>
    <t>Materiál pro stavební přípomoce / zához rýh pro vodiče a kabely</t>
  </si>
  <si>
    <t>Opatření proti prašnosti a úklid</t>
  </si>
  <si>
    <t>Oživení a parametrizace VZT / MaR</t>
  </si>
  <si>
    <t>Demontáž a opětná montáž rozvodů MN ( rozhlas, siréna</t>
  </si>
  <si>
    <t>Proškolení, návody k obsluze</t>
  </si>
  <si>
    <t>Ekologická likvidace odpadů</t>
  </si>
  <si>
    <t>Ostatní náklady</t>
  </si>
  <si>
    <t>Zařízení staveniště</t>
  </si>
  <si>
    <t>Provozní a územní vlivy</t>
  </si>
  <si>
    <t>Koordinační činnost</t>
  </si>
  <si>
    <t>Dokumentace skut.provedení stavby</t>
  </si>
  <si>
    <t>Geodetické práce při a po výstavbě</t>
  </si>
  <si>
    <t>Výrobní a dílenská dokumentace</t>
  </si>
  <si>
    <t>Doba výstavby:</t>
  </si>
  <si>
    <t>Začátek výstavby:</t>
  </si>
  <si>
    <t>Konec výstavby:</t>
  </si>
  <si>
    <t>Zpracováno dne:</t>
  </si>
  <si>
    <t>MJ</t>
  </si>
  <si>
    <t>m3</t>
  </si>
  <si>
    <t>m2</t>
  </si>
  <si>
    <t>t</t>
  </si>
  <si>
    <t>kus</t>
  </si>
  <si>
    <t>m</t>
  </si>
  <si>
    <t>h</t>
  </si>
  <si>
    <t>hod</t>
  </si>
  <si>
    <t>soub</t>
  </si>
  <si>
    <t>kpl</t>
  </si>
  <si>
    <t>sada</t>
  </si>
  <si>
    <t>kg</t>
  </si>
  <si>
    <t>100 kus</t>
  </si>
  <si>
    <t>set</t>
  </si>
  <si>
    <t>soubor</t>
  </si>
  <si>
    <t>ks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</si>
  <si>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</si>
  <si>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</si>
  <si>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</si>
  <si>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</si>
  <si>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</si>
  <si>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</si>
  <si>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</si>
  <si>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</si>
  <si>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</si>
  <si>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</si>
  <si>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</si>
  <si>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</si>
  <si>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</si>
  <si>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</si>
  <si>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</si>
  <si>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</si>
  <si>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</si>
  <si>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</si>
  <si>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</si>
  <si>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</si>
  <si>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</si>
  <si>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</si>
  <si>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</si>
  <si>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</si>
  <si>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</si>
  <si>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13_</t>
  </si>
  <si>
    <t>16_</t>
  </si>
  <si>
    <t>17_</t>
  </si>
  <si>
    <t>18_</t>
  </si>
  <si>
    <t>31_</t>
  </si>
  <si>
    <t>34_</t>
  </si>
  <si>
    <t>41_</t>
  </si>
  <si>
    <t>56_</t>
  </si>
  <si>
    <t>57_</t>
  </si>
  <si>
    <t>59_</t>
  </si>
  <si>
    <t>61_</t>
  </si>
  <si>
    <t>62_</t>
  </si>
  <si>
    <t>64_</t>
  </si>
  <si>
    <t>90_</t>
  </si>
  <si>
    <t>94_</t>
  </si>
  <si>
    <t>95_</t>
  </si>
  <si>
    <t>96_</t>
  </si>
  <si>
    <t>97_</t>
  </si>
  <si>
    <t>98_</t>
  </si>
  <si>
    <t>S_</t>
  </si>
  <si>
    <t>H99_</t>
  </si>
  <si>
    <t>712_</t>
  </si>
  <si>
    <t>713_</t>
  </si>
  <si>
    <t>721_</t>
  </si>
  <si>
    <t>722_</t>
  </si>
  <si>
    <t>728_</t>
  </si>
  <si>
    <t>730_</t>
  </si>
  <si>
    <t>762_</t>
  </si>
  <si>
    <t>764_</t>
  </si>
  <si>
    <t>766_</t>
  </si>
  <si>
    <t>767_</t>
  </si>
  <si>
    <t>771_</t>
  </si>
  <si>
    <t>776_</t>
  </si>
  <si>
    <t>781_</t>
  </si>
  <si>
    <t>783_</t>
  </si>
  <si>
    <t>784_</t>
  </si>
  <si>
    <t>M21_</t>
  </si>
  <si>
    <t>0_</t>
  </si>
  <si>
    <t>1_</t>
  </si>
  <si>
    <t>3_</t>
  </si>
  <si>
    <t>4_</t>
  </si>
  <si>
    <t>5_</t>
  </si>
  <si>
    <t>6_</t>
  </si>
  <si>
    <t>9_</t>
  </si>
  <si>
    <t>71_</t>
  </si>
  <si>
    <t>72_</t>
  </si>
  <si>
    <t>73_</t>
  </si>
  <si>
    <t>76_</t>
  </si>
  <si>
    <t>77_</t>
  </si>
  <si>
    <t>78_</t>
  </si>
  <si>
    <t>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</si>
  <si>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</si>
  <si>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</si>
  <si>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</si>
  <si>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</si>
  <si>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</si>
  <si>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</si>
  <si>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</si>
  <si>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</si>
  <si>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</si>
  <si>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</si>
  <si>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Výkaz výměr</t>
  </si>
  <si>
    <t>(14,84+68,04+0,42+68,04-2,45-1,1+14,84)*1,0*0,3   </t>
  </si>
  <si>
    <t>32,526   </t>
  </si>
  <si>
    <t>16,263   </t>
  </si>
  <si>
    <t>70,0+30,0   </t>
  </si>
  <si>
    <t>48,789-16,263   </t>
  </si>
  <si>
    <t>(14,84+68,04+0,42+68,04-2,45-1,1+14,84)*1,0*0,1   </t>
  </si>
  <si>
    <t>(14,84+68,04+0,42+68,04-2,45-1,1+14,84)*2,0   </t>
  </si>
  <si>
    <t>32,526*1,75   </t>
  </si>
  <si>
    <t>0,9*1,42   </t>
  </si>
  <si>
    <t>3,95*1,35   </t>
  </si>
  <si>
    <t>0,3*0,3*2+0,6*0,6*3+0,3*3,14   </t>
  </si>
  <si>
    <t>75   </t>
  </si>
  <si>
    <t>2,05*3,0-0,8*1,97   </t>
  </si>
  <si>
    <t>1   </t>
  </si>
  <si>
    <t>4,574   </t>
  </si>
  <si>
    <t>2,3*2   </t>
  </si>
  <si>
    <t>183   </t>
  </si>
  <si>
    <t>(18,15+49,95)*2,5   </t>
  </si>
  <si>
    <t>60,415   </t>
  </si>
  <si>
    <t>70,0   </t>
  </si>
  <si>
    <t>30,0   </t>
  </si>
  <si>
    <t>70,0*2+30,0   </t>
  </si>
  <si>
    <t>30   </t>
  </si>
  <si>
    <t>60   </t>
  </si>
  <si>
    <t>3,0*8   </t>
  </si>
  <si>
    <t>5,4*3+6,6*5+4,2*13+4,2*9+3,0*7+3,02+16,16*2+9,705*2+38,33*2+6,0*3*2+6,7*5*2+6,02*2+6,9*4*2+6,3*2*2   </t>
  </si>
  <si>
    <t>4,2*2+4,05*2*2+6,95*4*2+5,5*2+5,95*3*2+6,9*5*2+6,3*3*2   </t>
  </si>
  <si>
    <t>3,6*3+5,4*5+1,8*13+1,8*9+0,72*7+1,14+12,672+6,992+32,182+4,375*3+5,25*5+3,42+5,67*4+4,86*2+2,025   </t>
  </si>
  <si>
    <t>5,67*5+4,86*3+3,08+3,52+3,5+2,1+1,89   </t>
  </si>
  <si>
    <t>1,668*2*2+5,873*4*2+3,77*2+4,223*3*2+3,798*2*2+2,45*2*2+2,45*3*2   </t>
  </si>
  <si>
    <t>(14,4+7,945+36,57)*0,25   </t>
  </si>
  <si>
    <t>14,4+7,945+0,9+36,57   </t>
  </si>
  <si>
    <t>(14,84*0,85)/2+(0,87*0,85)+(1,1*0,85)/2+(14,84+68,04+0,42+68,04-2,45-1,1)*0,25   </t>
  </si>
  <si>
    <t>(47,53*4,84)+2,45*(4,84+6,35)/2+(18,05*6,35)-1,2*1,5*15-1,0*2,1-1,4*2,5-3,6*1,5*5-4,2*1,25*5-1,6*2,2   </t>
  </si>
  <si>
    <t>(12,3*4,84)+(12,3*1,11)/2-2,4*1,5*3-3,5*1,25*3+(2,54*2,85)-1,4*2,2   </t>
  </si>
  <si>
    <t>(47,32*4,84)+2,45*(4,84+6,35)/2+(18,05*6,35)-(36,57+7,945+14,4)*0,88-0,9*2,1-1,5*1,35   </t>
  </si>
  <si>
    <t>-(4,2*5+3,6*3)*1,35-1,5*2,26-1,2*1,5*4   </t>
  </si>
  <si>
    <t>(12,3*6,35)+(12,3*1,11)/2-1,2*1,5*3-0,6*1,2*7+(2,54*2,89)-1,5*0,76   </t>
  </si>
  <si>
    <t>(14,84+68,04+0,42+68,04-2,45-1,1+14,84)*0,35   </t>
  </si>
  <si>
    <t>100   </t>
  </si>
  <si>
    <t>14,84+0,87+1,1+14,84+68,04+0,42+68,04-2,45-1,1   </t>
  </si>
  <si>
    <t>164,6   </t>
  </si>
  <si>
    <t>385,135   </t>
  </si>
  <si>
    <t>2*6,35+2*4,84+385,135   </t>
  </si>
  <si>
    <t>(4,2*6+5,2+6,4+6,6*5+6,0)*0,24   </t>
  </si>
  <si>
    <t>(5,4*3+5,8+3,02+4,2*3+5,1+3,0*2)*0,24   </t>
  </si>
  <si>
    <t>(16,16+9,705+38,33)*0,1   </t>
  </si>
  <si>
    <t>(4,2*9+6,0*3+4,2+6,9*5+6,3*3+6,02+4,2*4+3,0*5)*0,24+6,7*5*0,21   </t>
  </si>
  <si>
    <t>(4,2*6+5,2+6,4+6,6*5+6,0)*0,13   </t>
  </si>
  <si>
    <t>(5,4*3+5,8+3,02+4,2*3+5,1+3,0*2)*0,13   </t>
  </si>
  <si>
    <t>(16,16+9,705+38,33)*0,13   </t>
  </si>
  <si>
    <t>(4,2*9+6,0*3+4,2+6,9*5+6,3*3+6,02+4,2*4+3,0*5)*0,13+6,7*5*0,13   </t>
  </si>
  <si>
    <t>2,54*1,61   </t>
  </si>
  <si>
    <t>2,4*3+3,6*5+1,2*13+1,2*9+0,6*7+1,5   </t>
  </si>
  <si>
    <t>14,44+7,945+36,57+3,5*3+4,2*5+1,5+4,2*4+3,6*2+1,5+4,2*5+3,6*3   </t>
  </si>
  <si>
    <t>(57,0+564,0+80,0+81,0+44,0+4,0)*6   </t>
  </si>
  <si>
    <t>56,921+79,633+563,667+80,692+44,462+4,089   </t>
  </si>
  <si>
    <t>5,4*3+6,6*5+4,2*13+4,2*9+3,0*7+3,02*1   </t>
  </si>
  <si>
    <t>16,16+9,705+38,33+6,0*3+6,7*5+6,02+6,9*4+6,3*2+4,2+6,9*5+6,3*3   </t>
  </si>
  <si>
    <t>206,555   </t>
  </si>
  <si>
    <t>73   </t>
  </si>
  <si>
    <t>56,921+44,462+563,667+80,692   </t>
  </si>
  <si>
    <t>(56,921+44,462+563,667+80,692)*0,3   </t>
  </si>
  <si>
    <t>(44,462+563,667+80,692)*0,2   </t>
  </si>
  <si>
    <t>2,4*3   </t>
  </si>
  <si>
    <t>3,6*5+1,2*19   </t>
  </si>
  <si>
    <t>180   </t>
  </si>
  <si>
    <t>(49,53*6,04)+2,45*(6,04+7,55)/2+(20,05*7,55)+(12,3*6,04)+(12,3*1,11)/2+(2,54*4,05)   </t>
  </si>
  <si>
    <t>(49,32*6,04)+2,45*(6,04+7,55)/2+(20,26*7,55)+(12,3*7,55)+(12,3*1,11)/2   </t>
  </si>
  <si>
    <t>1125,787*3   </t>
  </si>
  <si>
    <t>1125,787   </t>
  </si>
  <si>
    <t>500   </t>
  </si>
  <si>
    <t>269,666   </t>
  </si>
  <si>
    <t>300   </t>
  </si>
  <si>
    <t>2,3*12   </t>
  </si>
  <si>
    <t>0,25   </t>
  </si>
  <si>
    <t>6   </t>
  </si>
  <si>
    <t>2   </t>
  </si>
  <si>
    <t>(14,4+7,945+36,57)*0,25*0,25   </t>
  </si>
  <si>
    <t>36,57*0,88+(7,945+14,4)*0,88+(4,2*5+3,5*3)*1,25+(1,5+4,2+3,95+4,2*4+3,6*3)*1,5+1,5*0,76+1,5*2,26   </t>
  </si>
  <si>
    <t>4,2*5*2*0,0168   </t>
  </si>
  <si>
    <t>70,0*0,2+30,0*0,2   </t>
  </si>
  <si>
    <t>1+1   </t>
  </si>
  <si>
    <t>2*15*2+6*5+2*4*2+4*3+2*3*2+1*7   </t>
  </si>
  <si>
    <t>1+1+1*5   </t>
  </si>
  <si>
    <t>2+1+2   </t>
  </si>
  <si>
    <t>(3,05+4,05+3,05+4,05+3,05+4,05+2,6+4,05+1,15*2)*1,45   </t>
  </si>
  <si>
    <t>0,6*1,2*2+0,6*1,2*5   </t>
  </si>
  <si>
    <t>1,2*1,5*9*2+1,2*1,5*9*2+1,2*1,5*4*2   </t>
  </si>
  <si>
    <t>3,6*1,5*4+3,55*1,5+2,4*1,5*3   </t>
  </si>
  <si>
    <t>0,9*2,02   </t>
  </si>
  <si>
    <t>1,0*2,1+1,4*2,4+1,6*2,2+1,4*2,2+1,1*2,45*5+1,55*2,45*2   </t>
  </si>
  <si>
    <t>1,2*1,5*6+1,2*1,5*3+0,6*1,2*2+1,2*1,5   </t>
  </si>
  <si>
    <t>7,2+40,8   </t>
  </si>
  <si>
    <t>30,25+4,8+1,5+3,0   </t>
  </si>
  <si>
    <t>2+1+3   </t>
  </si>
  <si>
    <t>44,462+563,667+80,692*3   </t>
  </si>
  <si>
    <t>79,633   </t>
  </si>
  <si>
    <t>0,3*6   </t>
  </si>
  <si>
    <t>0,3   </t>
  </si>
  <si>
    <t>1,15*0,83*0,3   </t>
  </si>
  <si>
    <t>(2,58+0,1)*0,45+(2,46*1,55)/2+(0,22*2,0)   </t>
  </si>
  <si>
    <t>1,7*2,75*2,48+(1,7*2+2,75)*0,6*1,2   </t>
  </si>
  <si>
    <t>216,274*0,2   </t>
  </si>
  <si>
    <t>54,86+71,554+15,184+10,426+12,535+0,316+21,346+0,679+0,698+8,375+10,454+9,712+0,135   </t>
  </si>
  <si>
    <t>2377,452*14   </t>
  </si>
  <si>
    <t>216,274   </t>
  </si>
  <si>
    <t>216,274*5   </t>
  </si>
  <si>
    <t>50,162+4,698   </t>
  </si>
  <si>
    <t>44,0+17,08+10,474   </t>
  </si>
  <si>
    <t>6,632+8,032+0,005+0,515   </t>
  </si>
  <si>
    <t>10,426   </t>
  </si>
  <si>
    <t>12,535   </t>
  </si>
  <si>
    <t>0,316   </t>
  </si>
  <si>
    <t>21,346   </t>
  </si>
  <si>
    <t>0,679   </t>
  </si>
  <si>
    <t>0,698   </t>
  </si>
  <si>
    <t>5,804+2,571   </t>
  </si>
  <si>
    <t>2,415+8,039   </t>
  </si>
  <si>
    <t>8,676+1,036   </t>
  </si>
  <si>
    <t>0,135   </t>
  </si>
  <si>
    <t>0,042+18,028+0,147+17,721+68,89+24,45+47,371+7,183+28,762+0,207+24,522+3,721   </t>
  </si>
  <si>
    <t>18,06*2,5   </t>
  </si>
  <si>
    <t>49,79*2,5*2   </t>
  </si>
  <si>
    <t>222,876*5   </t>
  </si>
  <si>
    <t>614,016*3+(614,016/2)   </t>
  </si>
  <si>
    <t>1,2*1,45*2+1,2*1,65   </t>
  </si>
  <si>
    <t>21,79   </t>
  </si>
  <si>
    <t>222,876+614,016*2   </t>
  </si>
  <si>
    <t>222,876   </t>
  </si>
  <si>
    <t>49,79*2,5   </t>
  </si>
  <si>
    <t>222,876+614,016   </t>
  </si>
  <si>
    <t>614,016   </t>
  </si>
  <si>
    <t>;ztratné 5%; 11,1438   </t>
  </si>
  <si>
    <t>;ztratné 5%; 30,7008   </t>
  </si>
  <si>
    <t>;ztratné 5%; 8,5125   </t>
  </si>
  <si>
    <t>(18,15+49,95)*2,5*2   </t>
  </si>
  <si>
    <t>23,525   </t>
  </si>
  <si>
    <t>(1,2*1,45)*2+(1,2*1,65)   </t>
  </si>
  <si>
    <t>18,12*12,3   </t>
  </si>
  <si>
    <t>12,442   </t>
  </si>
  <si>
    <t>67,85*3   </t>
  </si>
  <si>
    <t>2+1+1+4+2+2+2   </t>
  </si>
  <si>
    <t>14,4+7,95+36,57   </t>
  </si>
  <si>
    <t>4,2*5   </t>
  </si>
  <si>
    <t>2,4*3+3,6*5+1,2*22+0,6*7+1,5   </t>
  </si>
  <si>
    <t>1,2*6+3,6*4+3,55+2,4*3+1,2*2+0,6*2+1,2   </t>
  </si>
  <si>
    <t>0,6*5+1,2*9+1,24*4   </t>
  </si>
  <si>
    <t>67,85*2+67,85+2,5*2+12,3*2   </t>
  </si>
  <si>
    <t>4,63*2+6,2+7,1+1,87*4+3,53*2+2,5*2+2,45*2   </t>
  </si>
  <si>
    <t>1+4+2+2+2   </t>
  </si>
  <si>
    <t>1,42   </t>
  </si>
  <si>
    <t>80   </t>
  </si>
  <si>
    <t>5   </t>
  </si>
  <si>
    <t>68,1*3   </t>
  </si>
  <si>
    <t>45   </t>
  </si>
  <si>
    <t>5,68   </t>
  </si>
  <si>
    <t>4,05*2+6,95*4+5,5*1+5,95*3   </t>
  </si>
  <si>
    <t>2,4*3+3,6*5+1,2*13+1,2*9+0,6*7+1,5*1   </t>
  </si>
  <si>
    <t>1,15*2+4,05*4+2,6*1+3,05*3   </t>
  </si>
  <si>
    <t>14,4+7,945+36,57+3,5*3+4,2*5+1,5+4,2*4+3,6*2+1,5+4,2*5+3,6*3   </t>
  </si>
  <si>
    <t>3   </t>
  </si>
  <si>
    <t>9+4   </t>
  </si>
  <si>
    <t>9   </t>
  </si>
  <si>
    <t>2+5   </t>
  </si>
  <si>
    <t>4   </t>
  </si>
  <si>
    <t>17,129   </t>
  </si>
  <si>
    <t>6730   </t>
  </si>
  <si>
    <t>(67,85*1,5)*2+(9,9*1,5)*2   </t>
  </si>
  <si>
    <t>10   </t>
  </si>
  <si>
    <t>1+1+1+1+1+2+2+3+1   </t>
  </si>
  <si>
    <t>120   </t>
  </si>
  <si>
    <t>57,501   </t>
  </si>
  <si>
    <t>2,05*1,3   </t>
  </si>
  <si>
    <t>;ztratné 5%; 0,13325   </t>
  </si>
  <si>
    <t>(2,05+1,3)*2-0,9   </t>
  </si>
  <si>
    <t>0,059   </t>
  </si>
  <si>
    <t>135   </t>
  </si>
  <si>
    <t>123   </t>
  </si>
  <si>
    <t>;ztratné 10%; 12,3   </t>
  </si>
  <si>
    <t>;ztratné 25%; 33,75   </t>
  </si>
  <si>
    <t>1,593   </t>
  </si>
  <si>
    <t>30,25*0,25+4,8*0,13+1,5*0,1+0,16*3,0   </t>
  </si>
  <si>
    <t>(2,05+1,3)*2*1,55-0,9*1,55   </t>
  </si>
  <si>
    <t>1,15*2+4,05*4+2,6+3,05*3   </t>
  </si>
  <si>
    <t>1,2*3+0,6*2+1,5   </t>
  </si>
  <si>
    <t>0,6*5   </t>
  </si>
  <si>
    <t>;ztratné 35%; 3,08595   </t>
  </si>
  <si>
    <t>8,99   </t>
  </si>
  <si>
    <t>;ztratné 10%; 0,899   </t>
  </si>
  <si>
    <t>39,55+0,25*10*2+0,13*5*2+0,1*2+0,16*5*2   </t>
  </si>
  <si>
    <t>(2,05+1,3)*2-0,9+1,55*4   </t>
  </si>
  <si>
    <t>59,65   </t>
  </si>
  <si>
    <t>;ztratné 10%; 5,965   </t>
  </si>
  <si>
    <t>17,807   </t>
  </si>
  <si>
    <t>0,37   </t>
  </si>
  <si>
    <t>215   </t>
  </si>
  <si>
    <t>8,68+10,22+6,52+11,7+60,33+2,66+22,46+50,22+6,0+2,86+18,03+7,29+10,96+9,04+7,79+2,28+11,31+0,96+0,47   </t>
  </si>
  <si>
    <t>1,05+0,56+11,97+18,57+6,08   </t>
  </si>
  <si>
    <t>28,88+24,33+10,56+4,83+4,32+1,22+4,32+1,19+5,67+11,5+39,15   </t>
  </si>
  <si>
    <t>152,969+68,282+58,572+49,407+58,34+44,34+58,08+113,928+28,92+10,96+21,3+50,06+33,5   </t>
  </si>
  <si>
    <t>106,522+48,562+32,526+28,91+22,224*2+10,95+10,82+28,37+36,542   </t>
  </si>
  <si>
    <t>100,05+237,031+167,834+34,207+40,48+35,22+15,94+38,78+48,44+42,82+50,54+30,8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</si>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</sst>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69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3" fillId="3" borderId="35" xfId="0" applyNumberFormat="1" applyFont="1" applyFill="1" applyBorder="1" applyAlignment="1" applyProtection="1">
      <alignment horizontal="center" vertical="center"/>
    </xf>
    <xf numFmtId="49" fontId="14" fillId="0" borderId="36" xfId="0" applyNumberFormat="1" applyFont="1" applyFill="1" applyBorder="1" applyAlignment="1" applyProtection="1">
      <alignment horizontal="left" vertical="center"/>
    </xf>
    <xf numFmtId="49" fontId="14" fillId="0" borderId="37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5" fillId="0" borderId="3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5" fillId="0" borderId="35" xfId="0" applyNumberFormat="1" applyFont="1" applyFill="1" applyBorder="1" applyAlignment="1" applyProtection="1">
      <alignment horizontal="right" vertical="center"/>
    </xf>
    <xf numFmtId="49" fontId="15" fillId="0" borderId="35" xfId="0" applyNumberFormat="1" applyFont="1" applyFill="1" applyBorder="1" applyAlignment="1" applyProtection="1">
      <alignment horizontal="right"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" fontId="14" fillId="3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8" fillId="2" borderId="7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8" fillId="2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9" fontId="17" fillId="4" borderId="48" xfId="0" applyNumberFormat="1" applyFont="1" applyFill="1" applyBorder="1" applyAlignment="1" applyProtection="1">
      <alignment horizontal="left" vertical="center"/>
    </xf>
    <xf numFmtId="4" fontId="17" fillId="4" borderId="47" xfId="0" applyNumberFormat="1" applyFont="1" applyFill="1" applyBorder="1" applyAlignment="1" applyProtection="1">
      <alignment horizontal="right" vertical="center"/>
    </xf>
    <xf numFmtId="164" fontId="17" fillId="4" borderId="48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4" fontId="17" fillId="4" borderId="48" xfId="0" applyNumberFormat="1" applyFont="1" applyFill="1" applyBorder="1" applyAlignment="1" applyProtection="1">
      <alignment horizontal="right" vertical="center"/>
    </xf>
    <xf numFmtId="49" fontId="17" fillId="4" borderId="47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5" fillId="0" borderId="27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44" xfId="0" applyNumberFormat="1" applyFont="1" applyFill="1" applyBorder="1" applyAlignment="1" applyProtection="1">
      <alignment horizontal="left" vertical="center"/>
    </xf>
    <xf numFmtId="49" fontId="15" fillId="0" borderId="41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0" fontId="15" fillId="0" borderId="45" xfId="0" applyNumberFormat="1" applyFont="1" applyFill="1" applyBorder="1" applyAlignment="1" applyProtection="1">
      <alignment horizontal="left" vertical="center"/>
    </xf>
    <xf numFmtId="49" fontId="14" fillId="3" borderId="38" xfId="0" applyNumberFormat="1" applyFont="1" applyFill="1" applyBorder="1" applyAlignment="1" applyProtection="1">
      <alignment horizontal="left" vertical="center"/>
    </xf>
    <xf numFmtId="0" fontId="14" fillId="3" borderId="34" xfId="0" applyNumberFormat="1" applyFont="1" applyFill="1" applyBorder="1" applyAlignment="1" applyProtection="1">
      <alignment horizontal="left" vertical="center"/>
    </xf>
    <xf numFmtId="49" fontId="15" fillId="0" borderId="40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5" fillId="0" borderId="43" xfId="0" applyNumberFormat="1" applyFont="1" applyFill="1" applyBorder="1" applyAlignment="1" applyProtection="1">
      <alignment horizontal="left" vertical="center"/>
    </xf>
    <xf numFmtId="49" fontId="14" fillId="0" borderId="38" xfId="0" applyNumberFormat="1" applyFont="1" applyFill="1" applyBorder="1" applyAlignment="1" applyProtection="1">
      <alignment horizontal="left" vertical="center"/>
    </xf>
    <xf numFmtId="0" fontId="14" fillId="0" borderId="4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2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center" vertical="center"/>
    </xf>
    <xf numFmtId="0" fontId="12" fillId="0" borderId="34" xfId="0" applyNumberFormat="1" applyFont="1" applyFill="1" applyBorder="1" applyAlignment="1" applyProtection="1">
      <alignment horizontal="center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49" fontId="17" fillId="4" borderId="47" xfId="0" applyNumberFormat="1" applyFont="1" applyFill="1" applyBorder="1" applyAlignment="1" applyProtection="1">
      <alignment horizontal="left" vertical="center"/>
    </xf>
    <xf numFmtId="0" fontId="5" fillId="0" borderId="48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49" fontId="17" fillId="4" borderId="48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7" fillId="4" borderId="48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A2" sqref="A2:B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6"/>
      <c r="B1" s="49"/>
      <c r="C1" s="113" t="s">
        <v>1983</v>
      </c>
      <c r="D1" s="114"/>
      <c r="E1" s="114"/>
      <c r="F1" s="114"/>
      <c r="G1" s="114"/>
      <c r="H1" s="114"/>
      <c r="I1" s="114"/>
    </row>
    <row r="2" spans="1:10" x14ac:dyDescent="0.2">
      <c r="A2" s="115" t="s">
        <v>1</v>
      </c>
      <c r="B2" s="116"/>
      <c r="C2" s="117" t="str">
        <f>'Stavební rozpočet'!C2</f>
        <v>SOUp Jílové - snížení energetické náročnosti budovy odborného výcviku a ředitelství - PD</v>
      </c>
      <c r="D2" s="118"/>
      <c r="E2" s="120" t="s">
        <v>1678</v>
      </c>
      <c r="F2" s="120" t="str">
        <f>'Stavební rozpočet'!I2</f>
        <v> </v>
      </c>
      <c r="G2" s="116"/>
      <c r="H2" s="120" t="s">
        <v>2007</v>
      </c>
      <c r="I2" s="121"/>
      <c r="J2" s="31"/>
    </row>
    <row r="3" spans="1:10" ht="25.7" customHeight="1" x14ac:dyDescent="0.2">
      <c r="A3" s="110"/>
      <c r="B3" s="84"/>
      <c r="C3" s="119"/>
      <c r="D3" s="119"/>
      <c r="E3" s="84"/>
      <c r="F3" s="84"/>
      <c r="G3" s="84"/>
      <c r="H3" s="84"/>
      <c r="I3" s="112"/>
      <c r="J3" s="31"/>
    </row>
    <row r="4" spans="1:10" x14ac:dyDescent="0.2">
      <c r="A4" s="104" t="s">
        <v>2</v>
      </c>
      <c r="B4" s="84"/>
      <c r="C4" s="83" t="str">
        <f>'Stavební rozpočet'!C4</f>
        <v xml:space="preserve"> </v>
      </c>
      <c r="D4" s="84"/>
      <c r="E4" s="83" t="s">
        <v>1679</v>
      </c>
      <c r="F4" s="83" t="str">
        <f>'Stavební rozpočet'!I4</f>
        <v> </v>
      </c>
      <c r="G4" s="84"/>
      <c r="H4" s="83" t="s">
        <v>2007</v>
      </c>
      <c r="I4" s="111"/>
      <c r="J4" s="31"/>
    </row>
    <row r="5" spans="1:10" x14ac:dyDescent="0.2">
      <c r="A5" s="110"/>
      <c r="B5" s="84"/>
      <c r="C5" s="84"/>
      <c r="D5" s="84"/>
      <c r="E5" s="84"/>
      <c r="F5" s="84"/>
      <c r="G5" s="84"/>
      <c r="H5" s="84"/>
      <c r="I5" s="112"/>
      <c r="J5" s="31"/>
    </row>
    <row r="6" spans="1:10" x14ac:dyDescent="0.2">
      <c r="A6" s="104" t="s">
        <v>3</v>
      </c>
      <c r="B6" s="84"/>
      <c r="C6" s="83" t="str">
        <f>'Stavební rozpočet'!C6</f>
        <v xml:space="preserve"> </v>
      </c>
      <c r="D6" s="84"/>
      <c r="E6" s="83" t="s">
        <v>1680</v>
      </c>
      <c r="F6" s="83" t="str">
        <f>'Stavební rozpočet'!I6</f>
        <v> </v>
      </c>
      <c r="G6" s="84"/>
      <c r="H6" s="83" t="s">
        <v>2007</v>
      </c>
      <c r="I6" s="111"/>
      <c r="J6" s="31"/>
    </row>
    <row r="7" spans="1:10" x14ac:dyDescent="0.2">
      <c r="A7" s="110"/>
      <c r="B7" s="84"/>
      <c r="C7" s="84"/>
      <c r="D7" s="84"/>
      <c r="E7" s="84"/>
      <c r="F7" s="84"/>
      <c r="G7" s="84"/>
      <c r="H7" s="84"/>
      <c r="I7" s="112"/>
      <c r="J7" s="31"/>
    </row>
    <row r="8" spans="1:10" x14ac:dyDescent="0.2">
      <c r="A8" s="104" t="s">
        <v>1658</v>
      </c>
      <c r="B8" s="84"/>
      <c r="C8" s="83" t="str">
        <f>'Stavební rozpočet'!F4</f>
        <v xml:space="preserve"> </v>
      </c>
      <c r="D8" s="84"/>
      <c r="E8" s="83" t="s">
        <v>1659</v>
      </c>
      <c r="F8" s="83" t="str">
        <f>'Stavební rozpočet'!F6</f>
        <v xml:space="preserve"> </v>
      </c>
      <c r="G8" s="84"/>
      <c r="H8" s="107" t="s">
        <v>2008</v>
      </c>
      <c r="I8" s="111" t="s">
        <v>542</v>
      </c>
      <c r="J8" s="31"/>
    </row>
    <row r="9" spans="1:10" x14ac:dyDescent="0.2">
      <c r="A9" s="110"/>
      <c r="B9" s="84"/>
      <c r="C9" s="84"/>
      <c r="D9" s="84"/>
      <c r="E9" s="84"/>
      <c r="F9" s="84"/>
      <c r="G9" s="84"/>
      <c r="H9" s="84"/>
      <c r="I9" s="112"/>
      <c r="J9" s="31"/>
    </row>
    <row r="10" spans="1:10" x14ac:dyDescent="0.2">
      <c r="A10" s="104" t="s">
        <v>4</v>
      </c>
      <c r="B10" s="84"/>
      <c r="C10" s="83" t="str">
        <f>'Stavební rozpočet'!C8</f>
        <v xml:space="preserve"> </v>
      </c>
      <c r="D10" s="84"/>
      <c r="E10" s="83" t="s">
        <v>1681</v>
      </c>
      <c r="F10" s="83" t="str">
        <f>'Stavební rozpočet'!I8</f>
        <v> </v>
      </c>
      <c r="G10" s="84"/>
      <c r="H10" s="107" t="s">
        <v>2009</v>
      </c>
      <c r="I10" s="108"/>
      <c r="J10" s="31"/>
    </row>
    <row r="11" spans="1:10" x14ac:dyDescent="0.2">
      <c r="A11" s="105"/>
      <c r="B11" s="106"/>
      <c r="C11" s="106"/>
      <c r="D11" s="106"/>
      <c r="E11" s="106"/>
      <c r="F11" s="106"/>
      <c r="G11" s="106"/>
      <c r="H11" s="106"/>
      <c r="I11" s="109"/>
      <c r="J11" s="31"/>
    </row>
    <row r="12" spans="1:10" ht="23.45" customHeight="1" x14ac:dyDescent="0.2">
      <c r="A12" s="100" t="s">
        <v>1968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50" t="s">
        <v>1969</v>
      </c>
      <c r="B13" s="102" t="s">
        <v>1981</v>
      </c>
      <c r="C13" s="103"/>
      <c r="D13" s="50" t="s">
        <v>1984</v>
      </c>
      <c r="E13" s="102" t="s">
        <v>1993</v>
      </c>
      <c r="F13" s="103"/>
      <c r="G13" s="50" t="s">
        <v>1994</v>
      </c>
      <c r="H13" s="102" t="s">
        <v>2010</v>
      </c>
      <c r="I13" s="103"/>
      <c r="J13" s="31"/>
    </row>
    <row r="14" spans="1:10" ht="15.2" customHeight="1" x14ac:dyDescent="0.2">
      <c r="A14" s="51" t="s">
        <v>1970</v>
      </c>
      <c r="B14" s="55" t="s">
        <v>1982</v>
      </c>
      <c r="C14" s="59">
        <f>SUM('Stavební rozpočet'!AB12:AB623)</f>
        <v>0</v>
      </c>
      <c r="D14" s="98" t="s">
        <v>1985</v>
      </c>
      <c r="E14" s="99"/>
      <c r="F14" s="59">
        <v>0</v>
      </c>
      <c r="G14" s="98" t="s">
        <v>1651</v>
      </c>
      <c r="H14" s="99"/>
      <c r="I14" s="59">
        <v>0</v>
      </c>
      <c r="J14" s="31"/>
    </row>
    <row r="15" spans="1:10" ht="15.2" customHeight="1" x14ac:dyDescent="0.2">
      <c r="A15" s="52"/>
      <c r="B15" s="55" t="s">
        <v>1688</v>
      </c>
      <c r="C15" s="59">
        <f>SUM('Stavební rozpočet'!AC12:AC623)</f>
        <v>0</v>
      </c>
      <c r="D15" s="98" t="s">
        <v>1986</v>
      </c>
      <c r="E15" s="99"/>
      <c r="F15" s="59">
        <v>0</v>
      </c>
      <c r="G15" s="98" t="s">
        <v>1995</v>
      </c>
      <c r="H15" s="99"/>
      <c r="I15" s="59">
        <v>0</v>
      </c>
      <c r="J15" s="31"/>
    </row>
    <row r="16" spans="1:10" ht="15.2" customHeight="1" x14ac:dyDescent="0.2">
      <c r="A16" s="51" t="s">
        <v>1971</v>
      </c>
      <c r="B16" s="55" t="s">
        <v>1982</v>
      </c>
      <c r="C16" s="59">
        <f>SUM('Stavební rozpočet'!AD12:AD623)</f>
        <v>0</v>
      </c>
      <c r="D16" s="98" t="s">
        <v>1987</v>
      </c>
      <c r="E16" s="99"/>
      <c r="F16" s="59">
        <v>0</v>
      </c>
      <c r="G16" s="98" t="s">
        <v>1996</v>
      </c>
      <c r="H16" s="99"/>
      <c r="I16" s="59">
        <v>0</v>
      </c>
      <c r="J16" s="31"/>
    </row>
    <row r="17" spans="1:10" ht="15.2" customHeight="1" x14ac:dyDescent="0.2">
      <c r="A17" s="52"/>
      <c r="B17" s="55" t="s">
        <v>1688</v>
      </c>
      <c r="C17" s="59">
        <f>SUM('Stavební rozpočet'!AE12:AE623)</f>
        <v>0</v>
      </c>
      <c r="D17" s="98"/>
      <c r="E17" s="99"/>
      <c r="F17" s="60"/>
      <c r="G17" s="98" t="s">
        <v>1997</v>
      </c>
      <c r="H17" s="99"/>
      <c r="I17" s="59">
        <v>0</v>
      </c>
      <c r="J17" s="31"/>
    </row>
    <row r="18" spans="1:10" ht="15.2" customHeight="1" x14ac:dyDescent="0.2">
      <c r="A18" s="51" t="s">
        <v>1972</v>
      </c>
      <c r="B18" s="55" t="s">
        <v>1982</v>
      </c>
      <c r="C18" s="59">
        <f>SUM('Stavební rozpočet'!AF12:AF623)</f>
        <v>0</v>
      </c>
      <c r="D18" s="98"/>
      <c r="E18" s="99"/>
      <c r="F18" s="60"/>
      <c r="G18" s="98" t="s">
        <v>1998</v>
      </c>
      <c r="H18" s="99"/>
      <c r="I18" s="59">
        <v>0</v>
      </c>
      <c r="J18" s="31"/>
    </row>
    <row r="19" spans="1:10" ht="15.2" customHeight="1" x14ac:dyDescent="0.2">
      <c r="A19" s="52"/>
      <c r="B19" s="55" t="s">
        <v>1688</v>
      </c>
      <c r="C19" s="59">
        <f>SUM('Stavební rozpočet'!AG12:AG623)</f>
        <v>0</v>
      </c>
      <c r="D19" s="98"/>
      <c r="E19" s="99"/>
      <c r="F19" s="60"/>
      <c r="G19" s="98" t="s">
        <v>1999</v>
      </c>
      <c r="H19" s="99"/>
      <c r="I19" s="59">
        <v>0</v>
      </c>
      <c r="J19" s="31"/>
    </row>
    <row r="20" spans="1:10" ht="15.2" customHeight="1" x14ac:dyDescent="0.2">
      <c r="A20" s="96" t="s">
        <v>1973</v>
      </c>
      <c r="B20" s="97"/>
      <c r="C20" s="59">
        <f>SUM('Stavební rozpočet'!AH12:AH623)</f>
        <v>0</v>
      </c>
      <c r="D20" s="98"/>
      <c r="E20" s="99"/>
      <c r="F20" s="60"/>
      <c r="G20" s="98"/>
      <c r="H20" s="99"/>
      <c r="I20" s="60"/>
      <c r="J20" s="31"/>
    </row>
    <row r="21" spans="1:10" ht="15.2" customHeight="1" x14ac:dyDescent="0.2">
      <c r="A21" s="96" t="s">
        <v>1974</v>
      </c>
      <c r="B21" s="97"/>
      <c r="C21" s="59">
        <f>SUM('Stavební rozpočet'!Z12:Z623)</f>
        <v>0</v>
      </c>
      <c r="D21" s="98"/>
      <c r="E21" s="99"/>
      <c r="F21" s="60"/>
      <c r="G21" s="98"/>
      <c r="H21" s="99"/>
      <c r="I21" s="60"/>
      <c r="J21" s="31"/>
    </row>
    <row r="22" spans="1:10" ht="16.7" customHeight="1" x14ac:dyDescent="0.2">
      <c r="A22" s="96" t="s">
        <v>1975</v>
      </c>
      <c r="B22" s="97"/>
      <c r="C22" s="59">
        <f>SUM(C14:C21)</f>
        <v>0</v>
      </c>
      <c r="D22" s="96" t="s">
        <v>1988</v>
      </c>
      <c r="E22" s="97"/>
      <c r="F22" s="59">
        <f>SUM(F14:F21)</f>
        <v>0</v>
      </c>
      <c r="G22" s="96" t="s">
        <v>2000</v>
      </c>
      <c r="H22" s="97"/>
      <c r="I22" s="59">
        <f>SUM(I14:I21)</f>
        <v>0</v>
      </c>
      <c r="J22" s="31"/>
    </row>
    <row r="23" spans="1:10" ht="15.2" customHeight="1" x14ac:dyDescent="0.2">
      <c r="A23" s="8"/>
      <c r="B23" s="8"/>
      <c r="C23" s="57"/>
      <c r="D23" s="96" t="s">
        <v>1989</v>
      </c>
      <c r="E23" s="97"/>
      <c r="F23" s="61">
        <v>0</v>
      </c>
      <c r="G23" s="96" t="s">
        <v>2001</v>
      </c>
      <c r="H23" s="97"/>
      <c r="I23" s="59">
        <v>0</v>
      </c>
      <c r="J23" s="31"/>
    </row>
    <row r="24" spans="1:10" ht="15.2" customHeight="1" x14ac:dyDescent="0.2">
      <c r="D24" s="8"/>
      <c r="E24" s="8"/>
      <c r="F24" s="62"/>
      <c r="G24" s="96" t="s">
        <v>2002</v>
      </c>
      <c r="H24" s="97"/>
      <c r="I24" s="64"/>
    </row>
    <row r="25" spans="1:10" ht="15.2" customHeight="1" x14ac:dyDescent="0.2">
      <c r="F25" s="63"/>
      <c r="G25" s="96" t="s">
        <v>2003</v>
      </c>
      <c r="H25" s="97"/>
      <c r="I25" s="59">
        <v>0</v>
      </c>
      <c r="J25" s="31"/>
    </row>
    <row r="26" spans="1:10" x14ac:dyDescent="0.2">
      <c r="A26" s="49"/>
      <c r="B26" s="49"/>
      <c r="C26" s="49"/>
      <c r="G26" s="8"/>
      <c r="H26" s="8"/>
      <c r="I26" s="8"/>
    </row>
    <row r="27" spans="1:10" ht="15.2" customHeight="1" x14ac:dyDescent="0.2">
      <c r="A27" s="91" t="s">
        <v>1976</v>
      </c>
      <c r="B27" s="92"/>
      <c r="C27" s="65">
        <f>SUM('Stavební rozpočet'!AJ12:AJ623)</f>
        <v>0</v>
      </c>
      <c r="D27" s="58"/>
      <c r="E27" s="49"/>
      <c r="F27" s="49"/>
      <c r="G27" s="49"/>
      <c r="H27" s="49"/>
      <c r="I27" s="49"/>
    </row>
    <row r="28" spans="1:10" ht="15.2" customHeight="1" x14ac:dyDescent="0.2">
      <c r="A28" s="91" t="s">
        <v>1977</v>
      </c>
      <c r="B28" s="92"/>
      <c r="C28" s="65">
        <f>SUM('Stavební rozpočet'!AK12:AK623)</f>
        <v>0</v>
      </c>
      <c r="D28" s="91" t="s">
        <v>1990</v>
      </c>
      <c r="E28" s="92"/>
      <c r="F28" s="65">
        <f>ROUND(C28*(15/100),2)</f>
        <v>0</v>
      </c>
      <c r="G28" s="91" t="s">
        <v>2004</v>
      </c>
      <c r="H28" s="92"/>
      <c r="I28" s="65">
        <f>SUM(C27:C29)</f>
        <v>0</v>
      </c>
      <c r="J28" s="31"/>
    </row>
    <row r="29" spans="1:10" ht="15.2" customHeight="1" x14ac:dyDescent="0.2">
      <c r="A29" s="91" t="s">
        <v>1978</v>
      </c>
      <c r="B29" s="92"/>
      <c r="C29" s="65">
        <f>SUM('Stavební rozpočet'!AL12:AL623)+(F22+I22+F23+I23+I24+I25)</f>
        <v>0</v>
      </c>
      <c r="D29" s="91" t="s">
        <v>1991</v>
      </c>
      <c r="E29" s="92"/>
      <c r="F29" s="65">
        <f>ROUND(C29*(21/100),2)</f>
        <v>0</v>
      </c>
      <c r="G29" s="91" t="s">
        <v>2005</v>
      </c>
      <c r="H29" s="92"/>
      <c r="I29" s="65">
        <f>SUM(F28:F29)+I28</f>
        <v>0</v>
      </c>
      <c r="J29" s="31"/>
    </row>
    <row r="30" spans="1:10" x14ac:dyDescent="0.2">
      <c r="A30" s="53"/>
      <c r="B30" s="53"/>
      <c r="C30" s="53"/>
      <c r="D30" s="53"/>
      <c r="E30" s="53"/>
      <c r="F30" s="53"/>
      <c r="G30" s="53"/>
      <c r="H30" s="53"/>
      <c r="I30" s="53"/>
    </row>
    <row r="31" spans="1:10" ht="14.45" customHeight="1" x14ac:dyDescent="0.2">
      <c r="A31" s="93" t="s">
        <v>1979</v>
      </c>
      <c r="B31" s="94"/>
      <c r="C31" s="95"/>
      <c r="D31" s="93" t="s">
        <v>1992</v>
      </c>
      <c r="E31" s="94"/>
      <c r="F31" s="95"/>
      <c r="G31" s="93" t="s">
        <v>2006</v>
      </c>
      <c r="H31" s="94"/>
      <c r="I31" s="95"/>
      <c r="J31" s="32"/>
    </row>
    <row r="32" spans="1:10" ht="14.45" customHeight="1" x14ac:dyDescent="0.2">
      <c r="A32" s="85"/>
      <c r="B32" s="86"/>
      <c r="C32" s="87"/>
      <c r="D32" s="85"/>
      <c r="E32" s="86"/>
      <c r="F32" s="87"/>
      <c r="G32" s="85"/>
      <c r="H32" s="86"/>
      <c r="I32" s="87"/>
      <c r="J32" s="32"/>
    </row>
    <row r="33" spans="1:10" ht="14.45" customHeight="1" x14ac:dyDescent="0.2">
      <c r="A33" s="85"/>
      <c r="B33" s="86"/>
      <c r="C33" s="87"/>
      <c r="D33" s="85"/>
      <c r="E33" s="86"/>
      <c r="F33" s="87"/>
      <c r="G33" s="85"/>
      <c r="H33" s="86"/>
      <c r="I33" s="87"/>
      <c r="J33" s="32"/>
    </row>
    <row r="34" spans="1:10" ht="14.45" customHeight="1" x14ac:dyDescent="0.2">
      <c r="A34" s="85"/>
      <c r="B34" s="86"/>
      <c r="C34" s="87"/>
      <c r="D34" s="85"/>
      <c r="E34" s="86"/>
      <c r="F34" s="87"/>
      <c r="G34" s="85"/>
      <c r="H34" s="86"/>
      <c r="I34" s="87"/>
      <c r="J34" s="32"/>
    </row>
    <row r="35" spans="1:10" ht="14.45" customHeight="1" x14ac:dyDescent="0.2">
      <c r="A35" s="88" t="s">
        <v>1980</v>
      </c>
      <c r="B35" s="89"/>
      <c r="C35" s="90"/>
      <c r="D35" s="88" t="s">
        <v>1980</v>
      </c>
      <c r="E35" s="89"/>
      <c r="F35" s="90"/>
      <c r="G35" s="88" t="s">
        <v>1980</v>
      </c>
      <c r="H35" s="89"/>
      <c r="I35" s="90"/>
      <c r="J35" s="32"/>
    </row>
    <row r="36" spans="1:10" ht="11.25" customHeight="1" x14ac:dyDescent="0.2">
      <c r="A36" s="54" t="s">
        <v>543</v>
      </c>
      <c r="B36" s="56"/>
      <c r="C36" s="56"/>
      <c r="D36" s="56"/>
      <c r="E36" s="56"/>
      <c r="F36" s="56"/>
      <c r="G36" s="56"/>
      <c r="H36" s="56"/>
      <c r="I36" s="56"/>
    </row>
    <row r="37" spans="1:10" x14ac:dyDescent="0.2">
      <c r="A37" s="83"/>
      <c r="B37" s="84"/>
      <c r="C37" s="84"/>
      <c r="D37" s="84"/>
      <c r="E37" s="84"/>
      <c r="F37" s="84"/>
      <c r="G37" s="84"/>
      <c r="H37" s="84"/>
      <c r="I37" s="84"/>
    </row>
  </sheetData>
  <sheetProtection password="DC71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customWidth="1"/>
    <col min="3" max="3" width="41.7109375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29" t="s">
        <v>1756</v>
      </c>
      <c r="B1" s="114"/>
      <c r="C1" s="114"/>
      <c r="D1" s="114"/>
      <c r="E1" s="114"/>
      <c r="F1" s="114"/>
      <c r="G1" s="114"/>
    </row>
    <row r="2" spans="1:9" x14ac:dyDescent="0.2">
      <c r="A2" s="115" t="s">
        <v>1</v>
      </c>
      <c r="B2" s="117" t="str">
        <f>'Stavební rozpočet'!C2</f>
        <v>SOUp Jílové - snížení energetické náročnosti budovy odborného výcviku a ředitelství - PD</v>
      </c>
      <c r="C2" s="118"/>
      <c r="D2" s="120" t="s">
        <v>1678</v>
      </c>
      <c r="E2" s="120" t="str">
        <f>'Stavební rozpočet'!I2</f>
        <v> </v>
      </c>
      <c r="F2" s="116"/>
      <c r="G2" s="130"/>
      <c r="H2" s="31"/>
    </row>
    <row r="3" spans="1:9" x14ac:dyDescent="0.2">
      <c r="A3" s="110"/>
      <c r="B3" s="119"/>
      <c r="C3" s="119"/>
      <c r="D3" s="84"/>
      <c r="E3" s="84"/>
      <c r="F3" s="84"/>
      <c r="G3" s="112"/>
      <c r="H3" s="31"/>
    </row>
    <row r="4" spans="1:9" x14ac:dyDescent="0.2">
      <c r="A4" s="104" t="s">
        <v>2</v>
      </c>
      <c r="B4" s="83" t="str">
        <f>'Stavební rozpočet'!C4</f>
        <v xml:space="preserve"> </v>
      </c>
      <c r="C4" s="84"/>
      <c r="D4" s="83" t="s">
        <v>1679</v>
      </c>
      <c r="E4" s="83" t="str">
        <f>'Stavební rozpočet'!I4</f>
        <v> </v>
      </c>
      <c r="F4" s="84"/>
      <c r="G4" s="112"/>
      <c r="H4" s="31"/>
    </row>
    <row r="5" spans="1:9" x14ac:dyDescent="0.2">
      <c r="A5" s="110"/>
      <c r="B5" s="84"/>
      <c r="C5" s="84"/>
      <c r="D5" s="84"/>
      <c r="E5" s="84"/>
      <c r="F5" s="84"/>
      <c r="G5" s="112"/>
      <c r="H5" s="31"/>
    </row>
    <row r="6" spans="1:9" x14ac:dyDescent="0.2">
      <c r="A6" s="104" t="s">
        <v>3</v>
      </c>
      <c r="B6" s="83" t="str">
        <f>'Stavební rozpočet'!C6</f>
        <v xml:space="preserve"> </v>
      </c>
      <c r="C6" s="84"/>
      <c r="D6" s="83" t="s">
        <v>1680</v>
      </c>
      <c r="E6" s="83" t="str">
        <f>'Stavební rozpočet'!I6</f>
        <v> </v>
      </c>
      <c r="F6" s="84"/>
      <c r="G6" s="112"/>
      <c r="H6" s="31"/>
    </row>
    <row r="7" spans="1:9" x14ac:dyDescent="0.2">
      <c r="A7" s="110"/>
      <c r="B7" s="84"/>
      <c r="C7" s="84"/>
      <c r="D7" s="84"/>
      <c r="E7" s="84"/>
      <c r="F7" s="84"/>
      <c r="G7" s="112"/>
      <c r="H7" s="31"/>
    </row>
    <row r="8" spans="1:9" x14ac:dyDescent="0.2">
      <c r="A8" s="104" t="s">
        <v>1681</v>
      </c>
      <c r="B8" s="83" t="str">
        <f>'Stavební rozpočet'!I8</f>
        <v> </v>
      </c>
      <c r="C8" s="84"/>
      <c r="D8" s="107" t="s">
        <v>1660</v>
      </c>
      <c r="E8" s="83"/>
      <c r="F8" s="84"/>
      <c r="G8" s="112"/>
      <c r="H8" s="31"/>
    </row>
    <row r="9" spans="1:9" x14ac:dyDescent="0.2">
      <c r="A9" s="126"/>
      <c r="B9" s="127"/>
      <c r="C9" s="127"/>
      <c r="D9" s="127"/>
      <c r="E9" s="127"/>
      <c r="F9" s="127"/>
      <c r="G9" s="128"/>
      <c r="H9" s="31"/>
    </row>
    <row r="10" spans="1:9" x14ac:dyDescent="0.2">
      <c r="A10" s="38" t="s">
        <v>1757</v>
      </c>
      <c r="B10" s="40" t="s">
        <v>544</v>
      </c>
      <c r="C10" s="122" t="s">
        <v>1758</v>
      </c>
      <c r="D10" s="123"/>
      <c r="E10" s="41" t="s">
        <v>1759</v>
      </c>
      <c r="F10" s="41" t="s">
        <v>1760</v>
      </c>
      <c r="G10" s="41" t="s">
        <v>1761</v>
      </c>
      <c r="H10" s="31"/>
    </row>
    <row r="11" spans="1:9" x14ac:dyDescent="0.2">
      <c r="A11" s="39"/>
      <c r="B11" s="39" t="s">
        <v>19</v>
      </c>
      <c r="C11" s="124" t="s">
        <v>1085</v>
      </c>
      <c r="D11" s="125"/>
      <c r="E11" s="43">
        <f>'Stavební rozpočet'!I12</f>
        <v>0</v>
      </c>
      <c r="F11" s="43">
        <f>'Stavební rozpočet'!J12</f>
        <v>0</v>
      </c>
      <c r="G11" s="43">
        <f>'Stavební rozpočet'!K12</f>
        <v>0</v>
      </c>
      <c r="H11" s="33" t="s">
        <v>1762</v>
      </c>
      <c r="I11" s="33">
        <f t="shared" ref="I11:I48" si="0">IF(H11="F",0,G11)</f>
        <v>0</v>
      </c>
    </row>
    <row r="12" spans="1:9" x14ac:dyDescent="0.2">
      <c r="A12" s="14"/>
      <c r="B12" s="14" t="s">
        <v>22</v>
      </c>
      <c r="C12" s="107" t="s">
        <v>1088</v>
      </c>
      <c r="D12" s="84"/>
      <c r="E12" s="33">
        <f>'Stavební rozpočet'!I15</f>
        <v>0</v>
      </c>
      <c r="F12" s="33">
        <f>'Stavební rozpočet'!J15</f>
        <v>0</v>
      </c>
      <c r="G12" s="33">
        <f>'Stavební rozpočet'!K15</f>
        <v>0</v>
      </c>
      <c r="H12" s="33" t="s">
        <v>1762</v>
      </c>
      <c r="I12" s="33">
        <f t="shared" si="0"/>
        <v>0</v>
      </c>
    </row>
    <row r="13" spans="1:9" x14ac:dyDescent="0.2">
      <c r="A13" s="14"/>
      <c r="B13" s="14" t="s">
        <v>23</v>
      </c>
      <c r="C13" s="107" t="s">
        <v>1092</v>
      </c>
      <c r="D13" s="84"/>
      <c r="E13" s="33">
        <f>'Stavební rozpočet'!I19</f>
        <v>0</v>
      </c>
      <c r="F13" s="33">
        <f>'Stavební rozpočet'!J19</f>
        <v>0</v>
      </c>
      <c r="G13" s="33">
        <f>'Stavební rozpočet'!K19</f>
        <v>0</v>
      </c>
      <c r="H13" s="33" t="s">
        <v>1762</v>
      </c>
      <c r="I13" s="33">
        <f t="shared" si="0"/>
        <v>0</v>
      </c>
    </row>
    <row r="14" spans="1:9" x14ac:dyDescent="0.2">
      <c r="A14" s="14"/>
      <c r="B14" s="14" t="s">
        <v>24</v>
      </c>
      <c r="C14" s="107" t="s">
        <v>1096</v>
      </c>
      <c r="D14" s="84"/>
      <c r="E14" s="33">
        <f>'Stavební rozpočet'!I23</f>
        <v>0</v>
      </c>
      <c r="F14" s="33">
        <f>'Stavební rozpočet'!J23</f>
        <v>0</v>
      </c>
      <c r="G14" s="33">
        <f>'Stavební rozpočet'!K23</f>
        <v>0</v>
      </c>
      <c r="H14" s="33" t="s">
        <v>1762</v>
      </c>
      <c r="I14" s="33">
        <f t="shared" si="0"/>
        <v>0</v>
      </c>
    </row>
    <row r="15" spans="1:9" x14ac:dyDescent="0.2">
      <c r="A15" s="14"/>
      <c r="B15" s="14" t="s">
        <v>37</v>
      </c>
      <c r="C15" s="107" t="s">
        <v>1099</v>
      </c>
      <c r="D15" s="84"/>
      <c r="E15" s="33">
        <f>'Stavební rozpočet'!I26</f>
        <v>0</v>
      </c>
      <c r="F15" s="33">
        <f>'Stavební rozpočet'!J26</f>
        <v>0</v>
      </c>
      <c r="G15" s="33">
        <f>'Stavební rozpočet'!K26</f>
        <v>0</v>
      </c>
      <c r="H15" s="33" t="s">
        <v>1762</v>
      </c>
      <c r="I15" s="33">
        <f t="shared" si="0"/>
        <v>0</v>
      </c>
    </row>
    <row r="16" spans="1:9" x14ac:dyDescent="0.2">
      <c r="A16" s="14"/>
      <c r="B16" s="14" t="s">
        <v>40</v>
      </c>
      <c r="C16" s="107" t="s">
        <v>1104</v>
      </c>
      <c r="D16" s="84"/>
      <c r="E16" s="33">
        <f>'Stavební rozpočet'!I31</f>
        <v>0</v>
      </c>
      <c r="F16" s="33">
        <f>'Stavební rozpočet'!J31</f>
        <v>0</v>
      </c>
      <c r="G16" s="33">
        <f>'Stavební rozpočet'!K31</f>
        <v>0</v>
      </c>
      <c r="H16" s="33" t="s">
        <v>1762</v>
      </c>
      <c r="I16" s="33">
        <f t="shared" si="0"/>
        <v>0</v>
      </c>
    </row>
    <row r="17" spans="1:9" x14ac:dyDescent="0.2">
      <c r="A17" s="14"/>
      <c r="B17" s="14" t="s">
        <v>47</v>
      </c>
      <c r="C17" s="107" t="s">
        <v>1111</v>
      </c>
      <c r="D17" s="84"/>
      <c r="E17" s="33">
        <f>'Stavební rozpočet'!I38</f>
        <v>0</v>
      </c>
      <c r="F17" s="33">
        <f>'Stavební rozpočet'!J38</f>
        <v>0</v>
      </c>
      <c r="G17" s="33">
        <f>'Stavební rozpočet'!K38</f>
        <v>0</v>
      </c>
      <c r="H17" s="33" t="s">
        <v>1762</v>
      </c>
      <c r="I17" s="33">
        <f t="shared" si="0"/>
        <v>0</v>
      </c>
    </row>
    <row r="18" spans="1:9" x14ac:dyDescent="0.2">
      <c r="A18" s="14"/>
      <c r="B18" s="14" t="s">
        <v>62</v>
      </c>
      <c r="C18" s="107" t="s">
        <v>1115</v>
      </c>
      <c r="D18" s="84"/>
      <c r="E18" s="33">
        <f>'Stavební rozpočet'!I42</f>
        <v>0</v>
      </c>
      <c r="F18" s="33">
        <f>'Stavební rozpočet'!J42</f>
        <v>0</v>
      </c>
      <c r="G18" s="33">
        <f>'Stavební rozpočet'!K42</f>
        <v>0</v>
      </c>
      <c r="H18" s="33" t="s">
        <v>1762</v>
      </c>
      <c r="I18" s="33">
        <f t="shared" si="0"/>
        <v>0</v>
      </c>
    </row>
    <row r="19" spans="1:9" x14ac:dyDescent="0.2">
      <c r="A19" s="14"/>
      <c r="B19" s="14" t="s">
        <v>63</v>
      </c>
      <c r="C19" s="107" t="s">
        <v>1122</v>
      </c>
      <c r="D19" s="84"/>
      <c r="E19" s="33">
        <f>'Stavební rozpočet'!I49</f>
        <v>0</v>
      </c>
      <c r="F19" s="33">
        <f>'Stavební rozpočet'!J49</f>
        <v>0</v>
      </c>
      <c r="G19" s="33">
        <f>'Stavební rozpočet'!K49</f>
        <v>0</v>
      </c>
      <c r="H19" s="33" t="s">
        <v>1762</v>
      </c>
      <c r="I19" s="33">
        <f t="shared" si="0"/>
        <v>0</v>
      </c>
    </row>
    <row r="20" spans="1:9" x14ac:dyDescent="0.2">
      <c r="A20" s="14"/>
      <c r="B20" s="14" t="s">
        <v>65</v>
      </c>
      <c r="C20" s="107" t="s">
        <v>1124</v>
      </c>
      <c r="D20" s="84"/>
      <c r="E20" s="33">
        <f>'Stavební rozpočet'!I51</f>
        <v>0</v>
      </c>
      <c r="F20" s="33">
        <f>'Stavební rozpočet'!J51</f>
        <v>0</v>
      </c>
      <c r="G20" s="33">
        <f>'Stavební rozpočet'!K51</f>
        <v>0</v>
      </c>
      <c r="H20" s="33" t="s">
        <v>1762</v>
      </c>
      <c r="I20" s="33">
        <f t="shared" si="0"/>
        <v>0</v>
      </c>
    </row>
    <row r="21" spans="1:9" x14ac:dyDescent="0.2">
      <c r="A21" s="14"/>
      <c r="B21" s="14" t="s">
        <v>67</v>
      </c>
      <c r="C21" s="107" t="s">
        <v>1129</v>
      </c>
      <c r="D21" s="84"/>
      <c r="E21" s="33">
        <f>'Stavební rozpočet'!I56</f>
        <v>0</v>
      </c>
      <c r="F21" s="33">
        <f>'Stavební rozpočet'!J56</f>
        <v>0</v>
      </c>
      <c r="G21" s="33">
        <f>'Stavební rozpočet'!K56</f>
        <v>0</v>
      </c>
      <c r="H21" s="33" t="s">
        <v>1762</v>
      </c>
      <c r="I21" s="33">
        <f t="shared" si="0"/>
        <v>0</v>
      </c>
    </row>
    <row r="22" spans="1:9" x14ac:dyDescent="0.2">
      <c r="A22" s="14"/>
      <c r="B22" s="14" t="s">
        <v>68</v>
      </c>
      <c r="C22" s="107" t="s">
        <v>1133</v>
      </c>
      <c r="D22" s="84"/>
      <c r="E22" s="33">
        <f>'Stavební rozpočet'!I60</f>
        <v>0</v>
      </c>
      <c r="F22" s="33">
        <f>'Stavební rozpočet'!J60</f>
        <v>0</v>
      </c>
      <c r="G22" s="33">
        <f>'Stavební rozpočet'!K60</f>
        <v>0</v>
      </c>
      <c r="H22" s="33" t="s">
        <v>1762</v>
      </c>
      <c r="I22" s="33">
        <f t="shared" si="0"/>
        <v>0</v>
      </c>
    </row>
    <row r="23" spans="1:9" x14ac:dyDescent="0.2">
      <c r="A23" s="14"/>
      <c r="B23" s="14" t="s">
        <v>70</v>
      </c>
      <c r="C23" s="107" t="s">
        <v>1161</v>
      </c>
      <c r="D23" s="84"/>
      <c r="E23" s="33">
        <f>'Stavební rozpočet'!I88</f>
        <v>0</v>
      </c>
      <c r="F23" s="33">
        <f>'Stavební rozpočet'!J88</f>
        <v>0</v>
      </c>
      <c r="G23" s="33">
        <f>'Stavební rozpočet'!K88</f>
        <v>0</v>
      </c>
      <c r="H23" s="33" t="s">
        <v>1762</v>
      </c>
      <c r="I23" s="33">
        <f t="shared" si="0"/>
        <v>0</v>
      </c>
    </row>
    <row r="24" spans="1:9" x14ac:dyDescent="0.2">
      <c r="A24" s="14"/>
      <c r="B24" s="14" t="s">
        <v>96</v>
      </c>
      <c r="C24" s="107" t="s">
        <v>1164</v>
      </c>
      <c r="D24" s="84"/>
      <c r="E24" s="33">
        <f>'Stavební rozpočet'!I91</f>
        <v>0</v>
      </c>
      <c r="F24" s="33">
        <f>'Stavební rozpočet'!J91</f>
        <v>0</v>
      </c>
      <c r="G24" s="33">
        <f>'Stavební rozpočet'!K91</f>
        <v>0</v>
      </c>
      <c r="H24" s="33" t="s">
        <v>1762</v>
      </c>
      <c r="I24" s="33">
        <f t="shared" si="0"/>
        <v>0</v>
      </c>
    </row>
    <row r="25" spans="1:9" x14ac:dyDescent="0.2">
      <c r="A25" s="14"/>
      <c r="B25" s="14" t="s">
        <v>100</v>
      </c>
      <c r="C25" s="107" t="s">
        <v>1166</v>
      </c>
      <c r="D25" s="84"/>
      <c r="E25" s="33">
        <f>'Stavební rozpočet'!I93</f>
        <v>0</v>
      </c>
      <c r="F25" s="33">
        <f>'Stavební rozpočet'!J93</f>
        <v>0</v>
      </c>
      <c r="G25" s="33">
        <f>'Stavební rozpočet'!K93</f>
        <v>0</v>
      </c>
      <c r="H25" s="33" t="s">
        <v>1762</v>
      </c>
      <c r="I25" s="33">
        <f t="shared" si="0"/>
        <v>0</v>
      </c>
    </row>
    <row r="26" spans="1:9" x14ac:dyDescent="0.2">
      <c r="A26" s="14"/>
      <c r="B26" s="14" t="s">
        <v>101</v>
      </c>
      <c r="C26" s="107" t="s">
        <v>1175</v>
      </c>
      <c r="D26" s="84"/>
      <c r="E26" s="33">
        <f>'Stavební rozpočet'!I102</f>
        <v>0</v>
      </c>
      <c r="F26" s="33">
        <f>'Stavební rozpočet'!J102</f>
        <v>0</v>
      </c>
      <c r="G26" s="33">
        <f>'Stavební rozpočet'!K102</f>
        <v>0</v>
      </c>
      <c r="H26" s="33" t="s">
        <v>1762</v>
      </c>
      <c r="I26" s="33">
        <f t="shared" si="0"/>
        <v>0</v>
      </c>
    </row>
    <row r="27" spans="1:9" x14ac:dyDescent="0.2">
      <c r="A27" s="14"/>
      <c r="B27" s="14" t="s">
        <v>102</v>
      </c>
      <c r="C27" s="107" t="s">
        <v>1188</v>
      </c>
      <c r="D27" s="84"/>
      <c r="E27" s="33">
        <f>'Stavební rozpočet'!I115</f>
        <v>0</v>
      </c>
      <c r="F27" s="33">
        <f>'Stavební rozpočet'!J115</f>
        <v>0</v>
      </c>
      <c r="G27" s="33">
        <f>'Stavební rozpočet'!K115</f>
        <v>0</v>
      </c>
      <c r="H27" s="33" t="s">
        <v>1762</v>
      </c>
      <c r="I27" s="33">
        <f t="shared" si="0"/>
        <v>0</v>
      </c>
    </row>
    <row r="28" spans="1:9" x14ac:dyDescent="0.2">
      <c r="A28" s="14"/>
      <c r="B28" s="14" t="s">
        <v>103</v>
      </c>
      <c r="C28" s="107" t="s">
        <v>1212</v>
      </c>
      <c r="D28" s="84"/>
      <c r="E28" s="33">
        <f>'Stavební rozpočet'!I139</f>
        <v>0</v>
      </c>
      <c r="F28" s="33">
        <f>'Stavební rozpočet'!J139</f>
        <v>0</v>
      </c>
      <c r="G28" s="33">
        <f>'Stavební rozpočet'!K139</f>
        <v>0</v>
      </c>
      <c r="H28" s="33" t="s">
        <v>1762</v>
      </c>
      <c r="I28" s="33">
        <f t="shared" si="0"/>
        <v>0</v>
      </c>
    </row>
    <row r="29" spans="1:9" x14ac:dyDescent="0.2">
      <c r="A29" s="14"/>
      <c r="B29" s="14" t="s">
        <v>104</v>
      </c>
      <c r="C29" s="107" t="s">
        <v>1222</v>
      </c>
      <c r="D29" s="84"/>
      <c r="E29" s="33">
        <f>'Stavební rozpočet'!I149</f>
        <v>0</v>
      </c>
      <c r="F29" s="33">
        <f>'Stavební rozpočet'!J149</f>
        <v>0</v>
      </c>
      <c r="G29" s="33">
        <f>'Stavební rozpočet'!K149</f>
        <v>0</v>
      </c>
      <c r="H29" s="33" t="s">
        <v>1762</v>
      </c>
      <c r="I29" s="33">
        <f t="shared" si="0"/>
        <v>0</v>
      </c>
    </row>
    <row r="30" spans="1:9" x14ac:dyDescent="0.2">
      <c r="A30" s="14"/>
      <c r="B30" s="14" t="s">
        <v>662</v>
      </c>
      <c r="C30" s="107" t="s">
        <v>1224</v>
      </c>
      <c r="D30" s="84"/>
      <c r="E30" s="33">
        <f>'Stavební rozpočet'!I151</f>
        <v>0</v>
      </c>
      <c r="F30" s="33">
        <f>'Stavební rozpočet'!J151</f>
        <v>0</v>
      </c>
      <c r="G30" s="33">
        <f>'Stavební rozpočet'!K151</f>
        <v>0</v>
      </c>
      <c r="H30" s="33" t="s">
        <v>1762</v>
      </c>
      <c r="I30" s="33">
        <f t="shared" si="0"/>
        <v>0</v>
      </c>
    </row>
    <row r="31" spans="1:9" x14ac:dyDescent="0.2">
      <c r="A31" s="14"/>
      <c r="B31" s="14" t="s">
        <v>683</v>
      </c>
      <c r="C31" s="107" t="s">
        <v>1245</v>
      </c>
      <c r="D31" s="84"/>
      <c r="E31" s="33">
        <f>'Stavební rozpočet'!I172</f>
        <v>0</v>
      </c>
      <c r="F31" s="33">
        <f>'Stavební rozpočet'!J172</f>
        <v>0</v>
      </c>
      <c r="G31" s="33">
        <f>'Stavební rozpočet'!K172</f>
        <v>0</v>
      </c>
      <c r="H31" s="33" t="s">
        <v>1762</v>
      </c>
      <c r="I31" s="33">
        <f t="shared" si="0"/>
        <v>0</v>
      </c>
    </row>
    <row r="32" spans="1:9" x14ac:dyDescent="0.2">
      <c r="A32" s="14"/>
      <c r="B32" s="14" t="s">
        <v>685</v>
      </c>
      <c r="C32" s="107" t="s">
        <v>1247</v>
      </c>
      <c r="D32" s="84"/>
      <c r="E32" s="33">
        <f>'Stavební rozpočet'!I174</f>
        <v>0</v>
      </c>
      <c r="F32" s="33">
        <f>'Stavební rozpočet'!J174</f>
        <v>0</v>
      </c>
      <c r="G32" s="33">
        <f>'Stavební rozpočet'!K174</f>
        <v>0</v>
      </c>
      <c r="H32" s="33" t="s">
        <v>1762</v>
      </c>
      <c r="I32" s="33">
        <f t="shared" si="0"/>
        <v>0</v>
      </c>
    </row>
    <row r="33" spans="1:9" x14ac:dyDescent="0.2">
      <c r="A33" s="14"/>
      <c r="B33" s="14" t="s">
        <v>693</v>
      </c>
      <c r="C33" s="107" t="s">
        <v>1257</v>
      </c>
      <c r="D33" s="84"/>
      <c r="E33" s="33">
        <f>'Stavební rozpočet'!I184</f>
        <v>0</v>
      </c>
      <c r="F33" s="33">
        <f>'Stavební rozpočet'!J184</f>
        <v>0</v>
      </c>
      <c r="G33" s="33">
        <f>'Stavební rozpočet'!K184</f>
        <v>0</v>
      </c>
      <c r="H33" s="33" t="s">
        <v>1762</v>
      </c>
      <c r="I33" s="33">
        <f t="shared" si="0"/>
        <v>0</v>
      </c>
    </row>
    <row r="34" spans="1:9" x14ac:dyDescent="0.2">
      <c r="A34" s="14"/>
      <c r="B34" s="14" t="s">
        <v>714</v>
      </c>
      <c r="C34" s="107" t="s">
        <v>1280</v>
      </c>
      <c r="D34" s="84"/>
      <c r="E34" s="33">
        <f>'Stavební rozpočet'!I207</f>
        <v>0</v>
      </c>
      <c r="F34" s="33">
        <f>'Stavební rozpočet'!J207</f>
        <v>0</v>
      </c>
      <c r="G34" s="33">
        <f>'Stavební rozpočet'!K207</f>
        <v>0</v>
      </c>
      <c r="H34" s="33" t="s">
        <v>1762</v>
      </c>
      <c r="I34" s="33">
        <f t="shared" si="0"/>
        <v>0</v>
      </c>
    </row>
    <row r="35" spans="1:9" x14ac:dyDescent="0.2">
      <c r="A35" s="14"/>
      <c r="B35" s="14" t="s">
        <v>734</v>
      </c>
      <c r="C35" s="107" t="s">
        <v>1307</v>
      </c>
      <c r="D35" s="84"/>
      <c r="E35" s="33">
        <f>'Stavební rozpočet'!I234</f>
        <v>0</v>
      </c>
      <c r="F35" s="33">
        <f>'Stavební rozpočet'!J234</f>
        <v>0</v>
      </c>
      <c r="G35" s="33">
        <f>'Stavební rozpočet'!K234</f>
        <v>0</v>
      </c>
      <c r="H35" s="33" t="s">
        <v>1762</v>
      </c>
      <c r="I35" s="33">
        <f t="shared" si="0"/>
        <v>0</v>
      </c>
    </row>
    <row r="36" spans="1:9" x14ac:dyDescent="0.2">
      <c r="A36" s="14"/>
      <c r="B36" s="14" t="s">
        <v>762</v>
      </c>
      <c r="C36" s="107" t="s">
        <v>1338</v>
      </c>
      <c r="D36" s="84"/>
      <c r="E36" s="33">
        <f>'Stavební rozpočet'!I270</f>
        <v>0</v>
      </c>
      <c r="F36" s="33">
        <f>'Stavební rozpočet'!J270</f>
        <v>0</v>
      </c>
      <c r="G36" s="33">
        <f>'Stavební rozpočet'!K270</f>
        <v>0</v>
      </c>
      <c r="H36" s="33" t="s">
        <v>1762</v>
      </c>
      <c r="I36" s="33">
        <f t="shared" si="0"/>
        <v>0</v>
      </c>
    </row>
    <row r="37" spans="1:9" x14ac:dyDescent="0.2">
      <c r="A37" s="14"/>
      <c r="B37" s="14" t="s">
        <v>799</v>
      </c>
      <c r="C37" s="107" t="s">
        <v>1376</v>
      </c>
      <c r="D37" s="84"/>
      <c r="E37" s="33">
        <f>'Stavební rozpočet'!I317</f>
        <v>0</v>
      </c>
      <c r="F37" s="33">
        <f>'Stavební rozpočet'!J317</f>
        <v>0</v>
      </c>
      <c r="G37" s="33">
        <f>'Stavební rozpočet'!K317</f>
        <v>0</v>
      </c>
      <c r="H37" s="33" t="s">
        <v>1762</v>
      </c>
      <c r="I37" s="33">
        <f t="shared" si="0"/>
        <v>0</v>
      </c>
    </row>
    <row r="38" spans="1:9" x14ac:dyDescent="0.2">
      <c r="A38" s="14"/>
      <c r="B38" s="14" t="s">
        <v>830</v>
      </c>
      <c r="C38" s="107" t="s">
        <v>1408</v>
      </c>
      <c r="D38" s="84"/>
      <c r="E38" s="33">
        <f>'Stavební rozpočet'!I353</f>
        <v>0</v>
      </c>
      <c r="F38" s="33">
        <f>'Stavební rozpočet'!J353</f>
        <v>0</v>
      </c>
      <c r="G38" s="33">
        <f>'Stavební rozpočet'!K353</f>
        <v>0</v>
      </c>
      <c r="H38" s="33" t="s">
        <v>1762</v>
      </c>
      <c r="I38" s="33">
        <f t="shared" si="0"/>
        <v>0</v>
      </c>
    </row>
    <row r="39" spans="1:9" x14ac:dyDescent="0.2">
      <c r="A39" s="14"/>
      <c r="B39" s="14" t="s">
        <v>840</v>
      </c>
      <c r="C39" s="107" t="s">
        <v>1420</v>
      </c>
      <c r="D39" s="84"/>
      <c r="E39" s="33">
        <f>'Stavební rozpočet'!I366</f>
        <v>0</v>
      </c>
      <c r="F39" s="33">
        <f>'Stavební rozpočet'!J366</f>
        <v>0</v>
      </c>
      <c r="G39" s="33">
        <f>'Stavební rozpočet'!K366</f>
        <v>0</v>
      </c>
      <c r="H39" s="33" t="s">
        <v>1762</v>
      </c>
      <c r="I39" s="33">
        <f t="shared" si="0"/>
        <v>0</v>
      </c>
    </row>
    <row r="40" spans="1:9" x14ac:dyDescent="0.2">
      <c r="A40" s="14"/>
      <c r="B40" s="14" t="s">
        <v>860</v>
      </c>
      <c r="C40" s="107" t="s">
        <v>1440</v>
      </c>
      <c r="D40" s="84"/>
      <c r="E40" s="33">
        <f>'Stavební rozpočet'!I386</f>
        <v>0</v>
      </c>
      <c r="F40" s="33">
        <f>'Stavební rozpočet'!J386</f>
        <v>0</v>
      </c>
      <c r="G40" s="33">
        <f>'Stavební rozpočet'!K386</f>
        <v>0</v>
      </c>
      <c r="H40" s="33" t="s">
        <v>1762</v>
      </c>
      <c r="I40" s="33">
        <f t="shared" si="0"/>
        <v>0</v>
      </c>
    </row>
    <row r="41" spans="1:9" x14ac:dyDescent="0.2">
      <c r="A41" s="14"/>
      <c r="B41" s="14" t="s">
        <v>888</v>
      </c>
      <c r="C41" s="107" t="s">
        <v>1468</v>
      </c>
      <c r="D41" s="84"/>
      <c r="E41" s="33">
        <f>'Stavební rozpočet'!I414</f>
        <v>0</v>
      </c>
      <c r="F41" s="33">
        <f>'Stavební rozpočet'!J414</f>
        <v>0</v>
      </c>
      <c r="G41" s="33">
        <f>'Stavební rozpočet'!K414</f>
        <v>0</v>
      </c>
      <c r="H41" s="33" t="s">
        <v>1762</v>
      </c>
      <c r="I41" s="33">
        <f t="shared" si="0"/>
        <v>0</v>
      </c>
    </row>
    <row r="42" spans="1:9" x14ac:dyDescent="0.2">
      <c r="A42" s="14"/>
      <c r="B42" s="14" t="s">
        <v>920</v>
      </c>
      <c r="C42" s="107" t="s">
        <v>1501</v>
      </c>
      <c r="D42" s="84"/>
      <c r="E42" s="33">
        <f>'Stavební rozpočet'!I449</f>
        <v>0</v>
      </c>
      <c r="F42" s="33">
        <f>'Stavební rozpočet'!J449</f>
        <v>0</v>
      </c>
      <c r="G42" s="33">
        <f>'Stavební rozpočet'!K449</f>
        <v>0</v>
      </c>
      <c r="H42" s="33" t="s">
        <v>1762</v>
      </c>
      <c r="I42" s="33">
        <f t="shared" si="0"/>
        <v>0</v>
      </c>
    </row>
    <row r="43" spans="1:9" x14ac:dyDescent="0.2">
      <c r="A43" s="14"/>
      <c r="B43" s="14" t="s">
        <v>930</v>
      </c>
      <c r="C43" s="107" t="s">
        <v>1511</v>
      </c>
      <c r="D43" s="84"/>
      <c r="E43" s="33">
        <f>'Stavební rozpočet'!I459</f>
        <v>0</v>
      </c>
      <c r="F43" s="33">
        <f>'Stavební rozpočet'!J459</f>
        <v>0</v>
      </c>
      <c r="G43" s="33">
        <f>'Stavební rozpočet'!K459</f>
        <v>0</v>
      </c>
      <c r="H43" s="33" t="s">
        <v>1762</v>
      </c>
      <c r="I43" s="33">
        <f t="shared" si="0"/>
        <v>0</v>
      </c>
    </row>
    <row r="44" spans="1:9" x14ac:dyDescent="0.2">
      <c r="A44" s="14"/>
      <c r="B44" s="14" t="s">
        <v>941</v>
      </c>
      <c r="C44" s="107" t="s">
        <v>1522</v>
      </c>
      <c r="D44" s="84"/>
      <c r="E44" s="33">
        <f>'Stavební rozpočet'!I470</f>
        <v>0</v>
      </c>
      <c r="F44" s="33">
        <f>'Stavební rozpočet'!J470</f>
        <v>0</v>
      </c>
      <c r="G44" s="33">
        <f>'Stavební rozpočet'!K470</f>
        <v>0</v>
      </c>
      <c r="H44" s="33" t="s">
        <v>1762</v>
      </c>
      <c r="I44" s="33">
        <f t="shared" si="0"/>
        <v>0</v>
      </c>
    </row>
    <row r="45" spans="1:9" x14ac:dyDescent="0.2">
      <c r="A45" s="14"/>
      <c r="B45" s="14" t="s">
        <v>950</v>
      </c>
      <c r="C45" s="107" t="s">
        <v>1531</v>
      </c>
      <c r="D45" s="84"/>
      <c r="E45" s="33">
        <f>'Stavební rozpočet'!I480</f>
        <v>0</v>
      </c>
      <c r="F45" s="33">
        <f>'Stavební rozpočet'!J480</f>
        <v>0</v>
      </c>
      <c r="G45" s="33">
        <f>'Stavební rozpočet'!K480</f>
        <v>0</v>
      </c>
      <c r="H45" s="33" t="s">
        <v>1762</v>
      </c>
      <c r="I45" s="33">
        <f t="shared" si="0"/>
        <v>0</v>
      </c>
    </row>
    <row r="46" spans="1:9" x14ac:dyDescent="0.2">
      <c r="A46" s="14"/>
      <c r="B46" s="14" t="s">
        <v>952</v>
      </c>
      <c r="C46" s="107" t="s">
        <v>1533</v>
      </c>
      <c r="D46" s="84"/>
      <c r="E46" s="33">
        <f>'Stavební rozpočet'!I482</f>
        <v>0</v>
      </c>
      <c r="F46" s="33">
        <f>'Stavební rozpočet'!J482</f>
        <v>0</v>
      </c>
      <c r="G46" s="33">
        <f>'Stavební rozpočet'!K482</f>
        <v>0</v>
      </c>
      <c r="H46" s="33" t="s">
        <v>1762</v>
      </c>
      <c r="I46" s="33">
        <f t="shared" si="0"/>
        <v>0</v>
      </c>
    </row>
    <row r="47" spans="1:9" x14ac:dyDescent="0.2">
      <c r="A47" s="14"/>
      <c r="B47" s="14" t="s">
        <v>957</v>
      </c>
      <c r="C47" s="107" t="s">
        <v>1538</v>
      </c>
      <c r="D47" s="84"/>
      <c r="E47" s="33">
        <f>'Stavební rozpočet'!I487</f>
        <v>0</v>
      </c>
      <c r="F47" s="33">
        <f>'Stavební rozpočet'!J487</f>
        <v>0</v>
      </c>
      <c r="G47" s="33">
        <f>'Stavební rozpočet'!K487</f>
        <v>0</v>
      </c>
      <c r="H47" s="33" t="s">
        <v>1762</v>
      </c>
      <c r="I47" s="33">
        <f t="shared" si="0"/>
        <v>0</v>
      </c>
    </row>
    <row r="48" spans="1:9" x14ac:dyDescent="0.2">
      <c r="A48" s="14"/>
      <c r="B48" s="14" t="s">
        <v>1075</v>
      </c>
      <c r="C48" s="107" t="s">
        <v>1650</v>
      </c>
      <c r="D48" s="84"/>
      <c r="E48" s="33">
        <f>'Stavební rozpočet'!I617</f>
        <v>0</v>
      </c>
      <c r="F48" s="33">
        <f>'Stavební rozpočet'!J617</f>
        <v>0</v>
      </c>
      <c r="G48" s="33">
        <f>'Stavební rozpočet'!K617</f>
        <v>0</v>
      </c>
      <c r="H48" s="33" t="s">
        <v>1762</v>
      </c>
      <c r="I48" s="33">
        <f t="shared" si="0"/>
        <v>0</v>
      </c>
    </row>
    <row r="50" spans="6:7" x14ac:dyDescent="0.2">
      <c r="F50" s="42" t="s">
        <v>1687</v>
      </c>
      <c r="G50" s="44">
        <f>SUM(I11:I48)</f>
        <v>0</v>
      </c>
    </row>
  </sheetData>
  <sheetProtection password="DC71" sheet="1" objects="1" scenarios="1"/>
  <mergeCells count="56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D46"/>
    <mergeCell ref="C47:D47"/>
    <mergeCell ref="C48:D48"/>
    <mergeCell ref="C40:D40"/>
    <mergeCell ref="C41:D41"/>
    <mergeCell ref="C42:D42"/>
    <mergeCell ref="C43:D43"/>
    <mergeCell ref="C44:D44"/>
    <mergeCell ref="C45:D4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6"/>
  <sheetViews>
    <sheetView workbookViewId="0">
      <pane ySplit="11" topLeftCell="A13" activePane="bottomLeft" state="frozenSplit"/>
      <selection pane="bottomLeft" activeCell="H13" sqref="H1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31" customWidth="1"/>
    <col min="6" max="6" width="7.4257812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hidden="1" customWidth="1"/>
    <col min="25" max="62" width="12.140625" hidden="1" customWidth="1"/>
  </cols>
  <sheetData>
    <row r="1" spans="1:62" ht="72.95" customHeight="1" x14ac:dyDescent="0.35">
      <c r="A1" s="129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62" x14ac:dyDescent="0.2">
      <c r="A2" s="115" t="s">
        <v>1</v>
      </c>
      <c r="B2" s="116"/>
      <c r="C2" s="117" t="s">
        <v>1082</v>
      </c>
      <c r="D2" s="156" t="s">
        <v>1657</v>
      </c>
      <c r="E2" s="116"/>
      <c r="F2" s="156" t="s">
        <v>6</v>
      </c>
      <c r="G2" s="116"/>
      <c r="H2" s="120" t="s">
        <v>1678</v>
      </c>
      <c r="I2" s="156" t="s">
        <v>1684</v>
      </c>
      <c r="J2" s="116"/>
      <c r="K2" s="116"/>
      <c r="L2" s="130"/>
      <c r="M2" s="31"/>
    </row>
    <row r="3" spans="1:62" x14ac:dyDescent="0.2">
      <c r="A3" s="110"/>
      <c r="B3" s="84"/>
      <c r="C3" s="119"/>
      <c r="D3" s="84"/>
      <c r="E3" s="84"/>
      <c r="F3" s="84"/>
      <c r="G3" s="84"/>
      <c r="H3" s="84"/>
      <c r="I3" s="84"/>
      <c r="J3" s="84"/>
      <c r="K3" s="84"/>
      <c r="L3" s="112"/>
      <c r="M3" s="31"/>
    </row>
    <row r="4" spans="1:62" x14ac:dyDescent="0.2">
      <c r="A4" s="104" t="s">
        <v>2</v>
      </c>
      <c r="B4" s="84"/>
      <c r="C4" s="83" t="s">
        <v>6</v>
      </c>
      <c r="D4" s="107" t="s">
        <v>1658</v>
      </c>
      <c r="E4" s="84"/>
      <c r="F4" s="107" t="s">
        <v>6</v>
      </c>
      <c r="G4" s="84"/>
      <c r="H4" s="83" t="s">
        <v>1679</v>
      </c>
      <c r="I4" s="107" t="s">
        <v>1684</v>
      </c>
      <c r="J4" s="84"/>
      <c r="K4" s="84"/>
      <c r="L4" s="112"/>
      <c r="M4" s="31"/>
    </row>
    <row r="5" spans="1:62" x14ac:dyDescent="0.2">
      <c r="A5" s="110"/>
      <c r="B5" s="84"/>
      <c r="C5" s="84"/>
      <c r="D5" s="84"/>
      <c r="E5" s="84"/>
      <c r="F5" s="84"/>
      <c r="G5" s="84"/>
      <c r="H5" s="84"/>
      <c r="I5" s="84"/>
      <c r="J5" s="84"/>
      <c r="K5" s="84"/>
      <c r="L5" s="112"/>
      <c r="M5" s="31"/>
    </row>
    <row r="6" spans="1:62" x14ac:dyDescent="0.2">
      <c r="A6" s="104" t="s">
        <v>3</v>
      </c>
      <c r="B6" s="84"/>
      <c r="C6" s="83" t="s">
        <v>6</v>
      </c>
      <c r="D6" s="107" t="s">
        <v>1659</v>
      </c>
      <c r="E6" s="84"/>
      <c r="F6" s="107" t="s">
        <v>6</v>
      </c>
      <c r="G6" s="84"/>
      <c r="H6" s="83" t="s">
        <v>1680</v>
      </c>
      <c r="I6" s="107" t="s">
        <v>1684</v>
      </c>
      <c r="J6" s="84"/>
      <c r="K6" s="84"/>
      <c r="L6" s="112"/>
      <c r="M6" s="31"/>
    </row>
    <row r="7" spans="1:62" x14ac:dyDescent="0.2">
      <c r="A7" s="110"/>
      <c r="B7" s="84"/>
      <c r="C7" s="84"/>
      <c r="D7" s="84"/>
      <c r="E7" s="84"/>
      <c r="F7" s="84"/>
      <c r="G7" s="84"/>
      <c r="H7" s="84"/>
      <c r="I7" s="84"/>
      <c r="J7" s="84"/>
      <c r="K7" s="84"/>
      <c r="L7" s="112"/>
      <c r="M7" s="31"/>
    </row>
    <row r="8" spans="1:62" x14ac:dyDescent="0.2">
      <c r="A8" s="104" t="s">
        <v>4</v>
      </c>
      <c r="B8" s="84"/>
      <c r="C8" s="83" t="s">
        <v>6</v>
      </c>
      <c r="D8" s="107" t="s">
        <v>1660</v>
      </c>
      <c r="E8" s="84"/>
      <c r="F8" s="107"/>
      <c r="G8" s="84"/>
      <c r="H8" s="83" t="s">
        <v>1681</v>
      </c>
      <c r="I8" s="107" t="s">
        <v>1684</v>
      </c>
      <c r="J8" s="84"/>
      <c r="K8" s="84"/>
      <c r="L8" s="112"/>
      <c r="M8" s="31"/>
    </row>
    <row r="9" spans="1:62" x14ac:dyDescent="0.2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  <c r="M9" s="31"/>
    </row>
    <row r="10" spans="1:62" x14ac:dyDescent="0.2">
      <c r="A10" s="1" t="s">
        <v>5</v>
      </c>
      <c r="B10" s="10" t="s">
        <v>544</v>
      </c>
      <c r="C10" s="145" t="s">
        <v>1083</v>
      </c>
      <c r="D10" s="146"/>
      <c r="E10" s="147"/>
      <c r="F10" s="10" t="s">
        <v>1661</v>
      </c>
      <c r="G10" s="15" t="s">
        <v>1677</v>
      </c>
      <c r="H10" s="19" t="s">
        <v>1682</v>
      </c>
      <c r="I10" s="148" t="s">
        <v>1685</v>
      </c>
      <c r="J10" s="149"/>
      <c r="K10" s="150"/>
      <c r="L10" s="24" t="s">
        <v>1690</v>
      </c>
      <c r="M10" s="32"/>
    </row>
    <row r="11" spans="1:62" x14ac:dyDescent="0.2">
      <c r="A11" s="2" t="s">
        <v>6</v>
      </c>
      <c r="B11" s="11" t="s">
        <v>6</v>
      </c>
      <c r="C11" s="151" t="s">
        <v>1084</v>
      </c>
      <c r="D11" s="152"/>
      <c r="E11" s="153"/>
      <c r="F11" s="11" t="s">
        <v>6</v>
      </c>
      <c r="G11" s="11" t="s">
        <v>6</v>
      </c>
      <c r="H11" s="20" t="s">
        <v>1683</v>
      </c>
      <c r="I11" s="21" t="s">
        <v>1686</v>
      </c>
      <c r="J11" s="22" t="s">
        <v>1688</v>
      </c>
      <c r="K11" s="23" t="s">
        <v>1689</v>
      </c>
      <c r="L11" s="25" t="s">
        <v>1691</v>
      </c>
      <c r="M11" s="32"/>
      <c r="Z11" s="28" t="s">
        <v>1693</v>
      </c>
      <c r="AA11" s="28" t="s">
        <v>1694</v>
      </c>
      <c r="AB11" s="28" t="s">
        <v>1695</v>
      </c>
      <c r="AC11" s="28" t="s">
        <v>1696</v>
      </c>
      <c r="AD11" s="28" t="s">
        <v>1697</v>
      </c>
      <c r="AE11" s="28" t="s">
        <v>1698</v>
      </c>
      <c r="AF11" s="28" t="s">
        <v>1699</v>
      </c>
      <c r="AG11" s="28" t="s">
        <v>1700</v>
      </c>
      <c r="AH11" s="28" t="s">
        <v>1701</v>
      </c>
      <c r="BH11" s="28" t="s">
        <v>1753</v>
      </c>
      <c r="BI11" s="28" t="s">
        <v>1754</v>
      </c>
      <c r="BJ11" s="28" t="s">
        <v>1755</v>
      </c>
    </row>
    <row r="12" spans="1:62" x14ac:dyDescent="0.2">
      <c r="A12" s="3"/>
      <c r="B12" s="12" t="s">
        <v>19</v>
      </c>
      <c r="C12" s="154" t="s">
        <v>1085</v>
      </c>
      <c r="D12" s="155"/>
      <c r="E12" s="155"/>
      <c r="F12" s="3" t="s">
        <v>6</v>
      </c>
      <c r="G12" s="3" t="s">
        <v>6</v>
      </c>
      <c r="H12" s="3" t="s">
        <v>6</v>
      </c>
      <c r="I12" s="35">
        <f>SUM(I13:I14)</f>
        <v>0</v>
      </c>
      <c r="J12" s="35">
        <f>SUM(J13:J14)</f>
        <v>0</v>
      </c>
      <c r="K12" s="35">
        <f>SUM(K13:K14)</f>
        <v>0</v>
      </c>
      <c r="L12" s="26"/>
      <c r="AI12" s="28"/>
      <c r="AS12" s="36">
        <f>SUM(AJ13:AJ14)</f>
        <v>0</v>
      </c>
      <c r="AT12" s="36">
        <f>SUM(AK13:AK14)</f>
        <v>0</v>
      </c>
      <c r="AU12" s="36">
        <f>SUM(AL13:AL14)</f>
        <v>0</v>
      </c>
    </row>
    <row r="13" spans="1:62" x14ac:dyDescent="0.2">
      <c r="A13" s="4" t="s">
        <v>7</v>
      </c>
      <c r="B13" s="4" t="s">
        <v>545</v>
      </c>
      <c r="C13" s="131" t="s">
        <v>1086</v>
      </c>
      <c r="D13" s="132"/>
      <c r="E13" s="132"/>
      <c r="F13" s="4" t="s">
        <v>1662</v>
      </c>
      <c r="G13" s="68">
        <v>48.789000000000001</v>
      </c>
      <c r="H13" s="162">
        <v>0</v>
      </c>
      <c r="I13" s="16">
        <f>G13*AO13</f>
        <v>0</v>
      </c>
      <c r="J13" s="16">
        <f>G13*AP13</f>
        <v>0</v>
      </c>
      <c r="K13" s="16">
        <f>G13*H13</f>
        <v>0</v>
      </c>
      <c r="L13" s="27" t="s">
        <v>1692</v>
      </c>
      <c r="Z13" s="33">
        <f>IF(AQ13="5",BJ13,0)</f>
        <v>0</v>
      </c>
      <c r="AB13" s="33">
        <f>IF(AQ13="1",BH13,0)</f>
        <v>0</v>
      </c>
      <c r="AC13" s="33">
        <f>IF(AQ13="1",BI13,0)</f>
        <v>0</v>
      </c>
      <c r="AD13" s="33">
        <f>IF(AQ13="7",BH13,0)</f>
        <v>0</v>
      </c>
      <c r="AE13" s="33">
        <f>IF(AQ13="7",BI13,0)</f>
        <v>0</v>
      </c>
      <c r="AF13" s="33">
        <f>IF(AQ13="2",BH13,0)</f>
        <v>0</v>
      </c>
      <c r="AG13" s="33">
        <f>IF(AQ13="2",BI13,0)</f>
        <v>0</v>
      </c>
      <c r="AH13" s="33">
        <f>IF(AQ13="0",BJ13,0)</f>
        <v>0</v>
      </c>
      <c r="AI13" s="28"/>
      <c r="AJ13" s="16">
        <f>IF(AN13=0,K13,0)</f>
        <v>0</v>
      </c>
      <c r="AK13" s="16">
        <f>IF(AN13=15,K13,0)</f>
        <v>0</v>
      </c>
      <c r="AL13" s="16">
        <f>IF(AN13=21,K13,0)</f>
        <v>0</v>
      </c>
      <c r="AN13" s="33">
        <v>21</v>
      </c>
      <c r="AO13" s="33">
        <f>H13*0</f>
        <v>0</v>
      </c>
      <c r="AP13" s="33">
        <f>H13*(1-0)</f>
        <v>0</v>
      </c>
      <c r="AQ13" s="27" t="s">
        <v>7</v>
      </c>
      <c r="AV13" s="33">
        <f>AW13+AX13</f>
        <v>0</v>
      </c>
      <c r="AW13" s="33">
        <f>G13*AO13</f>
        <v>0</v>
      </c>
      <c r="AX13" s="33">
        <f>G13*AP13</f>
        <v>0</v>
      </c>
      <c r="AY13" s="34" t="s">
        <v>1702</v>
      </c>
      <c r="AZ13" s="34" t="s">
        <v>1740</v>
      </c>
      <c r="BA13" s="28" t="s">
        <v>1752</v>
      </c>
      <c r="BC13" s="33">
        <f>AW13+AX13</f>
        <v>0</v>
      </c>
      <c r="BD13" s="33">
        <f>H13/(100-BE13)*100</f>
        <v>0</v>
      </c>
      <c r="BE13" s="33">
        <v>0</v>
      </c>
      <c r="BF13" s="33">
        <f>13</f>
        <v>13</v>
      </c>
      <c r="BH13" s="16">
        <f>G13*AO13</f>
        <v>0</v>
      </c>
      <c r="BI13" s="16">
        <f>G13*AP13</f>
        <v>0</v>
      </c>
      <c r="BJ13" s="16">
        <f>G13*H13</f>
        <v>0</v>
      </c>
    </row>
    <row r="14" spans="1:62" x14ac:dyDescent="0.2">
      <c r="A14" s="4" t="s">
        <v>8</v>
      </c>
      <c r="B14" s="4" t="s">
        <v>546</v>
      </c>
      <c r="C14" s="131" t="s">
        <v>1087</v>
      </c>
      <c r="D14" s="132"/>
      <c r="E14" s="132"/>
      <c r="F14" s="4" t="s">
        <v>1662</v>
      </c>
      <c r="G14" s="68">
        <v>48.789000000000001</v>
      </c>
      <c r="H14" s="162">
        <v>0</v>
      </c>
      <c r="I14" s="16">
        <f>G14*AO14</f>
        <v>0</v>
      </c>
      <c r="J14" s="16">
        <f>G14*AP14</f>
        <v>0</v>
      </c>
      <c r="K14" s="16">
        <f>G14*H14</f>
        <v>0</v>
      </c>
      <c r="L14" s="27" t="s">
        <v>1692</v>
      </c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28"/>
      <c r="AJ14" s="16">
        <f>IF(AN14=0,K14,0)</f>
        <v>0</v>
      </c>
      <c r="AK14" s="16">
        <f>IF(AN14=15,K14,0)</f>
        <v>0</v>
      </c>
      <c r="AL14" s="16">
        <f>IF(AN14=21,K14,0)</f>
        <v>0</v>
      </c>
      <c r="AN14" s="33">
        <v>21</v>
      </c>
      <c r="AO14" s="33">
        <f>H14*0</f>
        <v>0</v>
      </c>
      <c r="AP14" s="33">
        <f>H14*(1-0)</f>
        <v>0</v>
      </c>
      <c r="AQ14" s="27" t="s">
        <v>7</v>
      </c>
      <c r="AV14" s="33">
        <f>AW14+AX14</f>
        <v>0</v>
      </c>
      <c r="AW14" s="33">
        <f>G14*AO14</f>
        <v>0</v>
      </c>
      <c r="AX14" s="33">
        <f>G14*AP14</f>
        <v>0</v>
      </c>
      <c r="AY14" s="34" t="s">
        <v>1702</v>
      </c>
      <c r="AZ14" s="34" t="s">
        <v>1740</v>
      </c>
      <c r="BA14" s="28" t="s">
        <v>1752</v>
      </c>
      <c r="BC14" s="33">
        <f>AW14+AX14</f>
        <v>0</v>
      </c>
      <c r="BD14" s="33">
        <f>H14/(100-BE14)*100</f>
        <v>0</v>
      </c>
      <c r="BE14" s="33">
        <v>0</v>
      </c>
      <c r="BF14" s="33">
        <f>14</f>
        <v>14</v>
      </c>
      <c r="BH14" s="16">
        <f>G14*AO14</f>
        <v>0</v>
      </c>
      <c r="BI14" s="16">
        <f>G14*AP14</f>
        <v>0</v>
      </c>
      <c r="BJ14" s="16">
        <f>G14*H14</f>
        <v>0</v>
      </c>
    </row>
    <row r="15" spans="1:62" x14ac:dyDescent="0.2">
      <c r="A15" s="5"/>
      <c r="B15" s="13" t="s">
        <v>22</v>
      </c>
      <c r="C15" s="136" t="s">
        <v>1088</v>
      </c>
      <c r="D15" s="137"/>
      <c r="E15" s="137"/>
      <c r="F15" s="5" t="s">
        <v>6</v>
      </c>
      <c r="G15" s="5" t="s">
        <v>6</v>
      </c>
      <c r="H15" s="163" t="s">
        <v>6</v>
      </c>
      <c r="I15" s="36">
        <f>SUM(I16:I18)</f>
        <v>0</v>
      </c>
      <c r="J15" s="36">
        <f>SUM(J16:J18)</f>
        <v>0</v>
      </c>
      <c r="K15" s="36">
        <f>SUM(K16:K18)</f>
        <v>0</v>
      </c>
      <c r="L15" s="28"/>
      <c r="AI15" s="28"/>
      <c r="AS15" s="36">
        <f>SUM(AJ16:AJ18)</f>
        <v>0</v>
      </c>
      <c r="AT15" s="36">
        <f>SUM(AK16:AK18)</f>
        <v>0</v>
      </c>
      <c r="AU15" s="36">
        <f>SUM(AL16:AL18)</f>
        <v>0</v>
      </c>
    </row>
    <row r="16" spans="1:62" x14ac:dyDescent="0.2">
      <c r="A16" s="4" t="s">
        <v>9</v>
      </c>
      <c r="B16" s="4" t="s">
        <v>547</v>
      </c>
      <c r="C16" s="131" t="s">
        <v>1089</v>
      </c>
      <c r="D16" s="132"/>
      <c r="E16" s="132"/>
      <c r="F16" s="4" t="s">
        <v>1662</v>
      </c>
      <c r="G16" s="68">
        <v>32.526000000000003</v>
      </c>
      <c r="H16" s="162">
        <v>0</v>
      </c>
      <c r="I16" s="16">
        <f>G16*AO16</f>
        <v>0</v>
      </c>
      <c r="J16" s="16">
        <f>G16*AP16</f>
        <v>0</v>
      </c>
      <c r="K16" s="16">
        <f>G16*H16</f>
        <v>0</v>
      </c>
      <c r="L16" s="27" t="s">
        <v>1692</v>
      </c>
      <c r="Z16" s="33">
        <f>IF(AQ16="5",BJ16,0)</f>
        <v>0</v>
      </c>
      <c r="AB16" s="33">
        <f>IF(AQ16="1",BH16,0)</f>
        <v>0</v>
      </c>
      <c r="AC16" s="33">
        <f>IF(AQ16="1",BI16,0)</f>
        <v>0</v>
      </c>
      <c r="AD16" s="33">
        <f>IF(AQ16="7",BH16,0)</f>
        <v>0</v>
      </c>
      <c r="AE16" s="33">
        <f>IF(AQ16="7",BI16,0)</f>
        <v>0</v>
      </c>
      <c r="AF16" s="33">
        <f>IF(AQ16="2",BH16,0)</f>
        <v>0</v>
      </c>
      <c r="AG16" s="33">
        <f>IF(AQ16="2",BI16,0)</f>
        <v>0</v>
      </c>
      <c r="AH16" s="33">
        <f>IF(AQ16="0",BJ16,0)</f>
        <v>0</v>
      </c>
      <c r="AI16" s="28"/>
      <c r="AJ16" s="16">
        <f>IF(AN16=0,K16,0)</f>
        <v>0</v>
      </c>
      <c r="AK16" s="16">
        <f>IF(AN16=15,K16,0)</f>
        <v>0</v>
      </c>
      <c r="AL16" s="16">
        <f>IF(AN16=21,K16,0)</f>
        <v>0</v>
      </c>
      <c r="AN16" s="33">
        <v>21</v>
      </c>
      <c r="AO16" s="33">
        <f>H16*0</f>
        <v>0</v>
      </c>
      <c r="AP16" s="33">
        <f>H16*(1-0)</f>
        <v>0</v>
      </c>
      <c r="AQ16" s="27" t="s">
        <v>7</v>
      </c>
      <c r="AV16" s="33">
        <f>AW16+AX16</f>
        <v>0</v>
      </c>
      <c r="AW16" s="33">
        <f>G16*AO16</f>
        <v>0</v>
      </c>
      <c r="AX16" s="33">
        <f>G16*AP16</f>
        <v>0</v>
      </c>
      <c r="AY16" s="34" t="s">
        <v>1703</v>
      </c>
      <c r="AZ16" s="34" t="s">
        <v>1740</v>
      </c>
      <c r="BA16" s="28" t="s">
        <v>1752</v>
      </c>
      <c r="BC16" s="33">
        <f>AW16+AX16</f>
        <v>0</v>
      </c>
      <c r="BD16" s="33">
        <f>H16/(100-BE16)*100</f>
        <v>0</v>
      </c>
      <c r="BE16" s="33">
        <v>0</v>
      </c>
      <c r="BF16" s="33">
        <f>16</f>
        <v>16</v>
      </c>
      <c r="BH16" s="16">
        <f>G16*AO16</f>
        <v>0</v>
      </c>
      <c r="BI16" s="16">
        <f>G16*AP16</f>
        <v>0</v>
      </c>
      <c r="BJ16" s="16">
        <f>G16*H16</f>
        <v>0</v>
      </c>
    </row>
    <row r="17" spans="1:62" x14ac:dyDescent="0.2">
      <c r="A17" s="4" t="s">
        <v>10</v>
      </c>
      <c r="B17" s="4" t="s">
        <v>548</v>
      </c>
      <c r="C17" s="131" t="s">
        <v>1090</v>
      </c>
      <c r="D17" s="132"/>
      <c r="E17" s="132"/>
      <c r="F17" s="4" t="s">
        <v>1662</v>
      </c>
      <c r="G17" s="68">
        <v>16.263000000000002</v>
      </c>
      <c r="H17" s="162">
        <v>0</v>
      </c>
      <c r="I17" s="16">
        <f>G17*AO17</f>
        <v>0</v>
      </c>
      <c r="J17" s="16">
        <f>G17*AP17</f>
        <v>0</v>
      </c>
      <c r="K17" s="16">
        <f>G17*H17</f>
        <v>0</v>
      </c>
      <c r="L17" s="27" t="s">
        <v>1692</v>
      </c>
      <c r="Z17" s="33">
        <f>IF(AQ17="5",BJ17,0)</f>
        <v>0</v>
      </c>
      <c r="AB17" s="33">
        <f>IF(AQ17="1",BH17,0)</f>
        <v>0</v>
      </c>
      <c r="AC17" s="33">
        <f>IF(AQ17="1",BI17,0)</f>
        <v>0</v>
      </c>
      <c r="AD17" s="33">
        <f>IF(AQ17="7",BH17,0)</f>
        <v>0</v>
      </c>
      <c r="AE17" s="33">
        <f>IF(AQ17="7",BI17,0)</f>
        <v>0</v>
      </c>
      <c r="AF17" s="33">
        <f>IF(AQ17="2",BH17,0)</f>
        <v>0</v>
      </c>
      <c r="AG17" s="33">
        <f>IF(AQ17="2",BI17,0)</f>
        <v>0</v>
      </c>
      <c r="AH17" s="33">
        <f>IF(AQ17="0",BJ17,0)</f>
        <v>0</v>
      </c>
      <c r="AI17" s="28"/>
      <c r="AJ17" s="16">
        <f>IF(AN17=0,K17,0)</f>
        <v>0</v>
      </c>
      <c r="AK17" s="16">
        <f>IF(AN17=15,K17,0)</f>
        <v>0</v>
      </c>
      <c r="AL17" s="16">
        <f>IF(AN17=21,K17,0)</f>
        <v>0</v>
      </c>
      <c r="AN17" s="33">
        <v>21</v>
      </c>
      <c r="AO17" s="33">
        <f>H17*0</f>
        <v>0</v>
      </c>
      <c r="AP17" s="33">
        <f>H17*(1-0)</f>
        <v>0</v>
      </c>
      <c r="AQ17" s="27" t="s">
        <v>7</v>
      </c>
      <c r="AV17" s="33">
        <f>AW17+AX17</f>
        <v>0</v>
      </c>
      <c r="AW17" s="33">
        <f>G17*AO17</f>
        <v>0</v>
      </c>
      <c r="AX17" s="33">
        <f>G17*AP17</f>
        <v>0</v>
      </c>
      <c r="AY17" s="34" t="s">
        <v>1703</v>
      </c>
      <c r="AZ17" s="34" t="s">
        <v>1740</v>
      </c>
      <c r="BA17" s="28" t="s">
        <v>1752</v>
      </c>
      <c r="BC17" s="33">
        <f>AW17+AX17</f>
        <v>0</v>
      </c>
      <c r="BD17" s="33">
        <f>H17/(100-BE17)*100</f>
        <v>0</v>
      </c>
      <c r="BE17" s="33">
        <v>0</v>
      </c>
      <c r="BF17" s="33">
        <f>17</f>
        <v>17</v>
      </c>
      <c r="BH17" s="16">
        <f>G17*AO17</f>
        <v>0</v>
      </c>
      <c r="BI17" s="16">
        <f>G17*AP17</f>
        <v>0</v>
      </c>
      <c r="BJ17" s="16">
        <f>G17*H17</f>
        <v>0</v>
      </c>
    </row>
    <row r="18" spans="1:62" x14ac:dyDescent="0.2">
      <c r="A18" s="4" t="s">
        <v>11</v>
      </c>
      <c r="B18" s="4" t="s">
        <v>549</v>
      </c>
      <c r="C18" s="131" t="s">
        <v>1091</v>
      </c>
      <c r="D18" s="132"/>
      <c r="E18" s="132"/>
      <c r="F18" s="4" t="s">
        <v>1662</v>
      </c>
      <c r="G18" s="68">
        <v>32.526000000000003</v>
      </c>
      <c r="H18" s="162">
        <v>0</v>
      </c>
      <c r="I18" s="16">
        <f>G18*AO18</f>
        <v>0</v>
      </c>
      <c r="J18" s="16">
        <f>G18*AP18</f>
        <v>0</v>
      </c>
      <c r="K18" s="16">
        <f>G18*H18</f>
        <v>0</v>
      </c>
      <c r="L18" s="27" t="s">
        <v>1692</v>
      </c>
      <c r="Z18" s="33">
        <f>IF(AQ18="5",BJ18,0)</f>
        <v>0</v>
      </c>
      <c r="AB18" s="33">
        <f>IF(AQ18="1",BH18,0)</f>
        <v>0</v>
      </c>
      <c r="AC18" s="33">
        <f>IF(AQ18="1",BI18,0)</f>
        <v>0</v>
      </c>
      <c r="AD18" s="33">
        <f>IF(AQ18="7",BH18,0)</f>
        <v>0</v>
      </c>
      <c r="AE18" s="33">
        <f>IF(AQ18="7",BI18,0)</f>
        <v>0</v>
      </c>
      <c r="AF18" s="33">
        <f>IF(AQ18="2",BH18,0)</f>
        <v>0</v>
      </c>
      <c r="AG18" s="33">
        <f>IF(AQ18="2",BI18,0)</f>
        <v>0</v>
      </c>
      <c r="AH18" s="33">
        <f>IF(AQ18="0",BJ18,0)</f>
        <v>0</v>
      </c>
      <c r="AI18" s="28"/>
      <c r="AJ18" s="16">
        <f>IF(AN18=0,K18,0)</f>
        <v>0</v>
      </c>
      <c r="AK18" s="16">
        <f>IF(AN18=15,K18,0)</f>
        <v>0</v>
      </c>
      <c r="AL18" s="16">
        <f>IF(AN18=21,K18,0)</f>
        <v>0</v>
      </c>
      <c r="AN18" s="33">
        <v>21</v>
      </c>
      <c r="AO18" s="33">
        <f>H18*0</f>
        <v>0</v>
      </c>
      <c r="AP18" s="33">
        <f>H18*(1-0)</f>
        <v>0</v>
      </c>
      <c r="AQ18" s="27" t="s">
        <v>7</v>
      </c>
      <c r="AV18" s="33">
        <f>AW18+AX18</f>
        <v>0</v>
      </c>
      <c r="AW18" s="33">
        <f>G18*AO18</f>
        <v>0</v>
      </c>
      <c r="AX18" s="33">
        <f>G18*AP18</f>
        <v>0</v>
      </c>
      <c r="AY18" s="34" t="s">
        <v>1703</v>
      </c>
      <c r="AZ18" s="34" t="s">
        <v>1740</v>
      </c>
      <c r="BA18" s="28" t="s">
        <v>1752</v>
      </c>
      <c r="BC18" s="33">
        <f>AW18+AX18</f>
        <v>0</v>
      </c>
      <c r="BD18" s="33">
        <f>H18/(100-BE18)*100</f>
        <v>0</v>
      </c>
      <c r="BE18" s="33">
        <v>0</v>
      </c>
      <c r="BF18" s="33">
        <f>18</f>
        <v>18</v>
      </c>
      <c r="BH18" s="16">
        <f>G18*AO18</f>
        <v>0</v>
      </c>
      <c r="BI18" s="16">
        <f>G18*AP18</f>
        <v>0</v>
      </c>
      <c r="BJ18" s="16">
        <f>G18*H18</f>
        <v>0</v>
      </c>
    </row>
    <row r="19" spans="1:62" x14ac:dyDescent="0.2">
      <c r="A19" s="5"/>
      <c r="B19" s="13" t="s">
        <v>23</v>
      </c>
      <c r="C19" s="136" t="s">
        <v>1092</v>
      </c>
      <c r="D19" s="137"/>
      <c r="E19" s="137"/>
      <c r="F19" s="5" t="s">
        <v>6</v>
      </c>
      <c r="G19" s="5" t="s">
        <v>6</v>
      </c>
      <c r="H19" s="163" t="s">
        <v>6</v>
      </c>
      <c r="I19" s="36">
        <f>SUM(I20:I22)</f>
        <v>0</v>
      </c>
      <c r="J19" s="36">
        <f>SUM(J20:J22)</f>
        <v>0</v>
      </c>
      <c r="K19" s="36">
        <f>SUM(K20:K22)</f>
        <v>0</v>
      </c>
      <c r="L19" s="28"/>
      <c r="AI19" s="28"/>
      <c r="AS19" s="36">
        <f>SUM(AJ20:AJ22)</f>
        <v>0</v>
      </c>
      <c r="AT19" s="36">
        <f>SUM(AK20:AK22)</f>
        <v>0</v>
      </c>
      <c r="AU19" s="36">
        <f>SUM(AL20:AL22)</f>
        <v>0</v>
      </c>
    </row>
    <row r="20" spans="1:62" x14ac:dyDescent="0.2">
      <c r="A20" s="4" t="s">
        <v>12</v>
      </c>
      <c r="B20" s="4" t="s">
        <v>550</v>
      </c>
      <c r="C20" s="131" t="s">
        <v>1093</v>
      </c>
      <c r="D20" s="132"/>
      <c r="E20" s="132"/>
      <c r="F20" s="4" t="s">
        <v>1663</v>
      </c>
      <c r="G20" s="68">
        <v>100</v>
      </c>
      <c r="H20" s="162">
        <v>0</v>
      </c>
      <c r="I20" s="16">
        <f>G20*AO20</f>
        <v>0</v>
      </c>
      <c r="J20" s="16">
        <f>G20*AP20</f>
        <v>0</v>
      </c>
      <c r="K20" s="16">
        <f>G20*H20</f>
        <v>0</v>
      </c>
      <c r="L20" s="27" t="s">
        <v>1692</v>
      </c>
      <c r="Z20" s="33">
        <f>IF(AQ20="5",BJ20,0)</f>
        <v>0</v>
      </c>
      <c r="AB20" s="33">
        <f>IF(AQ20="1",BH20,0)</f>
        <v>0</v>
      </c>
      <c r="AC20" s="33">
        <f>IF(AQ20="1",BI20,0)</f>
        <v>0</v>
      </c>
      <c r="AD20" s="33">
        <f>IF(AQ20="7",BH20,0)</f>
        <v>0</v>
      </c>
      <c r="AE20" s="33">
        <f>IF(AQ20="7",BI20,0)</f>
        <v>0</v>
      </c>
      <c r="AF20" s="33">
        <f>IF(AQ20="2",BH20,0)</f>
        <v>0</v>
      </c>
      <c r="AG20" s="33">
        <f>IF(AQ20="2",BI20,0)</f>
        <v>0</v>
      </c>
      <c r="AH20" s="33">
        <f>IF(AQ20="0",BJ20,0)</f>
        <v>0</v>
      </c>
      <c r="AI20" s="28"/>
      <c r="AJ20" s="16">
        <f>IF(AN20=0,K20,0)</f>
        <v>0</v>
      </c>
      <c r="AK20" s="16">
        <f>IF(AN20=15,K20,0)</f>
        <v>0</v>
      </c>
      <c r="AL20" s="16">
        <f>IF(AN20=21,K20,0)</f>
        <v>0</v>
      </c>
      <c r="AN20" s="33">
        <v>21</v>
      </c>
      <c r="AO20" s="33">
        <f>H20*0</f>
        <v>0</v>
      </c>
      <c r="AP20" s="33">
        <f>H20*(1-0)</f>
        <v>0</v>
      </c>
      <c r="AQ20" s="27" t="s">
        <v>7</v>
      </c>
      <c r="AV20" s="33">
        <f>AW20+AX20</f>
        <v>0</v>
      </c>
      <c r="AW20" s="33">
        <f>G20*AO20</f>
        <v>0</v>
      </c>
      <c r="AX20" s="33">
        <f>G20*AP20</f>
        <v>0</v>
      </c>
      <c r="AY20" s="34" t="s">
        <v>1704</v>
      </c>
      <c r="AZ20" s="34" t="s">
        <v>1740</v>
      </c>
      <c r="BA20" s="28" t="s">
        <v>1752</v>
      </c>
      <c r="BC20" s="33">
        <f>AW20+AX20</f>
        <v>0</v>
      </c>
      <c r="BD20" s="33">
        <f>H20/(100-BE20)*100</f>
        <v>0</v>
      </c>
      <c r="BE20" s="33">
        <v>0</v>
      </c>
      <c r="BF20" s="33">
        <f>20</f>
        <v>20</v>
      </c>
      <c r="BH20" s="16">
        <f>G20*AO20</f>
        <v>0</v>
      </c>
      <c r="BI20" s="16">
        <f>G20*AP20</f>
        <v>0</v>
      </c>
      <c r="BJ20" s="16">
        <f>G20*H20</f>
        <v>0</v>
      </c>
    </row>
    <row r="21" spans="1:62" x14ac:dyDescent="0.2">
      <c r="A21" s="4" t="s">
        <v>13</v>
      </c>
      <c r="B21" s="4" t="s">
        <v>551</v>
      </c>
      <c r="C21" s="131" t="s">
        <v>1094</v>
      </c>
      <c r="D21" s="132"/>
      <c r="E21" s="132"/>
      <c r="F21" s="4" t="s">
        <v>1662</v>
      </c>
      <c r="G21" s="68">
        <v>32.526000000000003</v>
      </c>
      <c r="H21" s="162">
        <v>0</v>
      </c>
      <c r="I21" s="16">
        <f>G21*AO21</f>
        <v>0</v>
      </c>
      <c r="J21" s="16">
        <f>G21*AP21</f>
        <v>0</v>
      </c>
      <c r="K21" s="16">
        <f>G21*H21</f>
        <v>0</v>
      </c>
      <c r="L21" s="27" t="s">
        <v>1692</v>
      </c>
      <c r="Z21" s="33">
        <f>IF(AQ21="5",BJ21,0)</f>
        <v>0</v>
      </c>
      <c r="AB21" s="33">
        <f>IF(AQ21="1",BH21,0)</f>
        <v>0</v>
      </c>
      <c r="AC21" s="33">
        <f>IF(AQ21="1",BI21,0)</f>
        <v>0</v>
      </c>
      <c r="AD21" s="33">
        <f>IF(AQ21="7",BH21,0)</f>
        <v>0</v>
      </c>
      <c r="AE21" s="33">
        <f>IF(AQ21="7",BI21,0)</f>
        <v>0</v>
      </c>
      <c r="AF21" s="33">
        <f>IF(AQ21="2",BH21,0)</f>
        <v>0</v>
      </c>
      <c r="AG21" s="33">
        <f>IF(AQ21="2",BI21,0)</f>
        <v>0</v>
      </c>
      <c r="AH21" s="33">
        <f>IF(AQ21="0",BJ21,0)</f>
        <v>0</v>
      </c>
      <c r="AI21" s="28"/>
      <c r="AJ21" s="16">
        <f>IF(AN21=0,K21,0)</f>
        <v>0</v>
      </c>
      <c r="AK21" s="16">
        <f>IF(AN21=15,K21,0)</f>
        <v>0</v>
      </c>
      <c r="AL21" s="16">
        <f>IF(AN21=21,K21,0)</f>
        <v>0</v>
      </c>
      <c r="AN21" s="33">
        <v>21</v>
      </c>
      <c r="AO21" s="33">
        <f>H21*0</f>
        <v>0</v>
      </c>
      <c r="AP21" s="33">
        <f>H21*(1-0)</f>
        <v>0</v>
      </c>
      <c r="AQ21" s="27" t="s">
        <v>7</v>
      </c>
      <c r="AV21" s="33">
        <f>AW21+AX21</f>
        <v>0</v>
      </c>
      <c r="AW21" s="33">
        <f>G21*AO21</f>
        <v>0</v>
      </c>
      <c r="AX21" s="33">
        <f>G21*AP21</f>
        <v>0</v>
      </c>
      <c r="AY21" s="34" t="s">
        <v>1704</v>
      </c>
      <c r="AZ21" s="34" t="s">
        <v>1740</v>
      </c>
      <c r="BA21" s="28" t="s">
        <v>1752</v>
      </c>
      <c r="BC21" s="33">
        <f>AW21+AX21</f>
        <v>0</v>
      </c>
      <c r="BD21" s="33">
        <f>H21/(100-BE21)*100</f>
        <v>0</v>
      </c>
      <c r="BE21" s="33">
        <v>0</v>
      </c>
      <c r="BF21" s="33">
        <f>21</f>
        <v>21</v>
      </c>
      <c r="BH21" s="16">
        <f>G21*AO21</f>
        <v>0</v>
      </c>
      <c r="BI21" s="16">
        <f>G21*AP21</f>
        <v>0</v>
      </c>
      <c r="BJ21" s="16">
        <f>G21*H21</f>
        <v>0</v>
      </c>
    </row>
    <row r="22" spans="1:62" x14ac:dyDescent="0.2">
      <c r="A22" s="4" t="s">
        <v>14</v>
      </c>
      <c r="B22" s="4" t="s">
        <v>552</v>
      </c>
      <c r="C22" s="131" t="s">
        <v>1095</v>
      </c>
      <c r="D22" s="132"/>
      <c r="E22" s="132"/>
      <c r="F22" s="4" t="s">
        <v>1662</v>
      </c>
      <c r="G22" s="68">
        <v>16.263000000000002</v>
      </c>
      <c r="H22" s="162">
        <v>0</v>
      </c>
      <c r="I22" s="16">
        <f>G22*AO22</f>
        <v>0</v>
      </c>
      <c r="J22" s="16">
        <f>G22*AP22</f>
        <v>0</v>
      </c>
      <c r="K22" s="16">
        <f>G22*H22</f>
        <v>0</v>
      </c>
      <c r="L22" s="27" t="s">
        <v>1692</v>
      </c>
      <c r="Z22" s="33">
        <f>IF(AQ22="5",BJ22,0)</f>
        <v>0</v>
      </c>
      <c r="AB22" s="33">
        <f>IF(AQ22="1",BH22,0)</f>
        <v>0</v>
      </c>
      <c r="AC22" s="33">
        <f>IF(AQ22="1",BI22,0)</f>
        <v>0</v>
      </c>
      <c r="AD22" s="33">
        <f>IF(AQ22="7",BH22,0)</f>
        <v>0</v>
      </c>
      <c r="AE22" s="33">
        <f>IF(AQ22="7",BI22,0)</f>
        <v>0</v>
      </c>
      <c r="AF22" s="33">
        <f>IF(AQ22="2",BH22,0)</f>
        <v>0</v>
      </c>
      <c r="AG22" s="33">
        <f>IF(AQ22="2",BI22,0)</f>
        <v>0</v>
      </c>
      <c r="AH22" s="33">
        <f>IF(AQ22="0",BJ22,0)</f>
        <v>0</v>
      </c>
      <c r="AI22" s="28"/>
      <c r="AJ22" s="16">
        <f>IF(AN22=0,K22,0)</f>
        <v>0</v>
      </c>
      <c r="AK22" s="16">
        <f>IF(AN22=15,K22,0)</f>
        <v>0</v>
      </c>
      <c r="AL22" s="16">
        <f>IF(AN22=21,K22,0)</f>
        <v>0</v>
      </c>
      <c r="AN22" s="33">
        <v>21</v>
      </c>
      <c r="AO22" s="33">
        <f>H22*0</f>
        <v>0</v>
      </c>
      <c r="AP22" s="33">
        <f>H22*(1-0)</f>
        <v>0</v>
      </c>
      <c r="AQ22" s="27" t="s">
        <v>7</v>
      </c>
      <c r="AV22" s="33">
        <f>AW22+AX22</f>
        <v>0</v>
      </c>
      <c r="AW22" s="33">
        <f>G22*AO22</f>
        <v>0</v>
      </c>
      <c r="AX22" s="33">
        <f>G22*AP22</f>
        <v>0</v>
      </c>
      <c r="AY22" s="34" t="s">
        <v>1704</v>
      </c>
      <c r="AZ22" s="34" t="s">
        <v>1740</v>
      </c>
      <c r="BA22" s="28" t="s">
        <v>1752</v>
      </c>
      <c r="BC22" s="33">
        <f>AW22+AX22</f>
        <v>0</v>
      </c>
      <c r="BD22" s="33">
        <f>H22/(100-BE22)*100</f>
        <v>0</v>
      </c>
      <c r="BE22" s="33">
        <v>0</v>
      </c>
      <c r="BF22" s="33">
        <f>22</f>
        <v>22</v>
      </c>
      <c r="BH22" s="16">
        <f>G22*AO22</f>
        <v>0</v>
      </c>
      <c r="BI22" s="16">
        <f>G22*AP22</f>
        <v>0</v>
      </c>
      <c r="BJ22" s="16">
        <f>G22*H22</f>
        <v>0</v>
      </c>
    </row>
    <row r="23" spans="1:62" x14ac:dyDescent="0.2">
      <c r="A23" s="5"/>
      <c r="B23" s="13" t="s">
        <v>24</v>
      </c>
      <c r="C23" s="136" t="s">
        <v>1096</v>
      </c>
      <c r="D23" s="137"/>
      <c r="E23" s="137"/>
      <c r="F23" s="5" t="s">
        <v>6</v>
      </c>
      <c r="G23" s="5" t="s">
        <v>6</v>
      </c>
      <c r="H23" s="163" t="s">
        <v>6</v>
      </c>
      <c r="I23" s="36">
        <f>SUM(I24:I25)</f>
        <v>0</v>
      </c>
      <c r="J23" s="36">
        <f>SUM(J24:J25)</f>
        <v>0</v>
      </c>
      <c r="K23" s="36">
        <f>SUM(K24:K25)</f>
        <v>0</v>
      </c>
      <c r="L23" s="28"/>
      <c r="AI23" s="28"/>
      <c r="AS23" s="36">
        <f>SUM(AJ24:AJ25)</f>
        <v>0</v>
      </c>
      <c r="AT23" s="36">
        <f>SUM(AK24:AK25)</f>
        <v>0</v>
      </c>
      <c r="AU23" s="36">
        <f>SUM(AL24:AL25)</f>
        <v>0</v>
      </c>
    </row>
    <row r="24" spans="1:62" x14ac:dyDescent="0.2">
      <c r="A24" s="4" t="s">
        <v>15</v>
      </c>
      <c r="B24" s="4" t="s">
        <v>553</v>
      </c>
      <c r="C24" s="131" t="s">
        <v>1097</v>
      </c>
      <c r="D24" s="132"/>
      <c r="E24" s="132"/>
      <c r="F24" s="4" t="s">
        <v>1663</v>
      </c>
      <c r="G24" s="68">
        <v>325.26</v>
      </c>
      <c r="H24" s="162">
        <v>0</v>
      </c>
      <c r="I24" s="16">
        <f>G24*AO24</f>
        <v>0</v>
      </c>
      <c r="J24" s="16">
        <f>G24*AP24</f>
        <v>0</v>
      </c>
      <c r="K24" s="16">
        <f>G24*H24</f>
        <v>0</v>
      </c>
      <c r="L24" s="27" t="s">
        <v>1692</v>
      </c>
      <c r="Z24" s="33">
        <f>IF(AQ24="5",BJ24,0)</f>
        <v>0</v>
      </c>
      <c r="AB24" s="33">
        <f>IF(AQ24="1",BH24,0)</f>
        <v>0</v>
      </c>
      <c r="AC24" s="33">
        <f>IF(AQ24="1",BI24,0)</f>
        <v>0</v>
      </c>
      <c r="AD24" s="33">
        <f>IF(AQ24="7",BH24,0)</f>
        <v>0</v>
      </c>
      <c r="AE24" s="33">
        <f>IF(AQ24="7",BI24,0)</f>
        <v>0</v>
      </c>
      <c r="AF24" s="33">
        <f>IF(AQ24="2",BH24,0)</f>
        <v>0</v>
      </c>
      <c r="AG24" s="33">
        <f>IF(AQ24="2",BI24,0)</f>
        <v>0</v>
      </c>
      <c r="AH24" s="33">
        <f>IF(AQ24="0",BJ24,0)</f>
        <v>0</v>
      </c>
      <c r="AI24" s="28"/>
      <c r="AJ24" s="16">
        <f>IF(AN24=0,K24,0)</f>
        <v>0</v>
      </c>
      <c r="AK24" s="16">
        <f>IF(AN24=15,K24,0)</f>
        <v>0</v>
      </c>
      <c r="AL24" s="16">
        <f>IF(AN24=21,K24,0)</f>
        <v>0</v>
      </c>
      <c r="AN24" s="33">
        <v>21</v>
      </c>
      <c r="AO24" s="33">
        <f>H24*0.192193548387097</f>
        <v>0</v>
      </c>
      <c r="AP24" s="33">
        <f>H24*(1-0.192193548387097)</f>
        <v>0</v>
      </c>
      <c r="AQ24" s="27" t="s">
        <v>7</v>
      </c>
      <c r="AV24" s="33">
        <f>AW24+AX24</f>
        <v>0</v>
      </c>
      <c r="AW24" s="33">
        <f>G24*AO24</f>
        <v>0</v>
      </c>
      <c r="AX24" s="33">
        <f>G24*AP24</f>
        <v>0</v>
      </c>
      <c r="AY24" s="34" t="s">
        <v>1705</v>
      </c>
      <c r="AZ24" s="34" t="s">
        <v>1740</v>
      </c>
      <c r="BA24" s="28" t="s">
        <v>1752</v>
      </c>
      <c r="BC24" s="33">
        <f>AW24+AX24</f>
        <v>0</v>
      </c>
      <c r="BD24" s="33">
        <f>H24/(100-BE24)*100</f>
        <v>0</v>
      </c>
      <c r="BE24" s="33">
        <v>0</v>
      </c>
      <c r="BF24" s="33">
        <f>24</f>
        <v>24</v>
      </c>
      <c r="BH24" s="16">
        <f>G24*AO24</f>
        <v>0</v>
      </c>
      <c r="BI24" s="16">
        <f>G24*AP24</f>
        <v>0</v>
      </c>
      <c r="BJ24" s="16">
        <f>G24*H24</f>
        <v>0</v>
      </c>
    </row>
    <row r="25" spans="1:62" x14ac:dyDescent="0.2">
      <c r="A25" s="4" t="s">
        <v>16</v>
      </c>
      <c r="B25" s="4" t="s">
        <v>554</v>
      </c>
      <c r="C25" s="131" t="s">
        <v>1098</v>
      </c>
      <c r="D25" s="132"/>
      <c r="E25" s="132"/>
      <c r="F25" s="4" t="s">
        <v>1664</v>
      </c>
      <c r="G25" s="68">
        <v>56.920999999999999</v>
      </c>
      <c r="H25" s="162">
        <v>0</v>
      </c>
      <c r="I25" s="16">
        <f>G25*AO25</f>
        <v>0</v>
      </c>
      <c r="J25" s="16">
        <f>G25*AP25</f>
        <v>0</v>
      </c>
      <c r="K25" s="16">
        <f>G25*H25</f>
        <v>0</v>
      </c>
      <c r="L25" s="27" t="s">
        <v>1692</v>
      </c>
      <c r="Z25" s="33">
        <f>IF(AQ25="5",BJ25,0)</f>
        <v>0</v>
      </c>
      <c r="AB25" s="33">
        <f>IF(AQ25="1",BH25,0)</f>
        <v>0</v>
      </c>
      <c r="AC25" s="33">
        <f>IF(AQ25="1",BI25,0)</f>
        <v>0</v>
      </c>
      <c r="AD25" s="33">
        <f>IF(AQ25="7",BH25,0)</f>
        <v>0</v>
      </c>
      <c r="AE25" s="33">
        <f>IF(AQ25="7",BI25,0)</f>
        <v>0</v>
      </c>
      <c r="AF25" s="33">
        <f>IF(AQ25="2",BH25,0)</f>
        <v>0</v>
      </c>
      <c r="AG25" s="33">
        <f>IF(AQ25="2",BI25,0)</f>
        <v>0</v>
      </c>
      <c r="AH25" s="33">
        <f>IF(AQ25="0",BJ25,0)</f>
        <v>0</v>
      </c>
      <c r="AI25" s="28"/>
      <c r="AJ25" s="16">
        <f>IF(AN25=0,K25,0)</f>
        <v>0</v>
      </c>
      <c r="AK25" s="16">
        <f>IF(AN25=15,K25,0)</f>
        <v>0</v>
      </c>
      <c r="AL25" s="16">
        <f>IF(AN25=21,K25,0)</f>
        <v>0</v>
      </c>
      <c r="AN25" s="33">
        <v>21</v>
      </c>
      <c r="AO25" s="33">
        <f>H25*0</f>
        <v>0</v>
      </c>
      <c r="AP25" s="33">
        <f>H25*(1-0)</f>
        <v>0</v>
      </c>
      <c r="AQ25" s="27" t="s">
        <v>7</v>
      </c>
      <c r="AV25" s="33">
        <f>AW25+AX25</f>
        <v>0</v>
      </c>
      <c r="AW25" s="33">
        <f>G25*AO25</f>
        <v>0</v>
      </c>
      <c r="AX25" s="33">
        <f>G25*AP25</f>
        <v>0</v>
      </c>
      <c r="AY25" s="34" t="s">
        <v>1705</v>
      </c>
      <c r="AZ25" s="34" t="s">
        <v>1740</v>
      </c>
      <c r="BA25" s="28" t="s">
        <v>1752</v>
      </c>
      <c r="BC25" s="33">
        <f>AW25+AX25</f>
        <v>0</v>
      </c>
      <c r="BD25" s="33">
        <f>H25/(100-BE25)*100</f>
        <v>0</v>
      </c>
      <c r="BE25" s="33">
        <v>0</v>
      </c>
      <c r="BF25" s="33">
        <f>25</f>
        <v>25</v>
      </c>
      <c r="BH25" s="16">
        <f>G25*AO25</f>
        <v>0</v>
      </c>
      <c r="BI25" s="16">
        <f>G25*AP25</f>
        <v>0</v>
      </c>
      <c r="BJ25" s="16">
        <f>G25*H25</f>
        <v>0</v>
      </c>
    </row>
    <row r="26" spans="1:62" x14ac:dyDescent="0.2">
      <c r="A26" s="5"/>
      <c r="B26" s="13" t="s">
        <v>37</v>
      </c>
      <c r="C26" s="136" t="s">
        <v>1099</v>
      </c>
      <c r="D26" s="137"/>
      <c r="E26" s="137"/>
      <c r="F26" s="5" t="s">
        <v>6</v>
      </c>
      <c r="G26" s="5" t="s">
        <v>6</v>
      </c>
      <c r="H26" s="163" t="s">
        <v>6</v>
      </c>
      <c r="I26" s="36">
        <f>SUM(I27:I30)</f>
        <v>0</v>
      </c>
      <c r="J26" s="36">
        <f>SUM(J27:J30)</f>
        <v>0</v>
      </c>
      <c r="K26" s="36">
        <f>SUM(K27:K30)</f>
        <v>0</v>
      </c>
      <c r="L26" s="28"/>
      <c r="AI26" s="28"/>
      <c r="AS26" s="36">
        <f>SUM(AJ27:AJ30)</f>
        <v>0</v>
      </c>
      <c r="AT26" s="36">
        <f>SUM(AK27:AK30)</f>
        <v>0</v>
      </c>
      <c r="AU26" s="36">
        <f>SUM(AL27:AL30)</f>
        <v>0</v>
      </c>
    </row>
    <row r="27" spans="1:62" x14ac:dyDescent="0.2">
      <c r="A27" s="4" t="s">
        <v>17</v>
      </c>
      <c r="B27" s="4" t="s">
        <v>555</v>
      </c>
      <c r="C27" s="131" t="s">
        <v>1100</v>
      </c>
      <c r="D27" s="132"/>
      <c r="E27" s="132"/>
      <c r="F27" s="4" t="s">
        <v>1663</v>
      </c>
      <c r="G27" s="68">
        <v>1.278</v>
      </c>
      <c r="H27" s="162">
        <v>0</v>
      </c>
      <c r="I27" s="16">
        <f>G27*AO27</f>
        <v>0</v>
      </c>
      <c r="J27" s="16">
        <f>G27*AP27</f>
        <v>0</v>
      </c>
      <c r="K27" s="16">
        <f>G27*H27</f>
        <v>0</v>
      </c>
      <c r="L27" s="27" t="s">
        <v>1692</v>
      </c>
      <c r="Z27" s="33">
        <f>IF(AQ27="5",BJ27,0)</f>
        <v>0</v>
      </c>
      <c r="AB27" s="33">
        <f>IF(AQ27="1",BH27,0)</f>
        <v>0</v>
      </c>
      <c r="AC27" s="33">
        <f>IF(AQ27="1",BI27,0)</f>
        <v>0</v>
      </c>
      <c r="AD27" s="33">
        <f>IF(AQ27="7",BH27,0)</f>
        <v>0</v>
      </c>
      <c r="AE27" s="33">
        <f>IF(AQ27="7",BI27,0)</f>
        <v>0</v>
      </c>
      <c r="AF27" s="33">
        <f>IF(AQ27="2",BH27,0)</f>
        <v>0</v>
      </c>
      <c r="AG27" s="33">
        <f>IF(AQ27="2",BI27,0)</f>
        <v>0</v>
      </c>
      <c r="AH27" s="33">
        <f>IF(AQ27="0",BJ27,0)</f>
        <v>0</v>
      </c>
      <c r="AI27" s="28"/>
      <c r="AJ27" s="16">
        <f>IF(AN27=0,K27,0)</f>
        <v>0</v>
      </c>
      <c r="AK27" s="16">
        <f>IF(AN27=15,K27,0)</f>
        <v>0</v>
      </c>
      <c r="AL27" s="16">
        <f>IF(AN27=21,K27,0)</f>
        <v>0</v>
      </c>
      <c r="AN27" s="33">
        <v>21</v>
      </c>
      <c r="AO27" s="33">
        <f>H27*0.387118584070796</f>
        <v>0</v>
      </c>
      <c r="AP27" s="33">
        <f>H27*(1-0.387118584070796)</f>
        <v>0</v>
      </c>
      <c r="AQ27" s="27" t="s">
        <v>7</v>
      </c>
      <c r="AV27" s="33">
        <f>AW27+AX27</f>
        <v>0</v>
      </c>
      <c r="AW27" s="33">
        <f>G27*AO27</f>
        <v>0</v>
      </c>
      <c r="AX27" s="33">
        <f>G27*AP27</f>
        <v>0</v>
      </c>
      <c r="AY27" s="34" t="s">
        <v>1706</v>
      </c>
      <c r="AZ27" s="34" t="s">
        <v>1741</v>
      </c>
      <c r="BA27" s="28" t="s">
        <v>1752</v>
      </c>
      <c r="BC27" s="33">
        <f>AW27+AX27</f>
        <v>0</v>
      </c>
      <c r="BD27" s="33">
        <f>H27/(100-BE27)*100</f>
        <v>0</v>
      </c>
      <c r="BE27" s="33">
        <v>0</v>
      </c>
      <c r="BF27" s="33">
        <f>27</f>
        <v>27</v>
      </c>
      <c r="BH27" s="16">
        <f>G27*AO27</f>
        <v>0</v>
      </c>
      <c r="BI27" s="16">
        <f>G27*AP27</f>
        <v>0</v>
      </c>
      <c r="BJ27" s="16">
        <f>G27*H27</f>
        <v>0</v>
      </c>
    </row>
    <row r="28" spans="1:62" x14ac:dyDescent="0.2">
      <c r="A28" s="4" t="s">
        <v>18</v>
      </c>
      <c r="B28" s="4" t="s">
        <v>556</v>
      </c>
      <c r="C28" s="131" t="s">
        <v>1101</v>
      </c>
      <c r="D28" s="132"/>
      <c r="E28" s="132"/>
      <c r="F28" s="4" t="s">
        <v>1663</v>
      </c>
      <c r="G28" s="68">
        <v>5.3330000000000002</v>
      </c>
      <c r="H28" s="162">
        <v>0</v>
      </c>
      <c r="I28" s="16">
        <f>G28*AO28</f>
        <v>0</v>
      </c>
      <c r="J28" s="16">
        <f>G28*AP28</f>
        <v>0</v>
      </c>
      <c r="K28" s="16">
        <f>G28*H28</f>
        <v>0</v>
      </c>
      <c r="L28" s="27" t="s">
        <v>1692</v>
      </c>
      <c r="Z28" s="33">
        <f>IF(AQ28="5",BJ28,0)</f>
        <v>0</v>
      </c>
      <c r="AB28" s="33">
        <f>IF(AQ28="1",BH28,0)</f>
        <v>0</v>
      </c>
      <c r="AC28" s="33">
        <f>IF(AQ28="1",BI28,0)</f>
        <v>0</v>
      </c>
      <c r="AD28" s="33">
        <f>IF(AQ28="7",BH28,0)</f>
        <v>0</v>
      </c>
      <c r="AE28" s="33">
        <f>IF(AQ28="7",BI28,0)</f>
        <v>0</v>
      </c>
      <c r="AF28" s="33">
        <f>IF(AQ28="2",BH28,0)</f>
        <v>0</v>
      </c>
      <c r="AG28" s="33">
        <f>IF(AQ28="2",BI28,0)</f>
        <v>0</v>
      </c>
      <c r="AH28" s="33">
        <f>IF(AQ28="0",BJ28,0)</f>
        <v>0</v>
      </c>
      <c r="AI28" s="28"/>
      <c r="AJ28" s="16">
        <f>IF(AN28=0,K28,0)</f>
        <v>0</v>
      </c>
      <c r="AK28" s="16">
        <f>IF(AN28=15,K28,0)</f>
        <v>0</v>
      </c>
      <c r="AL28" s="16">
        <f>IF(AN28=21,K28,0)</f>
        <v>0</v>
      </c>
      <c r="AN28" s="33">
        <v>21</v>
      </c>
      <c r="AO28" s="33">
        <f>H28*0.387117824773414</f>
        <v>0</v>
      </c>
      <c r="AP28" s="33">
        <f>H28*(1-0.387117824773414)</f>
        <v>0</v>
      </c>
      <c r="AQ28" s="27" t="s">
        <v>7</v>
      </c>
      <c r="AV28" s="33">
        <f>AW28+AX28</f>
        <v>0</v>
      </c>
      <c r="AW28" s="33">
        <f>G28*AO28</f>
        <v>0</v>
      </c>
      <c r="AX28" s="33">
        <f>G28*AP28</f>
        <v>0</v>
      </c>
      <c r="AY28" s="34" t="s">
        <v>1706</v>
      </c>
      <c r="AZ28" s="34" t="s">
        <v>1741</v>
      </c>
      <c r="BA28" s="28" t="s">
        <v>1752</v>
      </c>
      <c r="BC28" s="33">
        <f>AW28+AX28</f>
        <v>0</v>
      </c>
      <c r="BD28" s="33">
        <f>H28/(100-BE28)*100</f>
        <v>0</v>
      </c>
      <c r="BE28" s="33">
        <v>0</v>
      </c>
      <c r="BF28" s="33">
        <f>28</f>
        <v>28</v>
      </c>
      <c r="BH28" s="16">
        <f>G28*AO28</f>
        <v>0</v>
      </c>
      <c r="BI28" s="16">
        <f>G28*AP28</f>
        <v>0</v>
      </c>
      <c r="BJ28" s="16">
        <f>G28*H28</f>
        <v>0</v>
      </c>
    </row>
    <row r="29" spans="1:62" x14ac:dyDescent="0.2">
      <c r="A29" s="4" t="s">
        <v>19</v>
      </c>
      <c r="B29" s="4" t="s">
        <v>556</v>
      </c>
      <c r="C29" s="131" t="s">
        <v>1102</v>
      </c>
      <c r="D29" s="132"/>
      <c r="E29" s="132"/>
      <c r="F29" s="4" t="s">
        <v>1663</v>
      </c>
      <c r="G29" s="68">
        <v>2.202</v>
      </c>
      <c r="H29" s="162">
        <v>0</v>
      </c>
      <c r="I29" s="16">
        <f>G29*AO29</f>
        <v>0</v>
      </c>
      <c r="J29" s="16">
        <f>G29*AP29</f>
        <v>0</v>
      </c>
      <c r="K29" s="16">
        <f>G29*H29</f>
        <v>0</v>
      </c>
      <c r="L29" s="27" t="s">
        <v>1692</v>
      </c>
      <c r="Z29" s="33">
        <f>IF(AQ29="5",BJ29,0)</f>
        <v>0</v>
      </c>
      <c r="AB29" s="33">
        <f>IF(AQ29="1",BH29,0)</f>
        <v>0</v>
      </c>
      <c r="AC29" s="33">
        <f>IF(AQ29="1",BI29,0)</f>
        <v>0</v>
      </c>
      <c r="AD29" s="33">
        <f>IF(AQ29="7",BH29,0)</f>
        <v>0</v>
      </c>
      <c r="AE29" s="33">
        <f>IF(AQ29="7",BI29,0)</f>
        <v>0</v>
      </c>
      <c r="AF29" s="33">
        <f>IF(AQ29="2",BH29,0)</f>
        <v>0</v>
      </c>
      <c r="AG29" s="33">
        <f>IF(AQ29="2",BI29,0)</f>
        <v>0</v>
      </c>
      <c r="AH29" s="33">
        <f>IF(AQ29="0",BJ29,0)</f>
        <v>0</v>
      </c>
      <c r="AI29" s="28"/>
      <c r="AJ29" s="16">
        <f>IF(AN29=0,K29,0)</f>
        <v>0</v>
      </c>
      <c r="AK29" s="16">
        <f>IF(AN29=15,K29,0)</f>
        <v>0</v>
      </c>
      <c r="AL29" s="16">
        <f>IF(AN29=21,K29,0)</f>
        <v>0</v>
      </c>
      <c r="AN29" s="33">
        <v>21</v>
      </c>
      <c r="AO29" s="33">
        <f>H29*0.387117824773414</f>
        <v>0</v>
      </c>
      <c r="AP29" s="33">
        <f>H29*(1-0.387117824773414)</f>
        <v>0</v>
      </c>
      <c r="AQ29" s="27" t="s">
        <v>7</v>
      </c>
      <c r="AV29" s="33">
        <f>AW29+AX29</f>
        <v>0</v>
      </c>
      <c r="AW29" s="33">
        <f>G29*AO29</f>
        <v>0</v>
      </c>
      <c r="AX29" s="33">
        <f>G29*AP29</f>
        <v>0</v>
      </c>
      <c r="AY29" s="34" t="s">
        <v>1706</v>
      </c>
      <c r="AZ29" s="34" t="s">
        <v>1741</v>
      </c>
      <c r="BA29" s="28" t="s">
        <v>1752</v>
      </c>
      <c r="BC29" s="33">
        <f>AW29+AX29</f>
        <v>0</v>
      </c>
      <c r="BD29" s="33">
        <f>H29/(100-BE29)*100</f>
        <v>0</v>
      </c>
      <c r="BE29" s="33">
        <v>0</v>
      </c>
      <c r="BF29" s="33">
        <f>29</f>
        <v>29</v>
      </c>
      <c r="BH29" s="16">
        <f>G29*AO29</f>
        <v>0</v>
      </c>
      <c r="BI29" s="16">
        <f>G29*AP29</f>
        <v>0</v>
      </c>
      <c r="BJ29" s="16">
        <f>G29*H29</f>
        <v>0</v>
      </c>
    </row>
    <row r="30" spans="1:62" x14ac:dyDescent="0.2">
      <c r="A30" s="4" t="s">
        <v>20</v>
      </c>
      <c r="B30" s="4" t="s">
        <v>557</v>
      </c>
      <c r="C30" s="131" t="s">
        <v>1103</v>
      </c>
      <c r="D30" s="132"/>
      <c r="E30" s="132"/>
      <c r="F30" s="4" t="s">
        <v>1663</v>
      </c>
      <c r="G30" s="68">
        <v>75</v>
      </c>
      <c r="H30" s="162">
        <v>0</v>
      </c>
      <c r="I30" s="16">
        <f>G30*AO30</f>
        <v>0</v>
      </c>
      <c r="J30" s="16">
        <f>G30*AP30</f>
        <v>0</v>
      </c>
      <c r="K30" s="16">
        <f>G30*H30</f>
        <v>0</v>
      </c>
      <c r="L30" s="27" t="s">
        <v>1692</v>
      </c>
      <c r="Z30" s="33">
        <f>IF(AQ30="5",BJ30,0)</f>
        <v>0</v>
      </c>
      <c r="AB30" s="33">
        <f>IF(AQ30="1",BH30,0)</f>
        <v>0</v>
      </c>
      <c r="AC30" s="33">
        <f>IF(AQ30="1",BI30,0)</f>
        <v>0</v>
      </c>
      <c r="AD30" s="33">
        <f>IF(AQ30="7",BH30,0)</f>
        <v>0</v>
      </c>
      <c r="AE30" s="33">
        <f>IF(AQ30="7",BI30,0)</f>
        <v>0</v>
      </c>
      <c r="AF30" s="33">
        <f>IF(AQ30="2",BH30,0)</f>
        <v>0</v>
      </c>
      <c r="AG30" s="33">
        <f>IF(AQ30="2",BI30,0)</f>
        <v>0</v>
      </c>
      <c r="AH30" s="33">
        <f>IF(AQ30="0",BJ30,0)</f>
        <v>0</v>
      </c>
      <c r="AI30" s="28"/>
      <c r="AJ30" s="16">
        <f>IF(AN30=0,K30,0)</f>
        <v>0</v>
      </c>
      <c r="AK30" s="16">
        <f>IF(AN30=15,K30,0)</f>
        <v>0</v>
      </c>
      <c r="AL30" s="16">
        <f>IF(AN30=21,K30,0)</f>
        <v>0</v>
      </c>
      <c r="AN30" s="33">
        <v>21</v>
      </c>
      <c r="AO30" s="33">
        <f>H30*0.65525641025641</f>
        <v>0</v>
      </c>
      <c r="AP30" s="33">
        <f>H30*(1-0.65525641025641)</f>
        <v>0</v>
      </c>
      <c r="AQ30" s="27" t="s">
        <v>7</v>
      </c>
      <c r="AV30" s="33">
        <f>AW30+AX30</f>
        <v>0</v>
      </c>
      <c r="AW30" s="33">
        <f>G30*AO30</f>
        <v>0</v>
      </c>
      <c r="AX30" s="33">
        <f>G30*AP30</f>
        <v>0</v>
      </c>
      <c r="AY30" s="34" t="s">
        <v>1706</v>
      </c>
      <c r="AZ30" s="34" t="s">
        <v>1741</v>
      </c>
      <c r="BA30" s="28" t="s">
        <v>1752</v>
      </c>
      <c r="BC30" s="33">
        <f>AW30+AX30</f>
        <v>0</v>
      </c>
      <c r="BD30" s="33">
        <f>H30/(100-BE30)*100</f>
        <v>0</v>
      </c>
      <c r="BE30" s="33">
        <v>0</v>
      </c>
      <c r="BF30" s="33">
        <f>30</f>
        <v>30</v>
      </c>
      <c r="BH30" s="16">
        <f>G30*AO30</f>
        <v>0</v>
      </c>
      <c r="BI30" s="16">
        <f>G30*AP30</f>
        <v>0</v>
      </c>
      <c r="BJ30" s="16">
        <f>G30*H30</f>
        <v>0</v>
      </c>
    </row>
    <row r="31" spans="1:62" x14ac:dyDescent="0.2">
      <c r="A31" s="5"/>
      <c r="B31" s="13" t="s">
        <v>40</v>
      </c>
      <c r="C31" s="136" t="s">
        <v>1104</v>
      </c>
      <c r="D31" s="137"/>
      <c r="E31" s="137"/>
      <c r="F31" s="5" t="s">
        <v>6</v>
      </c>
      <c r="G31" s="5" t="s">
        <v>6</v>
      </c>
      <c r="H31" s="163" t="s">
        <v>6</v>
      </c>
      <c r="I31" s="36">
        <f>SUM(I32:I37)</f>
        <v>0</v>
      </c>
      <c r="J31" s="36">
        <f>SUM(J32:J37)</f>
        <v>0</v>
      </c>
      <c r="K31" s="36">
        <f>SUM(K32:K37)</f>
        <v>0</v>
      </c>
      <c r="L31" s="28"/>
      <c r="AI31" s="28"/>
      <c r="AS31" s="36">
        <f>SUM(AJ32:AJ37)</f>
        <v>0</v>
      </c>
      <c r="AT31" s="36">
        <f>SUM(AK32:AK37)</f>
        <v>0</v>
      </c>
      <c r="AU31" s="36">
        <f>SUM(AL32:AL37)</f>
        <v>0</v>
      </c>
    </row>
    <row r="32" spans="1:62" x14ac:dyDescent="0.2">
      <c r="A32" s="4" t="s">
        <v>21</v>
      </c>
      <c r="B32" s="4" t="s">
        <v>558</v>
      </c>
      <c r="C32" s="131" t="s">
        <v>1105</v>
      </c>
      <c r="D32" s="132"/>
      <c r="E32" s="132"/>
      <c r="F32" s="4" t="s">
        <v>1663</v>
      </c>
      <c r="G32" s="68">
        <v>4.5739999999999998</v>
      </c>
      <c r="H32" s="162">
        <v>0</v>
      </c>
      <c r="I32" s="16">
        <f t="shared" ref="I32:I37" si="0">G32*AO32</f>
        <v>0</v>
      </c>
      <c r="J32" s="16">
        <f t="shared" ref="J32:J37" si="1">G32*AP32</f>
        <v>0</v>
      </c>
      <c r="K32" s="16">
        <f t="shared" ref="K32:K37" si="2">G32*H32</f>
        <v>0</v>
      </c>
      <c r="L32" s="27" t="s">
        <v>1692</v>
      </c>
      <c r="Z32" s="33">
        <f t="shared" ref="Z32:Z37" si="3">IF(AQ32="5",BJ32,0)</f>
        <v>0</v>
      </c>
      <c r="AB32" s="33">
        <f t="shared" ref="AB32:AB37" si="4">IF(AQ32="1",BH32,0)</f>
        <v>0</v>
      </c>
      <c r="AC32" s="33">
        <f t="shared" ref="AC32:AC37" si="5">IF(AQ32="1",BI32,0)</f>
        <v>0</v>
      </c>
      <c r="AD32" s="33">
        <f t="shared" ref="AD32:AD37" si="6">IF(AQ32="7",BH32,0)</f>
        <v>0</v>
      </c>
      <c r="AE32" s="33">
        <f t="shared" ref="AE32:AE37" si="7">IF(AQ32="7",BI32,0)</f>
        <v>0</v>
      </c>
      <c r="AF32" s="33">
        <f t="shared" ref="AF32:AF37" si="8">IF(AQ32="2",BH32,0)</f>
        <v>0</v>
      </c>
      <c r="AG32" s="33">
        <f t="shared" ref="AG32:AG37" si="9">IF(AQ32="2",BI32,0)</f>
        <v>0</v>
      </c>
      <c r="AH32" s="33">
        <f t="shared" ref="AH32:AH37" si="10">IF(AQ32="0",BJ32,0)</f>
        <v>0</v>
      </c>
      <c r="AI32" s="28"/>
      <c r="AJ32" s="16">
        <f t="shared" ref="AJ32:AJ37" si="11">IF(AN32=0,K32,0)</f>
        <v>0</v>
      </c>
      <c r="AK32" s="16">
        <f t="shared" ref="AK32:AK37" si="12">IF(AN32=15,K32,0)</f>
        <v>0</v>
      </c>
      <c r="AL32" s="16">
        <f t="shared" ref="AL32:AL37" si="13">IF(AN32=21,K32,0)</f>
        <v>0</v>
      </c>
      <c r="AN32" s="33">
        <v>21</v>
      </c>
      <c r="AO32" s="33">
        <f>H32*0.503895734597156</f>
        <v>0</v>
      </c>
      <c r="AP32" s="33">
        <f>H32*(1-0.503895734597156)</f>
        <v>0</v>
      </c>
      <c r="AQ32" s="27" t="s">
        <v>7</v>
      </c>
      <c r="AV32" s="33">
        <f t="shared" ref="AV32:AV37" si="14">AW32+AX32</f>
        <v>0</v>
      </c>
      <c r="AW32" s="33">
        <f t="shared" ref="AW32:AW37" si="15">G32*AO32</f>
        <v>0</v>
      </c>
      <c r="AX32" s="33">
        <f t="shared" ref="AX32:AX37" si="16">G32*AP32</f>
        <v>0</v>
      </c>
      <c r="AY32" s="34" t="s">
        <v>1707</v>
      </c>
      <c r="AZ32" s="34" t="s">
        <v>1741</v>
      </c>
      <c r="BA32" s="28" t="s">
        <v>1752</v>
      </c>
      <c r="BC32" s="33">
        <f t="shared" ref="BC32:BC37" si="17">AW32+AX32</f>
        <v>0</v>
      </c>
      <c r="BD32" s="33">
        <f t="shared" ref="BD32:BD37" si="18">H32/(100-BE32)*100</f>
        <v>0</v>
      </c>
      <c r="BE32" s="33">
        <v>0</v>
      </c>
      <c r="BF32" s="33">
        <f>32</f>
        <v>32</v>
      </c>
      <c r="BH32" s="16">
        <f t="shared" ref="BH32:BH37" si="19">G32*AO32</f>
        <v>0</v>
      </c>
      <c r="BI32" s="16">
        <f t="shared" ref="BI32:BI37" si="20">G32*AP32</f>
        <v>0</v>
      </c>
      <c r="BJ32" s="16">
        <f t="shared" ref="BJ32:BJ37" si="21">G32*H32</f>
        <v>0</v>
      </c>
    </row>
    <row r="33" spans="1:62" x14ac:dyDescent="0.2">
      <c r="A33" s="4" t="s">
        <v>22</v>
      </c>
      <c r="B33" s="4" t="s">
        <v>559</v>
      </c>
      <c r="C33" s="131" t="s">
        <v>1106</v>
      </c>
      <c r="D33" s="132"/>
      <c r="E33" s="132"/>
      <c r="F33" s="4" t="s">
        <v>1665</v>
      </c>
      <c r="G33" s="68">
        <v>1</v>
      </c>
      <c r="H33" s="162">
        <v>0</v>
      </c>
      <c r="I33" s="16">
        <f t="shared" si="0"/>
        <v>0</v>
      </c>
      <c r="J33" s="16">
        <f t="shared" si="1"/>
        <v>0</v>
      </c>
      <c r="K33" s="16">
        <f t="shared" si="2"/>
        <v>0</v>
      </c>
      <c r="L33" s="27" t="s">
        <v>1692</v>
      </c>
      <c r="Z33" s="33">
        <f t="shared" si="3"/>
        <v>0</v>
      </c>
      <c r="AB33" s="33">
        <f t="shared" si="4"/>
        <v>0</v>
      </c>
      <c r="AC33" s="33">
        <f t="shared" si="5"/>
        <v>0</v>
      </c>
      <c r="AD33" s="33">
        <f t="shared" si="6"/>
        <v>0</v>
      </c>
      <c r="AE33" s="33">
        <f t="shared" si="7"/>
        <v>0</v>
      </c>
      <c r="AF33" s="33">
        <f t="shared" si="8"/>
        <v>0</v>
      </c>
      <c r="AG33" s="33">
        <f t="shared" si="9"/>
        <v>0</v>
      </c>
      <c r="AH33" s="33">
        <f t="shared" si="10"/>
        <v>0</v>
      </c>
      <c r="AI33" s="28"/>
      <c r="AJ33" s="16">
        <f t="shared" si="11"/>
        <v>0</v>
      </c>
      <c r="AK33" s="16">
        <f t="shared" si="12"/>
        <v>0</v>
      </c>
      <c r="AL33" s="16">
        <f t="shared" si="13"/>
        <v>0</v>
      </c>
      <c r="AN33" s="33">
        <v>21</v>
      </c>
      <c r="AO33" s="33">
        <f>H33*0.416505016722408</f>
        <v>0</v>
      </c>
      <c r="AP33" s="33">
        <f>H33*(1-0.416505016722408)</f>
        <v>0</v>
      </c>
      <c r="AQ33" s="27" t="s">
        <v>7</v>
      </c>
      <c r="AV33" s="33">
        <f t="shared" si="14"/>
        <v>0</v>
      </c>
      <c r="AW33" s="33">
        <f t="shared" si="15"/>
        <v>0</v>
      </c>
      <c r="AX33" s="33">
        <f t="shared" si="16"/>
        <v>0</v>
      </c>
      <c r="AY33" s="34" t="s">
        <v>1707</v>
      </c>
      <c r="AZ33" s="34" t="s">
        <v>1741</v>
      </c>
      <c r="BA33" s="28" t="s">
        <v>1752</v>
      </c>
      <c r="BC33" s="33">
        <f t="shared" si="17"/>
        <v>0</v>
      </c>
      <c r="BD33" s="33">
        <f t="shared" si="18"/>
        <v>0</v>
      </c>
      <c r="BE33" s="33">
        <v>0</v>
      </c>
      <c r="BF33" s="33">
        <f>33</f>
        <v>33</v>
      </c>
      <c r="BH33" s="16">
        <f t="shared" si="19"/>
        <v>0</v>
      </c>
      <c r="BI33" s="16">
        <f t="shared" si="20"/>
        <v>0</v>
      </c>
      <c r="BJ33" s="16">
        <f t="shared" si="21"/>
        <v>0</v>
      </c>
    </row>
    <row r="34" spans="1:62" x14ac:dyDescent="0.2">
      <c r="A34" s="4" t="s">
        <v>23</v>
      </c>
      <c r="B34" s="4" t="s">
        <v>560</v>
      </c>
      <c r="C34" s="131" t="s">
        <v>1107</v>
      </c>
      <c r="D34" s="132"/>
      <c r="E34" s="132"/>
      <c r="F34" s="4" t="s">
        <v>1663</v>
      </c>
      <c r="G34" s="68">
        <v>4.5739999999999998</v>
      </c>
      <c r="H34" s="162">
        <v>0</v>
      </c>
      <c r="I34" s="16">
        <f t="shared" si="0"/>
        <v>0</v>
      </c>
      <c r="J34" s="16">
        <f t="shared" si="1"/>
        <v>0</v>
      </c>
      <c r="K34" s="16">
        <f t="shared" si="2"/>
        <v>0</v>
      </c>
      <c r="L34" s="27" t="s">
        <v>1692</v>
      </c>
      <c r="Z34" s="33">
        <f t="shared" si="3"/>
        <v>0</v>
      </c>
      <c r="AB34" s="33">
        <f t="shared" si="4"/>
        <v>0</v>
      </c>
      <c r="AC34" s="33">
        <f t="shared" si="5"/>
        <v>0</v>
      </c>
      <c r="AD34" s="33">
        <f t="shared" si="6"/>
        <v>0</v>
      </c>
      <c r="AE34" s="33">
        <f t="shared" si="7"/>
        <v>0</v>
      </c>
      <c r="AF34" s="33">
        <f t="shared" si="8"/>
        <v>0</v>
      </c>
      <c r="AG34" s="33">
        <f t="shared" si="9"/>
        <v>0</v>
      </c>
      <c r="AH34" s="33">
        <f t="shared" si="10"/>
        <v>0</v>
      </c>
      <c r="AI34" s="28"/>
      <c r="AJ34" s="16">
        <f t="shared" si="11"/>
        <v>0</v>
      </c>
      <c r="AK34" s="16">
        <f t="shared" si="12"/>
        <v>0</v>
      </c>
      <c r="AL34" s="16">
        <f t="shared" si="13"/>
        <v>0</v>
      </c>
      <c r="AN34" s="33">
        <v>21</v>
      </c>
      <c r="AO34" s="33">
        <f>H34*0</f>
        <v>0</v>
      </c>
      <c r="AP34" s="33">
        <f>H34*(1-0)</f>
        <v>0</v>
      </c>
      <c r="AQ34" s="27" t="s">
        <v>7</v>
      </c>
      <c r="AV34" s="33">
        <f t="shared" si="14"/>
        <v>0</v>
      </c>
      <c r="AW34" s="33">
        <f t="shared" si="15"/>
        <v>0</v>
      </c>
      <c r="AX34" s="33">
        <f t="shared" si="16"/>
        <v>0</v>
      </c>
      <c r="AY34" s="34" t="s">
        <v>1707</v>
      </c>
      <c r="AZ34" s="34" t="s">
        <v>1741</v>
      </c>
      <c r="BA34" s="28" t="s">
        <v>1752</v>
      </c>
      <c r="BC34" s="33">
        <f t="shared" si="17"/>
        <v>0</v>
      </c>
      <c r="BD34" s="33">
        <f t="shared" si="18"/>
        <v>0</v>
      </c>
      <c r="BE34" s="33">
        <v>0</v>
      </c>
      <c r="BF34" s="33">
        <f>34</f>
        <v>34</v>
      </c>
      <c r="BH34" s="16">
        <f t="shared" si="19"/>
        <v>0</v>
      </c>
      <c r="BI34" s="16">
        <f t="shared" si="20"/>
        <v>0</v>
      </c>
      <c r="BJ34" s="16">
        <f t="shared" si="21"/>
        <v>0</v>
      </c>
    </row>
    <row r="35" spans="1:62" x14ac:dyDescent="0.2">
      <c r="A35" s="4" t="s">
        <v>24</v>
      </c>
      <c r="B35" s="4" t="s">
        <v>561</v>
      </c>
      <c r="C35" s="131" t="s">
        <v>1108</v>
      </c>
      <c r="D35" s="132"/>
      <c r="E35" s="132"/>
      <c r="F35" s="4" t="s">
        <v>1663</v>
      </c>
      <c r="G35" s="68">
        <v>4.5739999999999998</v>
      </c>
      <c r="H35" s="162">
        <v>0</v>
      </c>
      <c r="I35" s="16">
        <f t="shared" si="0"/>
        <v>0</v>
      </c>
      <c r="J35" s="16">
        <f t="shared" si="1"/>
        <v>0</v>
      </c>
      <c r="K35" s="16">
        <f t="shared" si="2"/>
        <v>0</v>
      </c>
      <c r="L35" s="27" t="s">
        <v>1692</v>
      </c>
      <c r="Z35" s="33">
        <f t="shared" si="3"/>
        <v>0</v>
      </c>
      <c r="AB35" s="33">
        <f t="shared" si="4"/>
        <v>0</v>
      </c>
      <c r="AC35" s="33">
        <f t="shared" si="5"/>
        <v>0</v>
      </c>
      <c r="AD35" s="33">
        <f t="shared" si="6"/>
        <v>0</v>
      </c>
      <c r="AE35" s="33">
        <f t="shared" si="7"/>
        <v>0</v>
      </c>
      <c r="AF35" s="33">
        <f t="shared" si="8"/>
        <v>0</v>
      </c>
      <c r="AG35" s="33">
        <f t="shared" si="9"/>
        <v>0</v>
      </c>
      <c r="AH35" s="33">
        <f t="shared" si="10"/>
        <v>0</v>
      </c>
      <c r="AI35" s="28"/>
      <c r="AJ35" s="16">
        <f t="shared" si="11"/>
        <v>0</v>
      </c>
      <c r="AK35" s="16">
        <f t="shared" si="12"/>
        <v>0</v>
      </c>
      <c r="AL35" s="16">
        <f t="shared" si="13"/>
        <v>0</v>
      </c>
      <c r="AN35" s="33">
        <v>21</v>
      </c>
      <c r="AO35" s="33">
        <f>H35*0</f>
        <v>0</v>
      </c>
      <c r="AP35" s="33">
        <f>H35*(1-0)</f>
        <v>0</v>
      </c>
      <c r="AQ35" s="27" t="s">
        <v>7</v>
      </c>
      <c r="AV35" s="33">
        <f t="shared" si="14"/>
        <v>0</v>
      </c>
      <c r="AW35" s="33">
        <f t="shared" si="15"/>
        <v>0</v>
      </c>
      <c r="AX35" s="33">
        <f t="shared" si="16"/>
        <v>0</v>
      </c>
      <c r="AY35" s="34" t="s">
        <v>1707</v>
      </c>
      <c r="AZ35" s="34" t="s">
        <v>1741</v>
      </c>
      <c r="BA35" s="28" t="s">
        <v>1752</v>
      </c>
      <c r="BC35" s="33">
        <f t="shared" si="17"/>
        <v>0</v>
      </c>
      <c r="BD35" s="33">
        <f t="shared" si="18"/>
        <v>0</v>
      </c>
      <c r="BE35" s="33">
        <v>0</v>
      </c>
      <c r="BF35" s="33">
        <f>35</f>
        <v>35</v>
      </c>
      <c r="BH35" s="16">
        <f t="shared" si="19"/>
        <v>0</v>
      </c>
      <c r="BI35" s="16">
        <f t="shared" si="20"/>
        <v>0</v>
      </c>
      <c r="BJ35" s="16">
        <f t="shared" si="21"/>
        <v>0</v>
      </c>
    </row>
    <row r="36" spans="1:62" x14ac:dyDescent="0.2">
      <c r="A36" s="4" t="s">
        <v>25</v>
      </c>
      <c r="B36" s="4" t="s">
        <v>562</v>
      </c>
      <c r="C36" s="131" t="s">
        <v>1109</v>
      </c>
      <c r="D36" s="132"/>
      <c r="E36" s="132"/>
      <c r="F36" s="4" t="s">
        <v>1666</v>
      </c>
      <c r="G36" s="68">
        <v>4.5999999999999996</v>
      </c>
      <c r="H36" s="162">
        <v>0</v>
      </c>
      <c r="I36" s="16">
        <f t="shared" si="0"/>
        <v>0</v>
      </c>
      <c r="J36" s="16">
        <f t="shared" si="1"/>
        <v>0</v>
      </c>
      <c r="K36" s="16">
        <f t="shared" si="2"/>
        <v>0</v>
      </c>
      <c r="L36" s="27" t="s">
        <v>1692</v>
      </c>
      <c r="Z36" s="33">
        <f t="shared" si="3"/>
        <v>0</v>
      </c>
      <c r="AB36" s="33">
        <f t="shared" si="4"/>
        <v>0</v>
      </c>
      <c r="AC36" s="33">
        <f t="shared" si="5"/>
        <v>0</v>
      </c>
      <c r="AD36" s="33">
        <f t="shared" si="6"/>
        <v>0</v>
      </c>
      <c r="AE36" s="33">
        <f t="shared" si="7"/>
        <v>0</v>
      </c>
      <c r="AF36" s="33">
        <f t="shared" si="8"/>
        <v>0</v>
      </c>
      <c r="AG36" s="33">
        <f t="shared" si="9"/>
        <v>0</v>
      </c>
      <c r="AH36" s="33">
        <f t="shared" si="10"/>
        <v>0</v>
      </c>
      <c r="AI36" s="28"/>
      <c r="AJ36" s="16">
        <f t="shared" si="11"/>
        <v>0</v>
      </c>
      <c r="AK36" s="16">
        <f t="shared" si="12"/>
        <v>0</v>
      </c>
      <c r="AL36" s="16">
        <f t="shared" si="13"/>
        <v>0</v>
      </c>
      <c r="AN36" s="33">
        <v>21</v>
      </c>
      <c r="AO36" s="33">
        <f>H36*0</f>
        <v>0</v>
      </c>
      <c r="AP36" s="33">
        <f>H36*(1-0)</f>
        <v>0</v>
      </c>
      <c r="AQ36" s="27" t="s">
        <v>7</v>
      </c>
      <c r="AV36" s="33">
        <f t="shared" si="14"/>
        <v>0</v>
      </c>
      <c r="AW36" s="33">
        <f t="shared" si="15"/>
        <v>0</v>
      </c>
      <c r="AX36" s="33">
        <f t="shared" si="16"/>
        <v>0</v>
      </c>
      <c r="AY36" s="34" t="s">
        <v>1707</v>
      </c>
      <c r="AZ36" s="34" t="s">
        <v>1741</v>
      </c>
      <c r="BA36" s="28" t="s">
        <v>1752</v>
      </c>
      <c r="BC36" s="33">
        <f t="shared" si="17"/>
        <v>0</v>
      </c>
      <c r="BD36" s="33">
        <f t="shared" si="18"/>
        <v>0</v>
      </c>
      <c r="BE36" s="33">
        <v>0</v>
      </c>
      <c r="BF36" s="33">
        <f>36</f>
        <v>36</v>
      </c>
      <c r="BH36" s="16">
        <f t="shared" si="19"/>
        <v>0</v>
      </c>
      <c r="BI36" s="16">
        <f t="shared" si="20"/>
        <v>0</v>
      </c>
      <c r="BJ36" s="16">
        <f t="shared" si="21"/>
        <v>0</v>
      </c>
    </row>
    <row r="37" spans="1:62" x14ac:dyDescent="0.2">
      <c r="A37" s="4" t="s">
        <v>26</v>
      </c>
      <c r="B37" s="4" t="s">
        <v>563</v>
      </c>
      <c r="C37" s="131" t="s">
        <v>1110</v>
      </c>
      <c r="D37" s="132"/>
      <c r="E37" s="132"/>
      <c r="F37" s="4" t="s">
        <v>1663</v>
      </c>
      <c r="G37" s="68">
        <v>4.5739999999999998</v>
      </c>
      <c r="H37" s="162">
        <v>0</v>
      </c>
      <c r="I37" s="16">
        <f t="shared" si="0"/>
        <v>0</v>
      </c>
      <c r="J37" s="16">
        <f t="shared" si="1"/>
        <v>0</v>
      </c>
      <c r="K37" s="16">
        <f t="shared" si="2"/>
        <v>0</v>
      </c>
      <c r="L37" s="27" t="s">
        <v>1692</v>
      </c>
      <c r="Z37" s="33">
        <f t="shared" si="3"/>
        <v>0</v>
      </c>
      <c r="AB37" s="33">
        <f t="shared" si="4"/>
        <v>0</v>
      </c>
      <c r="AC37" s="33">
        <f t="shared" si="5"/>
        <v>0</v>
      </c>
      <c r="AD37" s="33">
        <f t="shared" si="6"/>
        <v>0</v>
      </c>
      <c r="AE37" s="33">
        <f t="shared" si="7"/>
        <v>0</v>
      </c>
      <c r="AF37" s="33">
        <f t="shared" si="8"/>
        <v>0</v>
      </c>
      <c r="AG37" s="33">
        <f t="shared" si="9"/>
        <v>0</v>
      </c>
      <c r="AH37" s="33">
        <f t="shared" si="10"/>
        <v>0</v>
      </c>
      <c r="AI37" s="28"/>
      <c r="AJ37" s="16">
        <f t="shared" si="11"/>
        <v>0</v>
      </c>
      <c r="AK37" s="16">
        <f t="shared" si="12"/>
        <v>0</v>
      </c>
      <c r="AL37" s="16">
        <f t="shared" si="13"/>
        <v>0</v>
      </c>
      <c r="AN37" s="33">
        <v>21</v>
      </c>
      <c r="AO37" s="33">
        <f>H37*0</f>
        <v>0</v>
      </c>
      <c r="AP37" s="33">
        <f>H37*(1-0)</f>
        <v>0</v>
      </c>
      <c r="AQ37" s="27" t="s">
        <v>7</v>
      </c>
      <c r="AV37" s="33">
        <f t="shared" si="14"/>
        <v>0</v>
      </c>
      <c r="AW37" s="33">
        <f t="shared" si="15"/>
        <v>0</v>
      </c>
      <c r="AX37" s="33">
        <f t="shared" si="16"/>
        <v>0</v>
      </c>
      <c r="AY37" s="34" t="s">
        <v>1707</v>
      </c>
      <c r="AZ37" s="34" t="s">
        <v>1741</v>
      </c>
      <c r="BA37" s="28" t="s">
        <v>1752</v>
      </c>
      <c r="BC37" s="33">
        <f t="shared" si="17"/>
        <v>0</v>
      </c>
      <c r="BD37" s="33">
        <f t="shared" si="18"/>
        <v>0</v>
      </c>
      <c r="BE37" s="33">
        <v>0</v>
      </c>
      <c r="BF37" s="33">
        <f>37</f>
        <v>37</v>
      </c>
      <c r="BH37" s="16">
        <f t="shared" si="19"/>
        <v>0</v>
      </c>
      <c r="BI37" s="16">
        <f t="shared" si="20"/>
        <v>0</v>
      </c>
      <c r="BJ37" s="16">
        <f t="shared" si="21"/>
        <v>0</v>
      </c>
    </row>
    <row r="38" spans="1:62" x14ac:dyDescent="0.2">
      <c r="A38" s="5"/>
      <c r="B38" s="13" t="s">
        <v>47</v>
      </c>
      <c r="C38" s="136" t="s">
        <v>1111</v>
      </c>
      <c r="D38" s="137"/>
      <c r="E38" s="137"/>
      <c r="F38" s="5" t="s">
        <v>6</v>
      </c>
      <c r="G38" s="5" t="s">
        <v>6</v>
      </c>
      <c r="H38" s="163" t="s">
        <v>6</v>
      </c>
      <c r="I38" s="36">
        <f>SUM(I39:I41)</f>
        <v>0</v>
      </c>
      <c r="J38" s="36">
        <f>SUM(J39:J41)</f>
        <v>0</v>
      </c>
      <c r="K38" s="36">
        <f>SUM(K39:K41)</f>
        <v>0</v>
      </c>
      <c r="L38" s="28"/>
      <c r="AI38" s="28"/>
      <c r="AS38" s="36">
        <f>SUM(AJ39:AJ41)</f>
        <v>0</v>
      </c>
      <c r="AT38" s="36">
        <f>SUM(AK39:AK41)</f>
        <v>0</v>
      </c>
      <c r="AU38" s="36">
        <f>SUM(AL39:AL41)</f>
        <v>0</v>
      </c>
    </row>
    <row r="39" spans="1:62" x14ac:dyDescent="0.2">
      <c r="A39" s="4" t="s">
        <v>27</v>
      </c>
      <c r="B39" s="4" t="s">
        <v>564</v>
      </c>
      <c r="C39" s="131" t="s">
        <v>1112</v>
      </c>
      <c r="D39" s="132"/>
      <c r="E39" s="132"/>
      <c r="F39" s="4" t="s">
        <v>1663</v>
      </c>
      <c r="G39" s="68">
        <v>183</v>
      </c>
      <c r="H39" s="162">
        <v>0</v>
      </c>
      <c r="I39" s="16">
        <f>G39*AO39</f>
        <v>0</v>
      </c>
      <c r="J39" s="16">
        <f>G39*AP39</f>
        <v>0</v>
      </c>
      <c r="K39" s="16">
        <f>G39*H39</f>
        <v>0</v>
      </c>
      <c r="L39" s="27" t="s">
        <v>1692</v>
      </c>
      <c r="Z39" s="33">
        <f>IF(AQ39="5",BJ39,0)</f>
        <v>0</v>
      </c>
      <c r="AB39" s="33">
        <f>IF(AQ39="1",BH39,0)</f>
        <v>0</v>
      </c>
      <c r="AC39" s="33">
        <f>IF(AQ39="1",BI39,0)</f>
        <v>0</v>
      </c>
      <c r="AD39" s="33">
        <f>IF(AQ39="7",BH39,0)</f>
        <v>0</v>
      </c>
      <c r="AE39" s="33">
        <f>IF(AQ39="7",BI39,0)</f>
        <v>0</v>
      </c>
      <c r="AF39" s="33">
        <f>IF(AQ39="2",BH39,0)</f>
        <v>0</v>
      </c>
      <c r="AG39" s="33">
        <f>IF(AQ39="2",BI39,0)</f>
        <v>0</v>
      </c>
      <c r="AH39" s="33">
        <f>IF(AQ39="0",BJ39,0)</f>
        <v>0</v>
      </c>
      <c r="AI39" s="28"/>
      <c r="AJ39" s="16">
        <f>IF(AN39=0,K39,0)</f>
        <v>0</v>
      </c>
      <c r="AK39" s="16">
        <f>IF(AN39=15,K39,0)</f>
        <v>0</v>
      </c>
      <c r="AL39" s="16">
        <f>IF(AN39=21,K39,0)</f>
        <v>0</v>
      </c>
      <c r="AN39" s="33">
        <v>21</v>
      </c>
      <c r="AO39" s="33">
        <f>H39*0.895299363057325</f>
        <v>0</v>
      </c>
      <c r="AP39" s="33">
        <f>H39*(1-0.895299363057325)</f>
        <v>0</v>
      </c>
      <c r="AQ39" s="27" t="s">
        <v>7</v>
      </c>
      <c r="AV39" s="33">
        <f>AW39+AX39</f>
        <v>0</v>
      </c>
      <c r="AW39" s="33">
        <f>G39*AO39</f>
        <v>0</v>
      </c>
      <c r="AX39" s="33">
        <f>G39*AP39</f>
        <v>0</v>
      </c>
      <c r="AY39" s="34" t="s">
        <v>1708</v>
      </c>
      <c r="AZ39" s="34" t="s">
        <v>1742</v>
      </c>
      <c r="BA39" s="28" t="s">
        <v>1752</v>
      </c>
      <c r="BC39" s="33">
        <f>AW39+AX39</f>
        <v>0</v>
      </c>
      <c r="BD39" s="33">
        <f>H39/(100-BE39)*100</f>
        <v>0</v>
      </c>
      <c r="BE39" s="33">
        <v>0</v>
      </c>
      <c r="BF39" s="33">
        <f>39</f>
        <v>39</v>
      </c>
      <c r="BH39" s="16">
        <f>G39*AO39</f>
        <v>0</v>
      </c>
      <c r="BI39" s="16">
        <f>G39*AP39</f>
        <v>0</v>
      </c>
      <c r="BJ39" s="16">
        <f>G39*H39</f>
        <v>0</v>
      </c>
    </row>
    <row r="40" spans="1:62" x14ac:dyDescent="0.2">
      <c r="A40" s="4" t="s">
        <v>28</v>
      </c>
      <c r="B40" s="4" t="s">
        <v>565</v>
      </c>
      <c r="C40" s="131" t="s">
        <v>1113</v>
      </c>
      <c r="D40" s="132"/>
      <c r="E40" s="132"/>
      <c r="F40" s="4" t="s">
        <v>1663</v>
      </c>
      <c r="G40" s="68">
        <v>170.25</v>
      </c>
      <c r="H40" s="162">
        <v>0</v>
      </c>
      <c r="I40" s="16">
        <f>G40*AO40</f>
        <v>0</v>
      </c>
      <c r="J40" s="16">
        <f>G40*AP40</f>
        <v>0</v>
      </c>
      <c r="K40" s="16">
        <f>G40*H40</f>
        <v>0</v>
      </c>
      <c r="L40" s="27" t="s">
        <v>1692</v>
      </c>
      <c r="Z40" s="33">
        <f>IF(AQ40="5",BJ40,0)</f>
        <v>0</v>
      </c>
      <c r="AB40" s="33">
        <f>IF(AQ40="1",BH40,0)</f>
        <v>0</v>
      </c>
      <c r="AC40" s="33">
        <f>IF(AQ40="1",BI40,0)</f>
        <v>0</v>
      </c>
      <c r="AD40" s="33">
        <f>IF(AQ40="7",BH40,0)</f>
        <v>0</v>
      </c>
      <c r="AE40" s="33">
        <f>IF(AQ40="7",BI40,0)</f>
        <v>0</v>
      </c>
      <c r="AF40" s="33">
        <f>IF(AQ40="2",BH40,0)</f>
        <v>0</v>
      </c>
      <c r="AG40" s="33">
        <f>IF(AQ40="2",BI40,0)</f>
        <v>0</v>
      </c>
      <c r="AH40" s="33">
        <f>IF(AQ40="0",BJ40,0)</f>
        <v>0</v>
      </c>
      <c r="AI40" s="28"/>
      <c r="AJ40" s="16">
        <f>IF(AN40=0,K40,0)</f>
        <v>0</v>
      </c>
      <c r="AK40" s="16">
        <f>IF(AN40=15,K40,0)</f>
        <v>0</v>
      </c>
      <c r="AL40" s="16">
        <f>IF(AN40=21,K40,0)</f>
        <v>0</v>
      </c>
      <c r="AN40" s="33">
        <v>21</v>
      </c>
      <c r="AO40" s="33">
        <f>H40*0.451328348598687</f>
        <v>0</v>
      </c>
      <c r="AP40" s="33">
        <f>H40*(1-0.451328348598687)</f>
        <v>0</v>
      </c>
      <c r="AQ40" s="27" t="s">
        <v>7</v>
      </c>
      <c r="AV40" s="33">
        <f>AW40+AX40</f>
        <v>0</v>
      </c>
      <c r="AW40" s="33">
        <f>G40*AO40</f>
        <v>0</v>
      </c>
      <c r="AX40" s="33">
        <f>G40*AP40</f>
        <v>0</v>
      </c>
      <c r="AY40" s="34" t="s">
        <v>1708</v>
      </c>
      <c r="AZ40" s="34" t="s">
        <v>1742</v>
      </c>
      <c r="BA40" s="28" t="s">
        <v>1752</v>
      </c>
      <c r="BC40" s="33">
        <f>AW40+AX40</f>
        <v>0</v>
      </c>
      <c r="BD40" s="33">
        <f>H40/(100-BE40)*100</f>
        <v>0</v>
      </c>
      <c r="BE40" s="33">
        <v>0</v>
      </c>
      <c r="BF40" s="33">
        <f>40</f>
        <v>40</v>
      </c>
      <c r="BH40" s="16">
        <f>G40*AO40</f>
        <v>0</v>
      </c>
      <c r="BI40" s="16">
        <f>G40*AP40</f>
        <v>0</v>
      </c>
      <c r="BJ40" s="16">
        <f>G40*H40</f>
        <v>0</v>
      </c>
    </row>
    <row r="41" spans="1:62" x14ac:dyDescent="0.2">
      <c r="A41" s="4" t="s">
        <v>29</v>
      </c>
      <c r="B41" s="4" t="s">
        <v>566</v>
      </c>
      <c r="C41" s="131" t="s">
        <v>1114</v>
      </c>
      <c r="D41" s="132"/>
      <c r="E41" s="132"/>
      <c r="F41" s="4" t="s">
        <v>1666</v>
      </c>
      <c r="G41" s="68">
        <v>60.414999999999999</v>
      </c>
      <c r="H41" s="162">
        <v>0</v>
      </c>
      <c r="I41" s="16">
        <f>G41*AO41</f>
        <v>0</v>
      </c>
      <c r="J41" s="16">
        <f>G41*AP41</f>
        <v>0</v>
      </c>
      <c r="K41" s="16">
        <f>G41*H41</f>
        <v>0</v>
      </c>
      <c r="L41" s="27" t="s">
        <v>1692</v>
      </c>
      <c r="Z41" s="33">
        <f>IF(AQ41="5",BJ41,0)</f>
        <v>0</v>
      </c>
      <c r="AB41" s="33">
        <f>IF(AQ41="1",BH41,0)</f>
        <v>0</v>
      </c>
      <c r="AC41" s="33">
        <f>IF(AQ41="1",BI41,0)</f>
        <v>0</v>
      </c>
      <c r="AD41" s="33">
        <f>IF(AQ41="7",BH41,0)</f>
        <v>0</v>
      </c>
      <c r="AE41" s="33">
        <f>IF(AQ41="7",BI41,0)</f>
        <v>0</v>
      </c>
      <c r="AF41" s="33">
        <f>IF(AQ41="2",BH41,0)</f>
        <v>0</v>
      </c>
      <c r="AG41" s="33">
        <f>IF(AQ41="2",BI41,0)</f>
        <v>0</v>
      </c>
      <c r="AH41" s="33">
        <f>IF(AQ41="0",BJ41,0)</f>
        <v>0</v>
      </c>
      <c r="AI41" s="28"/>
      <c r="AJ41" s="16">
        <f>IF(AN41=0,K41,0)</f>
        <v>0</v>
      </c>
      <c r="AK41" s="16">
        <f>IF(AN41=15,K41,0)</f>
        <v>0</v>
      </c>
      <c r="AL41" s="16">
        <f>IF(AN41=21,K41,0)</f>
        <v>0</v>
      </c>
      <c r="AN41" s="33">
        <v>21</v>
      </c>
      <c r="AO41" s="33">
        <f>H41*0.436642269703732</f>
        <v>0</v>
      </c>
      <c r="AP41" s="33">
        <f>H41*(1-0.436642269703732)</f>
        <v>0</v>
      </c>
      <c r="AQ41" s="27" t="s">
        <v>7</v>
      </c>
      <c r="AV41" s="33">
        <f>AW41+AX41</f>
        <v>0</v>
      </c>
      <c r="AW41" s="33">
        <f>G41*AO41</f>
        <v>0</v>
      </c>
      <c r="AX41" s="33">
        <f>G41*AP41</f>
        <v>0</v>
      </c>
      <c r="AY41" s="34" t="s">
        <v>1708</v>
      </c>
      <c r="AZ41" s="34" t="s">
        <v>1742</v>
      </c>
      <c r="BA41" s="28" t="s">
        <v>1752</v>
      </c>
      <c r="BC41" s="33">
        <f>AW41+AX41</f>
        <v>0</v>
      </c>
      <c r="BD41" s="33">
        <f>H41/(100-BE41)*100</f>
        <v>0</v>
      </c>
      <c r="BE41" s="33">
        <v>0</v>
      </c>
      <c r="BF41" s="33">
        <f>41</f>
        <v>41</v>
      </c>
      <c r="BH41" s="16">
        <f>G41*AO41</f>
        <v>0</v>
      </c>
      <c r="BI41" s="16">
        <f>G41*AP41</f>
        <v>0</v>
      </c>
      <c r="BJ41" s="16">
        <f>G41*H41</f>
        <v>0</v>
      </c>
    </row>
    <row r="42" spans="1:62" x14ac:dyDescent="0.2">
      <c r="A42" s="5"/>
      <c r="B42" s="13" t="s">
        <v>62</v>
      </c>
      <c r="C42" s="136" t="s">
        <v>1115</v>
      </c>
      <c r="D42" s="137"/>
      <c r="E42" s="137"/>
      <c r="F42" s="5" t="s">
        <v>6</v>
      </c>
      <c r="G42" s="5" t="s">
        <v>6</v>
      </c>
      <c r="H42" s="163" t="s">
        <v>6</v>
      </c>
      <c r="I42" s="36">
        <f>SUM(I43:I48)</f>
        <v>0</v>
      </c>
      <c r="J42" s="36">
        <f>SUM(J43:J48)</f>
        <v>0</v>
      </c>
      <c r="K42" s="36">
        <f>SUM(K43:K48)</f>
        <v>0</v>
      </c>
      <c r="L42" s="28"/>
      <c r="AI42" s="28"/>
      <c r="AS42" s="36">
        <f>SUM(AJ43:AJ48)</f>
        <v>0</v>
      </c>
      <c r="AT42" s="36">
        <f>SUM(AK43:AK48)</f>
        <v>0</v>
      </c>
      <c r="AU42" s="36">
        <f>SUM(AL43:AL48)</f>
        <v>0</v>
      </c>
    </row>
    <row r="43" spans="1:62" x14ac:dyDescent="0.2">
      <c r="A43" s="4" t="s">
        <v>30</v>
      </c>
      <c r="B43" s="4" t="s">
        <v>567</v>
      </c>
      <c r="C43" s="131" t="s">
        <v>1116</v>
      </c>
      <c r="D43" s="132"/>
      <c r="E43" s="132"/>
      <c r="F43" s="4" t="s">
        <v>1663</v>
      </c>
      <c r="G43" s="68">
        <v>100</v>
      </c>
      <c r="H43" s="162">
        <v>0</v>
      </c>
      <c r="I43" s="16">
        <f t="shared" ref="I43:I48" si="22">G43*AO43</f>
        <v>0</v>
      </c>
      <c r="J43" s="16">
        <f t="shared" ref="J43:J48" si="23">G43*AP43</f>
        <v>0</v>
      </c>
      <c r="K43" s="16">
        <f t="shared" ref="K43:K48" si="24">G43*H43</f>
        <v>0</v>
      </c>
      <c r="L43" s="27" t="s">
        <v>1692</v>
      </c>
      <c r="Z43" s="33">
        <f t="shared" ref="Z43:Z48" si="25">IF(AQ43="5",BJ43,0)</f>
        <v>0</v>
      </c>
      <c r="AB43" s="33">
        <f t="shared" ref="AB43:AB48" si="26">IF(AQ43="1",BH43,0)</f>
        <v>0</v>
      </c>
      <c r="AC43" s="33">
        <f t="shared" ref="AC43:AC48" si="27">IF(AQ43="1",BI43,0)</f>
        <v>0</v>
      </c>
      <c r="AD43" s="33">
        <f t="shared" ref="AD43:AD48" si="28">IF(AQ43="7",BH43,0)</f>
        <v>0</v>
      </c>
      <c r="AE43" s="33">
        <f t="shared" ref="AE43:AE48" si="29">IF(AQ43="7",BI43,0)</f>
        <v>0</v>
      </c>
      <c r="AF43" s="33">
        <f t="shared" ref="AF43:AF48" si="30">IF(AQ43="2",BH43,0)</f>
        <v>0</v>
      </c>
      <c r="AG43" s="33">
        <f t="shared" ref="AG43:AG48" si="31">IF(AQ43="2",BI43,0)</f>
        <v>0</v>
      </c>
      <c r="AH43" s="33">
        <f t="shared" ref="AH43:AH48" si="32">IF(AQ43="0",BJ43,0)</f>
        <v>0</v>
      </c>
      <c r="AI43" s="28"/>
      <c r="AJ43" s="16">
        <f t="shared" ref="AJ43:AJ48" si="33">IF(AN43=0,K43,0)</f>
        <v>0</v>
      </c>
      <c r="AK43" s="16">
        <f t="shared" ref="AK43:AK48" si="34">IF(AN43=15,K43,0)</f>
        <v>0</v>
      </c>
      <c r="AL43" s="16">
        <f t="shared" ref="AL43:AL48" si="35">IF(AN43=21,K43,0)</f>
        <v>0</v>
      </c>
      <c r="AN43" s="33">
        <v>21</v>
      </c>
      <c r="AO43" s="33">
        <f>H43*0.720960698689956</f>
        <v>0</v>
      </c>
      <c r="AP43" s="33">
        <f>H43*(1-0.720960698689956)</f>
        <v>0</v>
      </c>
      <c r="AQ43" s="27" t="s">
        <v>7</v>
      </c>
      <c r="AV43" s="33">
        <f t="shared" ref="AV43:AV48" si="36">AW43+AX43</f>
        <v>0</v>
      </c>
      <c r="AW43" s="33">
        <f t="shared" ref="AW43:AW48" si="37">G43*AO43</f>
        <v>0</v>
      </c>
      <c r="AX43" s="33">
        <f t="shared" ref="AX43:AX48" si="38">G43*AP43</f>
        <v>0</v>
      </c>
      <c r="AY43" s="34" t="s">
        <v>1709</v>
      </c>
      <c r="AZ43" s="34" t="s">
        <v>1743</v>
      </c>
      <c r="BA43" s="28" t="s">
        <v>1752</v>
      </c>
      <c r="BC43" s="33">
        <f t="shared" ref="BC43:BC48" si="39">AW43+AX43</f>
        <v>0</v>
      </c>
      <c r="BD43" s="33">
        <f t="shared" ref="BD43:BD48" si="40">H43/(100-BE43)*100</f>
        <v>0</v>
      </c>
      <c r="BE43" s="33">
        <v>0</v>
      </c>
      <c r="BF43" s="33">
        <f>43</f>
        <v>43</v>
      </c>
      <c r="BH43" s="16">
        <f t="shared" ref="BH43:BH48" si="41">G43*AO43</f>
        <v>0</v>
      </c>
      <c r="BI43" s="16">
        <f t="shared" ref="BI43:BI48" si="42">G43*AP43</f>
        <v>0</v>
      </c>
      <c r="BJ43" s="16">
        <f t="shared" ref="BJ43:BJ48" si="43">G43*H43</f>
        <v>0</v>
      </c>
    </row>
    <row r="44" spans="1:62" x14ac:dyDescent="0.2">
      <c r="A44" s="4" t="s">
        <v>31</v>
      </c>
      <c r="B44" s="4" t="s">
        <v>568</v>
      </c>
      <c r="C44" s="131" t="s">
        <v>1117</v>
      </c>
      <c r="D44" s="132"/>
      <c r="E44" s="132"/>
      <c r="F44" s="4" t="s">
        <v>1663</v>
      </c>
      <c r="G44" s="68">
        <v>70</v>
      </c>
      <c r="H44" s="162">
        <v>0</v>
      </c>
      <c r="I44" s="16">
        <f t="shared" si="22"/>
        <v>0</v>
      </c>
      <c r="J44" s="16">
        <f t="shared" si="23"/>
        <v>0</v>
      </c>
      <c r="K44" s="16">
        <f t="shared" si="24"/>
        <v>0</v>
      </c>
      <c r="L44" s="27" t="s">
        <v>1692</v>
      </c>
      <c r="Z44" s="33">
        <f t="shared" si="25"/>
        <v>0</v>
      </c>
      <c r="AB44" s="33">
        <f t="shared" si="26"/>
        <v>0</v>
      </c>
      <c r="AC44" s="33">
        <f t="shared" si="27"/>
        <v>0</v>
      </c>
      <c r="AD44" s="33">
        <f t="shared" si="28"/>
        <v>0</v>
      </c>
      <c r="AE44" s="33">
        <f t="shared" si="29"/>
        <v>0</v>
      </c>
      <c r="AF44" s="33">
        <f t="shared" si="30"/>
        <v>0</v>
      </c>
      <c r="AG44" s="33">
        <f t="shared" si="31"/>
        <v>0</v>
      </c>
      <c r="AH44" s="33">
        <f t="shared" si="32"/>
        <v>0</v>
      </c>
      <c r="AI44" s="28"/>
      <c r="AJ44" s="16">
        <f t="shared" si="33"/>
        <v>0</v>
      </c>
      <c r="AK44" s="16">
        <f t="shared" si="34"/>
        <v>0</v>
      </c>
      <c r="AL44" s="16">
        <f t="shared" si="35"/>
        <v>0</v>
      </c>
      <c r="AN44" s="33">
        <v>21</v>
      </c>
      <c r="AO44" s="33">
        <f>H44*0.849965156794425</f>
        <v>0</v>
      </c>
      <c r="AP44" s="33">
        <f>H44*(1-0.849965156794425)</f>
        <v>0</v>
      </c>
      <c r="AQ44" s="27" t="s">
        <v>7</v>
      </c>
      <c r="AV44" s="33">
        <f t="shared" si="36"/>
        <v>0</v>
      </c>
      <c r="AW44" s="33">
        <f t="shared" si="37"/>
        <v>0</v>
      </c>
      <c r="AX44" s="33">
        <f t="shared" si="38"/>
        <v>0</v>
      </c>
      <c r="AY44" s="34" t="s">
        <v>1709</v>
      </c>
      <c r="AZ44" s="34" t="s">
        <v>1743</v>
      </c>
      <c r="BA44" s="28" t="s">
        <v>1752</v>
      </c>
      <c r="BC44" s="33">
        <f t="shared" si="39"/>
        <v>0</v>
      </c>
      <c r="BD44" s="33">
        <f t="shared" si="40"/>
        <v>0</v>
      </c>
      <c r="BE44" s="33">
        <v>0</v>
      </c>
      <c r="BF44" s="33">
        <f>44</f>
        <v>44</v>
      </c>
      <c r="BH44" s="16">
        <f t="shared" si="41"/>
        <v>0</v>
      </c>
      <c r="BI44" s="16">
        <f t="shared" si="42"/>
        <v>0</v>
      </c>
      <c r="BJ44" s="16">
        <f t="shared" si="43"/>
        <v>0</v>
      </c>
    </row>
    <row r="45" spans="1:62" x14ac:dyDescent="0.2">
      <c r="A45" s="4" t="s">
        <v>32</v>
      </c>
      <c r="B45" s="4" t="s">
        <v>569</v>
      </c>
      <c r="C45" s="131" t="s">
        <v>1118</v>
      </c>
      <c r="D45" s="132"/>
      <c r="E45" s="132"/>
      <c r="F45" s="4" t="s">
        <v>1663</v>
      </c>
      <c r="G45" s="68">
        <v>30</v>
      </c>
      <c r="H45" s="162">
        <v>0</v>
      </c>
      <c r="I45" s="16">
        <f t="shared" si="22"/>
        <v>0</v>
      </c>
      <c r="J45" s="16">
        <f t="shared" si="23"/>
        <v>0</v>
      </c>
      <c r="K45" s="16">
        <f t="shared" si="24"/>
        <v>0</v>
      </c>
      <c r="L45" s="27" t="s">
        <v>1692</v>
      </c>
      <c r="Z45" s="33">
        <f t="shared" si="25"/>
        <v>0</v>
      </c>
      <c r="AB45" s="33">
        <f t="shared" si="26"/>
        <v>0</v>
      </c>
      <c r="AC45" s="33">
        <f t="shared" si="27"/>
        <v>0</v>
      </c>
      <c r="AD45" s="33">
        <f t="shared" si="28"/>
        <v>0</v>
      </c>
      <c r="AE45" s="33">
        <f t="shared" si="29"/>
        <v>0</v>
      </c>
      <c r="AF45" s="33">
        <f t="shared" si="30"/>
        <v>0</v>
      </c>
      <c r="AG45" s="33">
        <f t="shared" si="31"/>
        <v>0</v>
      </c>
      <c r="AH45" s="33">
        <f t="shared" si="32"/>
        <v>0</v>
      </c>
      <c r="AI45" s="28"/>
      <c r="AJ45" s="16">
        <f t="shared" si="33"/>
        <v>0</v>
      </c>
      <c r="AK45" s="16">
        <f t="shared" si="34"/>
        <v>0</v>
      </c>
      <c r="AL45" s="16">
        <f t="shared" si="35"/>
        <v>0</v>
      </c>
      <c r="AN45" s="33">
        <v>21</v>
      </c>
      <c r="AO45" s="33">
        <f>H45*0.839925650557621</f>
        <v>0</v>
      </c>
      <c r="AP45" s="33">
        <f>H45*(1-0.839925650557621)</f>
        <v>0</v>
      </c>
      <c r="AQ45" s="27" t="s">
        <v>7</v>
      </c>
      <c r="AV45" s="33">
        <f t="shared" si="36"/>
        <v>0</v>
      </c>
      <c r="AW45" s="33">
        <f t="shared" si="37"/>
        <v>0</v>
      </c>
      <c r="AX45" s="33">
        <f t="shared" si="38"/>
        <v>0</v>
      </c>
      <c r="AY45" s="34" t="s">
        <v>1709</v>
      </c>
      <c r="AZ45" s="34" t="s">
        <v>1743</v>
      </c>
      <c r="BA45" s="28" t="s">
        <v>1752</v>
      </c>
      <c r="BC45" s="33">
        <f t="shared" si="39"/>
        <v>0</v>
      </c>
      <c r="BD45" s="33">
        <f t="shared" si="40"/>
        <v>0</v>
      </c>
      <c r="BE45" s="33">
        <v>0</v>
      </c>
      <c r="BF45" s="33">
        <f>45</f>
        <v>45</v>
      </c>
      <c r="BH45" s="16">
        <f t="shared" si="41"/>
        <v>0</v>
      </c>
      <c r="BI45" s="16">
        <f t="shared" si="42"/>
        <v>0</v>
      </c>
      <c r="BJ45" s="16">
        <f t="shared" si="43"/>
        <v>0</v>
      </c>
    </row>
    <row r="46" spans="1:62" x14ac:dyDescent="0.2">
      <c r="A46" s="4" t="s">
        <v>33</v>
      </c>
      <c r="B46" s="4" t="s">
        <v>570</v>
      </c>
      <c r="C46" s="131" t="s">
        <v>1119</v>
      </c>
      <c r="D46" s="132"/>
      <c r="E46" s="132"/>
      <c r="F46" s="4" t="s">
        <v>1663</v>
      </c>
      <c r="G46" s="68">
        <v>30</v>
      </c>
      <c r="H46" s="162">
        <v>0</v>
      </c>
      <c r="I46" s="16">
        <f t="shared" si="22"/>
        <v>0</v>
      </c>
      <c r="J46" s="16">
        <f t="shared" si="23"/>
        <v>0</v>
      </c>
      <c r="K46" s="16">
        <f t="shared" si="24"/>
        <v>0</v>
      </c>
      <c r="L46" s="27" t="s">
        <v>1692</v>
      </c>
      <c r="Z46" s="33">
        <f t="shared" si="25"/>
        <v>0</v>
      </c>
      <c r="AB46" s="33">
        <f t="shared" si="26"/>
        <v>0</v>
      </c>
      <c r="AC46" s="33">
        <f t="shared" si="27"/>
        <v>0</v>
      </c>
      <c r="AD46" s="33">
        <f t="shared" si="28"/>
        <v>0</v>
      </c>
      <c r="AE46" s="33">
        <f t="shared" si="29"/>
        <v>0</v>
      </c>
      <c r="AF46" s="33">
        <f t="shared" si="30"/>
        <v>0</v>
      </c>
      <c r="AG46" s="33">
        <f t="shared" si="31"/>
        <v>0</v>
      </c>
      <c r="AH46" s="33">
        <f t="shared" si="32"/>
        <v>0</v>
      </c>
      <c r="AI46" s="28"/>
      <c r="AJ46" s="16">
        <f t="shared" si="33"/>
        <v>0</v>
      </c>
      <c r="AK46" s="16">
        <f t="shared" si="34"/>
        <v>0</v>
      </c>
      <c r="AL46" s="16">
        <f t="shared" si="35"/>
        <v>0</v>
      </c>
      <c r="AN46" s="33">
        <v>21</v>
      </c>
      <c r="AO46" s="33">
        <f>H46*0.864166666666667</f>
        <v>0</v>
      </c>
      <c r="AP46" s="33">
        <f>H46*(1-0.864166666666667)</f>
        <v>0</v>
      </c>
      <c r="AQ46" s="27" t="s">
        <v>7</v>
      </c>
      <c r="AV46" s="33">
        <f t="shared" si="36"/>
        <v>0</v>
      </c>
      <c r="AW46" s="33">
        <f t="shared" si="37"/>
        <v>0</v>
      </c>
      <c r="AX46" s="33">
        <f t="shared" si="38"/>
        <v>0</v>
      </c>
      <c r="AY46" s="34" t="s">
        <v>1709</v>
      </c>
      <c r="AZ46" s="34" t="s">
        <v>1743</v>
      </c>
      <c r="BA46" s="28" t="s">
        <v>1752</v>
      </c>
      <c r="BC46" s="33">
        <f t="shared" si="39"/>
        <v>0</v>
      </c>
      <c r="BD46" s="33">
        <f t="shared" si="40"/>
        <v>0</v>
      </c>
      <c r="BE46" s="33">
        <v>0</v>
      </c>
      <c r="BF46" s="33">
        <f>46</f>
        <v>46</v>
      </c>
      <c r="BH46" s="16">
        <f t="shared" si="41"/>
        <v>0</v>
      </c>
      <c r="BI46" s="16">
        <f t="shared" si="42"/>
        <v>0</v>
      </c>
      <c r="BJ46" s="16">
        <f t="shared" si="43"/>
        <v>0</v>
      </c>
    </row>
    <row r="47" spans="1:62" x14ac:dyDescent="0.2">
      <c r="A47" s="4" t="s">
        <v>34</v>
      </c>
      <c r="B47" s="4" t="s">
        <v>571</v>
      </c>
      <c r="C47" s="131" t="s">
        <v>1120</v>
      </c>
      <c r="D47" s="132"/>
      <c r="E47" s="132"/>
      <c r="F47" s="4" t="s">
        <v>1663</v>
      </c>
      <c r="G47" s="68">
        <v>70</v>
      </c>
      <c r="H47" s="162">
        <v>0</v>
      </c>
      <c r="I47" s="16">
        <f t="shared" si="22"/>
        <v>0</v>
      </c>
      <c r="J47" s="16">
        <f t="shared" si="23"/>
        <v>0</v>
      </c>
      <c r="K47" s="16">
        <f t="shared" si="24"/>
        <v>0</v>
      </c>
      <c r="L47" s="27" t="s">
        <v>1692</v>
      </c>
      <c r="Z47" s="33">
        <f t="shared" si="25"/>
        <v>0</v>
      </c>
      <c r="AB47" s="33">
        <f t="shared" si="26"/>
        <v>0</v>
      </c>
      <c r="AC47" s="33">
        <f t="shared" si="27"/>
        <v>0</v>
      </c>
      <c r="AD47" s="33">
        <f t="shared" si="28"/>
        <v>0</v>
      </c>
      <c r="AE47" s="33">
        <f t="shared" si="29"/>
        <v>0</v>
      </c>
      <c r="AF47" s="33">
        <f t="shared" si="30"/>
        <v>0</v>
      </c>
      <c r="AG47" s="33">
        <f t="shared" si="31"/>
        <v>0</v>
      </c>
      <c r="AH47" s="33">
        <f t="shared" si="32"/>
        <v>0</v>
      </c>
      <c r="AI47" s="28"/>
      <c r="AJ47" s="16">
        <f t="shared" si="33"/>
        <v>0</v>
      </c>
      <c r="AK47" s="16">
        <f t="shared" si="34"/>
        <v>0</v>
      </c>
      <c r="AL47" s="16">
        <f t="shared" si="35"/>
        <v>0</v>
      </c>
      <c r="AN47" s="33">
        <v>21</v>
      </c>
      <c r="AO47" s="33">
        <f>H47*0.727181467181467</f>
        <v>0</v>
      </c>
      <c r="AP47" s="33">
        <f>H47*(1-0.727181467181467)</f>
        <v>0</v>
      </c>
      <c r="AQ47" s="27" t="s">
        <v>7</v>
      </c>
      <c r="AV47" s="33">
        <f t="shared" si="36"/>
        <v>0</v>
      </c>
      <c r="AW47" s="33">
        <f t="shared" si="37"/>
        <v>0</v>
      </c>
      <c r="AX47" s="33">
        <f t="shared" si="38"/>
        <v>0</v>
      </c>
      <c r="AY47" s="34" t="s">
        <v>1709</v>
      </c>
      <c r="AZ47" s="34" t="s">
        <v>1743</v>
      </c>
      <c r="BA47" s="28" t="s">
        <v>1752</v>
      </c>
      <c r="BC47" s="33">
        <f t="shared" si="39"/>
        <v>0</v>
      </c>
      <c r="BD47" s="33">
        <f t="shared" si="40"/>
        <v>0</v>
      </c>
      <c r="BE47" s="33">
        <v>0</v>
      </c>
      <c r="BF47" s="33">
        <f>47</f>
        <v>47</v>
      </c>
      <c r="BH47" s="16">
        <f t="shared" si="41"/>
        <v>0</v>
      </c>
      <c r="BI47" s="16">
        <f t="shared" si="42"/>
        <v>0</v>
      </c>
      <c r="BJ47" s="16">
        <f t="shared" si="43"/>
        <v>0</v>
      </c>
    </row>
    <row r="48" spans="1:62" x14ac:dyDescent="0.2">
      <c r="A48" s="4" t="s">
        <v>35</v>
      </c>
      <c r="B48" s="4" t="s">
        <v>572</v>
      </c>
      <c r="C48" s="131" t="s">
        <v>1121</v>
      </c>
      <c r="D48" s="132"/>
      <c r="E48" s="132"/>
      <c r="F48" s="4" t="s">
        <v>1663</v>
      </c>
      <c r="G48" s="68">
        <v>170</v>
      </c>
      <c r="H48" s="162">
        <v>0</v>
      </c>
      <c r="I48" s="16">
        <f t="shared" si="22"/>
        <v>0</v>
      </c>
      <c r="J48" s="16">
        <f t="shared" si="23"/>
        <v>0</v>
      </c>
      <c r="K48" s="16">
        <f t="shared" si="24"/>
        <v>0</v>
      </c>
      <c r="L48" s="27" t="s">
        <v>1692</v>
      </c>
      <c r="Z48" s="33">
        <f t="shared" si="25"/>
        <v>0</v>
      </c>
      <c r="AB48" s="33">
        <f t="shared" si="26"/>
        <v>0</v>
      </c>
      <c r="AC48" s="33">
        <f t="shared" si="27"/>
        <v>0</v>
      </c>
      <c r="AD48" s="33">
        <f t="shared" si="28"/>
        <v>0</v>
      </c>
      <c r="AE48" s="33">
        <f t="shared" si="29"/>
        <v>0</v>
      </c>
      <c r="AF48" s="33">
        <f t="shared" si="30"/>
        <v>0</v>
      </c>
      <c r="AG48" s="33">
        <f t="shared" si="31"/>
        <v>0</v>
      </c>
      <c r="AH48" s="33">
        <f t="shared" si="32"/>
        <v>0</v>
      </c>
      <c r="AI48" s="28"/>
      <c r="AJ48" s="16">
        <f t="shared" si="33"/>
        <v>0</v>
      </c>
      <c r="AK48" s="16">
        <f t="shared" si="34"/>
        <v>0</v>
      </c>
      <c r="AL48" s="16">
        <f t="shared" si="35"/>
        <v>0</v>
      </c>
      <c r="AN48" s="33">
        <v>21</v>
      </c>
      <c r="AO48" s="33">
        <f>H48*0.55</f>
        <v>0</v>
      </c>
      <c r="AP48" s="33">
        <f>H48*(1-0.55)</f>
        <v>0</v>
      </c>
      <c r="AQ48" s="27" t="s">
        <v>7</v>
      </c>
      <c r="AV48" s="33">
        <f t="shared" si="36"/>
        <v>0</v>
      </c>
      <c r="AW48" s="33">
        <f t="shared" si="37"/>
        <v>0</v>
      </c>
      <c r="AX48" s="33">
        <f t="shared" si="38"/>
        <v>0</v>
      </c>
      <c r="AY48" s="34" t="s">
        <v>1709</v>
      </c>
      <c r="AZ48" s="34" t="s">
        <v>1743</v>
      </c>
      <c r="BA48" s="28" t="s">
        <v>1752</v>
      </c>
      <c r="BC48" s="33">
        <f t="shared" si="39"/>
        <v>0</v>
      </c>
      <c r="BD48" s="33">
        <f t="shared" si="40"/>
        <v>0</v>
      </c>
      <c r="BE48" s="33">
        <v>0</v>
      </c>
      <c r="BF48" s="33">
        <f>48</f>
        <v>48</v>
      </c>
      <c r="BH48" s="16">
        <f t="shared" si="41"/>
        <v>0</v>
      </c>
      <c r="BI48" s="16">
        <f t="shared" si="42"/>
        <v>0</v>
      </c>
      <c r="BJ48" s="16">
        <f t="shared" si="43"/>
        <v>0</v>
      </c>
    </row>
    <row r="49" spans="1:62" x14ac:dyDescent="0.2">
      <c r="A49" s="5"/>
      <c r="B49" s="13" t="s">
        <v>63</v>
      </c>
      <c r="C49" s="136" t="s">
        <v>1122</v>
      </c>
      <c r="D49" s="137"/>
      <c r="E49" s="137"/>
      <c r="F49" s="5" t="s">
        <v>6</v>
      </c>
      <c r="G49" s="5" t="s">
        <v>6</v>
      </c>
      <c r="H49" s="163" t="s">
        <v>6</v>
      </c>
      <c r="I49" s="36">
        <f>SUM(I50:I50)</f>
        <v>0</v>
      </c>
      <c r="J49" s="36">
        <f>SUM(J50:J50)</f>
        <v>0</v>
      </c>
      <c r="K49" s="36">
        <f>SUM(K50:K50)</f>
        <v>0</v>
      </c>
      <c r="L49" s="28"/>
      <c r="AI49" s="28"/>
      <c r="AS49" s="36">
        <f>SUM(AJ50:AJ50)</f>
        <v>0</v>
      </c>
      <c r="AT49" s="36">
        <f>SUM(AK50:AK50)</f>
        <v>0</v>
      </c>
      <c r="AU49" s="36">
        <f>SUM(AL50:AL50)</f>
        <v>0</v>
      </c>
    </row>
    <row r="50" spans="1:62" x14ac:dyDescent="0.2">
      <c r="A50" s="4" t="s">
        <v>36</v>
      </c>
      <c r="B50" s="4" t="s">
        <v>573</v>
      </c>
      <c r="C50" s="131" t="s">
        <v>1123</v>
      </c>
      <c r="D50" s="132"/>
      <c r="E50" s="132"/>
      <c r="F50" s="4" t="s">
        <v>1663</v>
      </c>
      <c r="G50" s="68">
        <v>30</v>
      </c>
      <c r="H50" s="162">
        <v>0</v>
      </c>
      <c r="I50" s="16">
        <f>G50*AO50</f>
        <v>0</v>
      </c>
      <c r="J50" s="16">
        <f>G50*AP50</f>
        <v>0</v>
      </c>
      <c r="K50" s="16">
        <f>G50*H50</f>
        <v>0</v>
      </c>
      <c r="L50" s="27" t="s">
        <v>1692</v>
      </c>
      <c r="Z50" s="33">
        <f>IF(AQ50="5",BJ50,0)</f>
        <v>0</v>
      </c>
      <c r="AB50" s="33">
        <f>IF(AQ50="1",BH50,0)</f>
        <v>0</v>
      </c>
      <c r="AC50" s="33">
        <f>IF(AQ50="1",BI50,0)</f>
        <v>0</v>
      </c>
      <c r="AD50" s="33">
        <f>IF(AQ50="7",BH50,0)</f>
        <v>0</v>
      </c>
      <c r="AE50" s="33">
        <f>IF(AQ50="7",BI50,0)</f>
        <v>0</v>
      </c>
      <c r="AF50" s="33">
        <f>IF(AQ50="2",BH50,0)</f>
        <v>0</v>
      </c>
      <c r="AG50" s="33">
        <f>IF(AQ50="2",BI50,0)</f>
        <v>0</v>
      </c>
      <c r="AH50" s="33">
        <f>IF(AQ50="0",BJ50,0)</f>
        <v>0</v>
      </c>
      <c r="AI50" s="28"/>
      <c r="AJ50" s="16">
        <f>IF(AN50=0,K50,0)</f>
        <v>0</v>
      </c>
      <c r="AK50" s="16">
        <f>IF(AN50=15,K50,0)</f>
        <v>0</v>
      </c>
      <c r="AL50" s="16">
        <f>IF(AN50=21,K50,0)</f>
        <v>0</v>
      </c>
      <c r="AN50" s="33">
        <v>21</v>
      </c>
      <c r="AO50" s="33">
        <f>H50*0.740517799352751</f>
        <v>0</v>
      </c>
      <c r="AP50" s="33">
        <f>H50*(1-0.740517799352751)</f>
        <v>0</v>
      </c>
      <c r="AQ50" s="27" t="s">
        <v>7</v>
      </c>
      <c r="AV50" s="33">
        <f>AW50+AX50</f>
        <v>0</v>
      </c>
      <c r="AW50" s="33">
        <f>G50*AO50</f>
        <v>0</v>
      </c>
      <c r="AX50" s="33">
        <f>G50*AP50</f>
        <v>0</v>
      </c>
      <c r="AY50" s="34" t="s">
        <v>1710</v>
      </c>
      <c r="AZ50" s="34" t="s">
        <v>1743</v>
      </c>
      <c r="BA50" s="28" t="s">
        <v>1752</v>
      </c>
      <c r="BC50" s="33">
        <f>AW50+AX50</f>
        <v>0</v>
      </c>
      <c r="BD50" s="33">
        <f>H50/(100-BE50)*100</f>
        <v>0</v>
      </c>
      <c r="BE50" s="33">
        <v>0</v>
      </c>
      <c r="BF50" s="33">
        <f>50</f>
        <v>50</v>
      </c>
      <c r="BH50" s="16">
        <f>G50*AO50</f>
        <v>0</v>
      </c>
      <c r="BI50" s="16">
        <f>G50*AP50</f>
        <v>0</v>
      </c>
      <c r="BJ50" s="16">
        <f>G50*H50</f>
        <v>0</v>
      </c>
    </row>
    <row r="51" spans="1:62" x14ac:dyDescent="0.2">
      <c r="A51" s="5"/>
      <c r="B51" s="13" t="s">
        <v>65</v>
      </c>
      <c r="C51" s="136" t="s">
        <v>1124</v>
      </c>
      <c r="D51" s="137"/>
      <c r="E51" s="137"/>
      <c r="F51" s="5" t="s">
        <v>6</v>
      </c>
      <c r="G51" s="5" t="s">
        <v>6</v>
      </c>
      <c r="H51" s="163" t="s">
        <v>6</v>
      </c>
      <c r="I51" s="36">
        <f>SUM(I52:I55)</f>
        <v>0</v>
      </c>
      <c r="J51" s="36">
        <f>SUM(J52:J55)</f>
        <v>0</v>
      </c>
      <c r="K51" s="36">
        <f>SUM(K52:K55)</f>
        <v>0</v>
      </c>
      <c r="L51" s="28"/>
      <c r="AI51" s="28"/>
      <c r="AS51" s="36">
        <f>SUM(AJ52:AJ55)</f>
        <v>0</v>
      </c>
      <c r="AT51" s="36">
        <f>SUM(AK52:AK55)</f>
        <v>0</v>
      </c>
      <c r="AU51" s="36">
        <f>SUM(AL52:AL55)</f>
        <v>0</v>
      </c>
    </row>
    <row r="52" spans="1:62" x14ac:dyDescent="0.2">
      <c r="A52" s="4" t="s">
        <v>37</v>
      </c>
      <c r="B52" s="4" t="s">
        <v>574</v>
      </c>
      <c r="C52" s="131" t="s">
        <v>1125</v>
      </c>
      <c r="D52" s="132"/>
      <c r="E52" s="132"/>
      <c r="F52" s="4" t="s">
        <v>1663</v>
      </c>
      <c r="G52" s="68">
        <v>30</v>
      </c>
      <c r="H52" s="162">
        <v>0</v>
      </c>
      <c r="I52" s="16">
        <f>G52*AO52</f>
        <v>0</v>
      </c>
      <c r="J52" s="16">
        <f>G52*AP52</f>
        <v>0</v>
      </c>
      <c r="K52" s="16">
        <f>G52*H52</f>
        <v>0</v>
      </c>
      <c r="L52" s="27" t="s">
        <v>1692</v>
      </c>
      <c r="Z52" s="33">
        <f>IF(AQ52="5",BJ52,0)</f>
        <v>0</v>
      </c>
      <c r="AB52" s="33">
        <f>IF(AQ52="1",BH52,0)</f>
        <v>0</v>
      </c>
      <c r="AC52" s="33">
        <f>IF(AQ52="1",BI52,0)</f>
        <v>0</v>
      </c>
      <c r="AD52" s="33">
        <f>IF(AQ52="7",BH52,0)</f>
        <v>0</v>
      </c>
      <c r="AE52" s="33">
        <f>IF(AQ52="7",BI52,0)</f>
        <v>0</v>
      </c>
      <c r="AF52" s="33">
        <f>IF(AQ52="2",BH52,0)</f>
        <v>0</v>
      </c>
      <c r="AG52" s="33">
        <f>IF(AQ52="2",BI52,0)</f>
        <v>0</v>
      </c>
      <c r="AH52" s="33">
        <f>IF(AQ52="0",BJ52,0)</f>
        <v>0</v>
      </c>
      <c r="AI52" s="28"/>
      <c r="AJ52" s="16">
        <f>IF(AN52=0,K52,0)</f>
        <v>0</v>
      </c>
      <c r="AK52" s="16">
        <f>IF(AN52=15,K52,0)</f>
        <v>0</v>
      </c>
      <c r="AL52" s="16">
        <f>IF(AN52=21,K52,0)</f>
        <v>0</v>
      </c>
      <c r="AN52" s="33">
        <v>21</v>
      </c>
      <c r="AO52" s="33">
        <f>H52*0.693616833820355</f>
        <v>0</v>
      </c>
      <c r="AP52" s="33">
        <f>H52*(1-0.693616833820355)</f>
        <v>0</v>
      </c>
      <c r="AQ52" s="27" t="s">
        <v>7</v>
      </c>
      <c r="AV52" s="33">
        <f>AW52+AX52</f>
        <v>0</v>
      </c>
      <c r="AW52" s="33">
        <f>G52*AO52</f>
        <v>0</v>
      </c>
      <c r="AX52" s="33">
        <f>G52*AP52</f>
        <v>0</v>
      </c>
      <c r="AY52" s="34" t="s">
        <v>1711</v>
      </c>
      <c r="AZ52" s="34" t="s">
        <v>1743</v>
      </c>
      <c r="BA52" s="28" t="s">
        <v>1752</v>
      </c>
      <c r="BC52" s="33">
        <f>AW52+AX52</f>
        <v>0</v>
      </c>
      <c r="BD52" s="33">
        <f>H52/(100-BE52)*100</f>
        <v>0</v>
      </c>
      <c r="BE52" s="33">
        <v>0</v>
      </c>
      <c r="BF52" s="33">
        <f>52</f>
        <v>52</v>
      </c>
      <c r="BH52" s="16">
        <f>G52*AO52</f>
        <v>0</v>
      </c>
      <c r="BI52" s="16">
        <f>G52*AP52</f>
        <v>0</v>
      </c>
      <c r="BJ52" s="16">
        <f>G52*H52</f>
        <v>0</v>
      </c>
    </row>
    <row r="53" spans="1:62" x14ac:dyDescent="0.2">
      <c r="A53" s="4" t="s">
        <v>38</v>
      </c>
      <c r="B53" s="4" t="s">
        <v>575</v>
      </c>
      <c r="C53" s="131" t="s">
        <v>1126</v>
      </c>
      <c r="D53" s="132"/>
      <c r="E53" s="132"/>
      <c r="F53" s="4" t="s">
        <v>1663</v>
      </c>
      <c r="G53" s="68">
        <v>60</v>
      </c>
      <c r="H53" s="162">
        <v>0</v>
      </c>
      <c r="I53" s="16">
        <f>G53*AO53</f>
        <v>0</v>
      </c>
      <c r="J53" s="16">
        <f>G53*AP53</f>
        <v>0</v>
      </c>
      <c r="K53" s="16">
        <f>G53*H53</f>
        <v>0</v>
      </c>
      <c r="L53" s="27" t="s">
        <v>1692</v>
      </c>
      <c r="Z53" s="33">
        <f>IF(AQ53="5",BJ53,0)</f>
        <v>0</v>
      </c>
      <c r="AB53" s="33">
        <f>IF(AQ53="1",BH53,0)</f>
        <v>0</v>
      </c>
      <c r="AC53" s="33">
        <f>IF(AQ53="1",BI53,0)</f>
        <v>0</v>
      </c>
      <c r="AD53" s="33">
        <f>IF(AQ53="7",BH53,0)</f>
        <v>0</v>
      </c>
      <c r="AE53" s="33">
        <f>IF(AQ53="7",BI53,0)</f>
        <v>0</v>
      </c>
      <c r="AF53" s="33">
        <f>IF(AQ53="2",BH53,0)</f>
        <v>0</v>
      </c>
      <c r="AG53" s="33">
        <f>IF(AQ53="2",BI53,0)</f>
        <v>0</v>
      </c>
      <c r="AH53" s="33">
        <f>IF(AQ53="0",BJ53,0)</f>
        <v>0</v>
      </c>
      <c r="AI53" s="28"/>
      <c r="AJ53" s="16">
        <f>IF(AN53=0,K53,0)</f>
        <v>0</v>
      </c>
      <c r="AK53" s="16">
        <f>IF(AN53=15,K53,0)</f>
        <v>0</v>
      </c>
      <c r="AL53" s="16">
        <f>IF(AN53=21,K53,0)</f>
        <v>0</v>
      </c>
      <c r="AN53" s="33">
        <v>21</v>
      </c>
      <c r="AO53" s="33">
        <f>H53*0.763176470588235</f>
        <v>0</v>
      </c>
      <c r="AP53" s="33">
        <f>H53*(1-0.763176470588235)</f>
        <v>0</v>
      </c>
      <c r="AQ53" s="27" t="s">
        <v>7</v>
      </c>
      <c r="AV53" s="33">
        <f>AW53+AX53</f>
        <v>0</v>
      </c>
      <c r="AW53" s="33">
        <f>G53*AO53</f>
        <v>0</v>
      </c>
      <c r="AX53" s="33">
        <f>G53*AP53</f>
        <v>0</v>
      </c>
      <c r="AY53" s="34" t="s">
        <v>1711</v>
      </c>
      <c r="AZ53" s="34" t="s">
        <v>1743</v>
      </c>
      <c r="BA53" s="28" t="s">
        <v>1752</v>
      </c>
      <c r="BC53" s="33">
        <f>AW53+AX53</f>
        <v>0</v>
      </c>
      <c r="BD53" s="33">
        <f>H53/(100-BE53)*100</f>
        <v>0</v>
      </c>
      <c r="BE53" s="33">
        <v>0</v>
      </c>
      <c r="BF53" s="33">
        <f>53</f>
        <v>53</v>
      </c>
      <c r="BH53" s="16">
        <f>G53*AO53</f>
        <v>0</v>
      </c>
      <c r="BI53" s="16">
        <f>G53*AP53</f>
        <v>0</v>
      </c>
      <c r="BJ53" s="16">
        <f>G53*H53</f>
        <v>0</v>
      </c>
    </row>
    <row r="54" spans="1:62" x14ac:dyDescent="0.2">
      <c r="A54" s="4" t="s">
        <v>39</v>
      </c>
      <c r="B54" s="4" t="s">
        <v>576</v>
      </c>
      <c r="C54" s="131" t="s">
        <v>1127</v>
      </c>
      <c r="D54" s="132"/>
      <c r="E54" s="132"/>
      <c r="F54" s="4" t="s">
        <v>1663</v>
      </c>
      <c r="G54" s="68">
        <v>70</v>
      </c>
      <c r="H54" s="162">
        <v>0</v>
      </c>
      <c r="I54" s="16">
        <f>G54*AO54</f>
        <v>0</v>
      </c>
      <c r="J54" s="16">
        <f>G54*AP54</f>
        <v>0</v>
      </c>
      <c r="K54" s="16">
        <f>G54*H54</f>
        <v>0</v>
      </c>
      <c r="L54" s="27" t="s">
        <v>1692</v>
      </c>
      <c r="Z54" s="33">
        <f>IF(AQ54="5",BJ54,0)</f>
        <v>0</v>
      </c>
      <c r="AB54" s="33">
        <f>IF(AQ54="1",BH54,0)</f>
        <v>0</v>
      </c>
      <c r="AC54" s="33">
        <f>IF(AQ54="1",BI54,0)</f>
        <v>0</v>
      </c>
      <c r="AD54" s="33">
        <f>IF(AQ54="7",BH54,0)</f>
        <v>0</v>
      </c>
      <c r="AE54" s="33">
        <f>IF(AQ54="7",BI54,0)</f>
        <v>0</v>
      </c>
      <c r="AF54" s="33">
        <f>IF(AQ54="2",BH54,0)</f>
        <v>0</v>
      </c>
      <c r="AG54" s="33">
        <f>IF(AQ54="2",BI54,0)</f>
        <v>0</v>
      </c>
      <c r="AH54" s="33">
        <f>IF(AQ54="0",BJ54,0)</f>
        <v>0</v>
      </c>
      <c r="AI54" s="28"/>
      <c r="AJ54" s="16">
        <f>IF(AN54=0,K54,0)</f>
        <v>0</v>
      </c>
      <c r="AK54" s="16">
        <f>IF(AN54=15,K54,0)</f>
        <v>0</v>
      </c>
      <c r="AL54" s="16">
        <f>IF(AN54=21,K54,0)</f>
        <v>0</v>
      </c>
      <c r="AN54" s="33">
        <v>21</v>
      </c>
      <c r="AO54" s="33">
        <f>H54*0.763156565656566</f>
        <v>0</v>
      </c>
      <c r="AP54" s="33">
        <f>H54*(1-0.763156565656566)</f>
        <v>0</v>
      </c>
      <c r="AQ54" s="27" t="s">
        <v>7</v>
      </c>
      <c r="AV54" s="33">
        <f>AW54+AX54</f>
        <v>0</v>
      </c>
      <c r="AW54" s="33">
        <f>G54*AO54</f>
        <v>0</v>
      </c>
      <c r="AX54" s="33">
        <f>G54*AP54</f>
        <v>0</v>
      </c>
      <c r="AY54" s="34" t="s">
        <v>1711</v>
      </c>
      <c r="AZ54" s="34" t="s">
        <v>1743</v>
      </c>
      <c r="BA54" s="28" t="s">
        <v>1752</v>
      </c>
      <c r="BC54" s="33">
        <f>AW54+AX54</f>
        <v>0</v>
      </c>
      <c r="BD54" s="33">
        <f>H54/(100-BE54)*100</f>
        <v>0</v>
      </c>
      <c r="BE54" s="33">
        <v>0</v>
      </c>
      <c r="BF54" s="33">
        <f>54</f>
        <v>54</v>
      </c>
      <c r="BH54" s="16">
        <f>G54*AO54</f>
        <v>0</v>
      </c>
      <c r="BI54" s="16">
        <f>G54*AP54</f>
        <v>0</v>
      </c>
      <c r="BJ54" s="16">
        <f>G54*H54</f>
        <v>0</v>
      </c>
    </row>
    <row r="55" spans="1:62" x14ac:dyDescent="0.2">
      <c r="A55" s="4" t="s">
        <v>40</v>
      </c>
      <c r="B55" s="4" t="s">
        <v>577</v>
      </c>
      <c r="C55" s="131" t="s">
        <v>1128</v>
      </c>
      <c r="D55" s="132"/>
      <c r="E55" s="132"/>
      <c r="F55" s="4" t="s">
        <v>1666</v>
      </c>
      <c r="G55" s="68">
        <v>24</v>
      </c>
      <c r="H55" s="162">
        <v>0</v>
      </c>
      <c r="I55" s="16">
        <f>G55*AO55</f>
        <v>0</v>
      </c>
      <c r="J55" s="16">
        <f>G55*AP55</f>
        <v>0</v>
      </c>
      <c r="K55" s="16">
        <f>G55*H55</f>
        <v>0</v>
      </c>
      <c r="L55" s="27" t="s">
        <v>1692</v>
      </c>
      <c r="Z55" s="33">
        <f>IF(AQ55="5",BJ55,0)</f>
        <v>0</v>
      </c>
      <c r="AB55" s="33">
        <f>IF(AQ55="1",BH55,0)</f>
        <v>0</v>
      </c>
      <c r="AC55" s="33">
        <f>IF(AQ55="1",BI55,0)</f>
        <v>0</v>
      </c>
      <c r="AD55" s="33">
        <f>IF(AQ55="7",BH55,0)</f>
        <v>0</v>
      </c>
      <c r="AE55" s="33">
        <f>IF(AQ55="7",BI55,0)</f>
        <v>0</v>
      </c>
      <c r="AF55" s="33">
        <f>IF(AQ55="2",BH55,0)</f>
        <v>0</v>
      </c>
      <c r="AG55" s="33">
        <f>IF(AQ55="2",BI55,0)</f>
        <v>0</v>
      </c>
      <c r="AH55" s="33">
        <f>IF(AQ55="0",BJ55,0)</f>
        <v>0</v>
      </c>
      <c r="AI55" s="28"/>
      <c r="AJ55" s="16">
        <f>IF(AN55=0,K55,0)</f>
        <v>0</v>
      </c>
      <c r="AK55" s="16">
        <f>IF(AN55=15,K55,0)</f>
        <v>0</v>
      </c>
      <c r="AL55" s="16">
        <f>IF(AN55=21,K55,0)</f>
        <v>0</v>
      </c>
      <c r="AN55" s="33">
        <v>21</v>
      </c>
      <c r="AO55" s="33">
        <f>H55*0.889264367816092</f>
        <v>0</v>
      </c>
      <c r="AP55" s="33">
        <f>H55*(1-0.889264367816092)</f>
        <v>0</v>
      </c>
      <c r="AQ55" s="27" t="s">
        <v>7</v>
      </c>
      <c r="AV55" s="33">
        <f>AW55+AX55</f>
        <v>0</v>
      </c>
      <c r="AW55" s="33">
        <f>G55*AO55</f>
        <v>0</v>
      </c>
      <c r="AX55" s="33">
        <f>G55*AP55</f>
        <v>0</v>
      </c>
      <c r="AY55" s="34" t="s">
        <v>1711</v>
      </c>
      <c r="AZ55" s="34" t="s">
        <v>1743</v>
      </c>
      <c r="BA55" s="28" t="s">
        <v>1752</v>
      </c>
      <c r="BC55" s="33">
        <f>AW55+AX55</f>
        <v>0</v>
      </c>
      <c r="BD55" s="33">
        <f>H55/(100-BE55)*100</f>
        <v>0</v>
      </c>
      <c r="BE55" s="33">
        <v>0</v>
      </c>
      <c r="BF55" s="33">
        <f>55</f>
        <v>55</v>
      </c>
      <c r="BH55" s="16">
        <f>G55*AO55</f>
        <v>0</v>
      </c>
      <c r="BI55" s="16">
        <f>G55*AP55</f>
        <v>0</v>
      </c>
      <c r="BJ55" s="16">
        <f>G55*H55</f>
        <v>0</v>
      </c>
    </row>
    <row r="56" spans="1:62" x14ac:dyDescent="0.2">
      <c r="A56" s="5"/>
      <c r="B56" s="13" t="s">
        <v>67</v>
      </c>
      <c r="C56" s="136" t="s">
        <v>1129</v>
      </c>
      <c r="D56" s="137"/>
      <c r="E56" s="137"/>
      <c r="F56" s="5" t="s">
        <v>6</v>
      </c>
      <c r="G56" s="5" t="s">
        <v>6</v>
      </c>
      <c r="H56" s="163" t="s">
        <v>6</v>
      </c>
      <c r="I56" s="36">
        <f>SUM(I57:I59)</f>
        <v>0</v>
      </c>
      <c r="J56" s="36">
        <f>SUM(J57:J59)</f>
        <v>0</v>
      </c>
      <c r="K56" s="36">
        <f>SUM(K57:K59)</f>
        <v>0</v>
      </c>
      <c r="L56" s="28"/>
      <c r="AI56" s="28"/>
      <c r="AS56" s="36">
        <f>SUM(AJ57:AJ59)</f>
        <v>0</v>
      </c>
      <c r="AT56" s="36">
        <f>SUM(AK57:AK59)</f>
        <v>0</v>
      </c>
      <c r="AU56" s="36">
        <f>SUM(AL57:AL59)</f>
        <v>0</v>
      </c>
    </row>
    <row r="57" spans="1:62" x14ac:dyDescent="0.2">
      <c r="A57" s="4" t="s">
        <v>41</v>
      </c>
      <c r="B57" s="4" t="s">
        <v>578</v>
      </c>
      <c r="C57" s="131" t="s">
        <v>1130</v>
      </c>
      <c r="D57" s="132"/>
      <c r="E57" s="132"/>
      <c r="F57" s="4" t="s">
        <v>1666</v>
      </c>
      <c r="G57" s="68">
        <v>723.15</v>
      </c>
      <c r="H57" s="162">
        <v>0</v>
      </c>
      <c r="I57" s="16">
        <f>G57*AO57</f>
        <v>0</v>
      </c>
      <c r="J57" s="16">
        <f>G57*AP57</f>
        <v>0</v>
      </c>
      <c r="K57" s="16">
        <f>G57*H57</f>
        <v>0</v>
      </c>
      <c r="L57" s="27" t="s">
        <v>1692</v>
      </c>
      <c r="Z57" s="33">
        <f>IF(AQ57="5",BJ57,0)</f>
        <v>0</v>
      </c>
      <c r="AB57" s="33">
        <f>IF(AQ57="1",BH57,0)</f>
        <v>0</v>
      </c>
      <c r="AC57" s="33">
        <f>IF(AQ57="1",BI57,0)</f>
        <v>0</v>
      </c>
      <c r="AD57" s="33">
        <f>IF(AQ57="7",BH57,0)</f>
        <v>0</v>
      </c>
      <c r="AE57" s="33">
        <f>IF(AQ57="7",BI57,0)</f>
        <v>0</v>
      </c>
      <c r="AF57" s="33">
        <f>IF(AQ57="2",BH57,0)</f>
        <v>0</v>
      </c>
      <c r="AG57" s="33">
        <f>IF(AQ57="2",BI57,0)</f>
        <v>0</v>
      </c>
      <c r="AH57" s="33">
        <f>IF(AQ57="0",BJ57,0)</f>
        <v>0</v>
      </c>
      <c r="AI57" s="28"/>
      <c r="AJ57" s="16">
        <f>IF(AN57=0,K57,0)</f>
        <v>0</v>
      </c>
      <c r="AK57" s="16">
        <f>IF(AN57=15,K57,0)</f>
        <v>0</v>
      </c>
      <c r="AL57" s="16">
        <f>IF(AN57=21,K57,0)</f>
        <v>0</v>
      </c>
      <c r="AN57" s="33">
        <v>21</v>
      </c>
      <c r="AO57" s="33">
        <f>H57*0.731740614334471</f>
        <v>0</v>
      </c>
      <c r="AP57" s="33">
        <f>H57*(1-0.731740614334471)</f>
        <v>0</v>
      </c>
      <c r="AQ57" s="27" t="s">
        <v>7</v>
      </c>
      <c r="AV57" s="33">
        <f>AW57+AX57</f>
        <v>0</v>
      </c>
      <c r="AW57" s="33">
        <f>G57*AO57</f>
        <v>0</v>
      </c>
      <c r="AX57" s="33">
        <f>G57*AP57</f>
        <v>0</v>
      </c>
      <c r="AY57" s="34" t="s">
        <v>1712</v>
      </c>
      <c r="AZ57" s="34" t="s">
        <v>1744</v>
      </c>
      <c r="BA57" s="28" t="s">
        <v>1752</v>
      </c>
      <c r="BC57" s="33">
        <f>AW57+AX57</f>
        <v>0</v>
      </c>
      <c r="BD57" s="33">
        <f>H57/(100-BE57)*100</f>
        <v>0</v>
      </c>
      <c r="BE57" s="33">
        <v>0</v>
      </c>
      <c r="BF57" s="33">
        <f>57</f>
        <v>57</v>
      </c>
      <c r="BH57" s="16">
        <f>G57*AO57</f>
        <v>0</v>
      </c>
      <c r="BI57" s="16">
        <f>G57*AP57</f>
        <v>0</v>
      </c>
      <c r="BJ57" s="16">
        <f>G57*H57</f>
        <v>0</v>
      </c>
    </row>
    <row r="58" spans="1:62" x14ac:dyDescent="0.2">
      <c r="A58" s="4" t="s">
        <v>42</v>
      </c>
      <c r="B58" s="4" t="s">
        <v>579</v>
      </c>
      <c r="C58" s="131" t="s">
        <v>1131</v>
      </c>
      <c r="D58" s="132"/>
      <c r="E58" s="132"/>
      <c r="F58" s="4" t="s">
        <v>1663</v>
      </c>
      <c r="G58" s="68">
        <v>395.892</v>
      </c>
      <c r="H58" s="162">
        <v>0</v>
      </c>
      <c r="I58" s="16">
        <f>G58*AO58</f>
        <v>0</v>
      </c>
      <c r="J58" s="16">
        <f>G58*AP58</f>
        <v>0</v>
      </c>
      <c r="K58" s="16">
        <f>G58*H58</f>
        <v>0</v>
      </c>
      <c r="L58" s="27" t="s">
        <v>1692</v>
      </c>
      <c r="Z58" s="33">
        <f>IF(AQ58="5",BJ58,0)</f>
        <v>0</v>
      </c>
      <c r="AB58" s="33">
        <f>IF(AQ58="1",BH58,0)</f>
        <v>0</v>
      </c>
      <c r="AC58" s="33">
        <f>IF(AQ58="1",BI58,0)</f>
        <v>0</v>
      </c>
      <c r="AD58" s="33">
        <f>IF(AQ58="7",BH58,0)</f>
        <v>0</v>
      </c>
      <c r="AE58" s="33">
        <f>IF(AQ58="7",BI58,0)</f>
        <v>0</v>
      </c>
      <c r="AF58" s="33">
        <f>IF(AQ58="2",BH58,0)</f>
        <v>0</v>
      </c>
      <c r="AG58" s="33">
        <f>IF(AQ58="2",BI58,0)</f>
        <v>0</v>
      </c>
      <c r="AH58" s="33">
        <f>IF(AQ58="0",BJ58,0)</f>
        <v>0</v>
      </c>
      <c r="AI58" s="28"/>
      <c r="AJ58" s="16">
        <f>IF(AN58=0,K58,0)</f>
        <v>0</v>
      </c>
      <c r="AK58" s="16">
        <f>IF(AN58=15,K58,0)</f>
        <v>0</v>
      </c>
      <c r="AL58" s="16">
        <f>IF(AN58=21,K58,0)</f>
        <v>0</v>
      </c>
      <c r="AN58" s="33">
        <v>21</v>
      </c>
      <c r="AO58" s="33">
        <f>H58*0.320145638919118</f>
        <v>0</v>
      </c>
      <c r="AP58" s="33">
        <f>H58*(1-0.320145638919118)</f>
        <v>0</v>
      </c>
      <c r="AQ58" s="27" t="s">
        <v>7</v>
      </c>
      <c r="AV58" s="33">
        <f>AW58+AX58</f>
        <v>0</v>
      </c>
      <c r="AW58" s="33">
        <f>G58*AO58</f>
        <v>0</v>
      </c>
      <c r="AX58" s="33">
        <f>G58*AP58</f>
        <v>0</v>
      </c>
      <c r="AY58" s="34" t="s">
        <v>1712</v>
      </c>
      <c r="AZ58" s="34" t="s">
        <v>1744</v>
      </c>
      <c r="BA58" s="28" t="s">
        <v>1752</v>
      </c>
      <c r="BC58" s="33">
        <f>AW58+AX58</f>
        <v>0</v>
      </c>
      <c r="BD58" s="33">
        <f>H58/(100-BE58)*100</f>
        <v>0</v>
      </c>
      <c r="BE58" s="33">
        <v>0</v>
      </c>
      <c r="BF58" s="33">
        <f>58</f>
        <v>58</v>
      </c>
      <c r="BH58" s="16">
        <f>G58*AO58</f>
        <v>0</v>
      </c>
      <c r="BI58" s="16">
        <f>G58*AP58</f>
        <v>0</v>
      </c>
      <c r="BJ58" s="16">
        <f>G58*H58</f>
        <v>0</v>
      </c>
    </row>
    <row r="59" spans="1:62" x14ac:dyDescent="0.2">
      <c r="A59" s="4" t="s">
        <v>43</v>
      </c>
      <c r="B59" s="4" t="s">
        <v>580</v>
      </c>
      <c r="C59" s="131" t="s">
        <v>1132</v>
      </c>
      <c r="D59" s="132"/>
      <c r="E59" s="132"/>
      <c r="F59" s="4" t="s">
        <v>1663</v>
      </c>
      <c r="G59" s="68">
        <v>14.728999999999999</v>
      </c>
      <c r="H59" s="162">
        <v>0</v>
      </c>
      <c r="I59" s="16">
        <f>G59*AO59</f>
        <v>0</v>
      </c>
      <c r="J59" s="16">
        <f>G59*AP59</f>
        <v>0</v>
      </c>
      <c r="K59" s="16">
        <f>G59*H59</f>
        <v>0</v>
      </c>
      <c r="L59" s="27" t="s">
        <v>1692</v>
      </c>
      <c r="Z59" s="33">
        <f>IF(AQ59="5",BJ59,0)</f>
        <v>0</v>
      </c>
      <c r="AB59" s="33">
        <f>IF(AQ59="1",BH59,0)</f>
        <v>0</v>
      </c>
      <c r="AC59" s="33">
        <f>IF(AQ59="1",BI59,0)</f>
        <v>0</v>
      </c>
      <c r="AD59" s="33">
        <f>IF(AQ59="7",BH59,0)</f>
        <v>0</v>
      </c>
      <c r="AE59" s="33">
        <f>IF(AQ59="7",BI59,0)</f>
        <v>0</v>
      </c>
      <c r="AF59" s="33">
        <f>IF(AQ59="2",BH59,0)</f>
        <v>0</v>
      </c>
      <c r="AG59" s="33">
        <f>IF(AQ59="2",BI59,0)</f>
        <v>0</v>
      </c>
      <c r="AH59" s="33">
        <f>IF(AQ59="0",BJ59,0)</f>
        <v>0</v>
      </c>
      <c r="AI59" s="28"/>
      <c r="AJ59" s="16">
        <f>IF(AN59=0,K59,0)</f>
        <v>0</v>
      </c>
      <c r="AK59" s="16">
        <f>IF(AN59=15,K59,0)</f>
        <v>0</v>
      </c>
      <c r="AL59" s="16">
        <f>IF(AN59=21,K59,0)</f>
        <v>0</v>
      </c>
      <c r="AN59" s="33">
        <v>21</v>
      </c>
      <c r="AO59" s="33">
        <f>H59*0.216102661869824</f>
        <v>0</v>
      </c>
      <c r="AP59" s="33">
        <f>H59*(1-0.216102661869824)</f>
        <v>0</v>
      </c>
      <c r="AQ59" s="27" t="s">
        <v>7</v>
      </c>
      <c r="AV59" s="33">
        <f>AW59+AX59</f>
        <v>0</v>
      </c>
      <c r="AW59" s="33">
        <f>G59*AO59</f>
        <v>0</v>
      </c>
      <c r="AX59" s="33">
        <f>G59*AP59</f>
        <v>0</v>
      </c>
      <c r="AY59" s="34" t="s">
        <v>1712</v>
      </c>
      <c r="AZ59" s="34" t="s">
        <v>1744</v>
      </c>
      <c r="BA59" s="28" t="s">
        <v>1752</v>
      </c>
      <c r="BC59" s="33">
        <f>AW59+AX59</f>
        <v>0</v>
      </c>
      <c r="BD59" s="33">
        <f>H59/(100-BE59)*100</f>
        <v>0</v>
      </c>
      <c r="BE59" s="33">
        <v>0</v>
      </c>
      <c r="BF59" s="33">
        <f>59</f>
        <v>59</v>
      </c>
      <c r="BH59" s="16">
        <f>G59*AO59</f>
        <v>0</v>
      </c>
      <c r="BI59" s="16">
        <f>G59*AP59</f>
        <v>0</v>
      </c>
      <c r="BJ59" s="16">
        <f>G59*H59</f>
        <v>0</v>
      </c>
    </row>
    <row r="60" spans="1:62" x14ac:dyDescent="0.2">
      <c r="A60" s="5"/>
      <c r="B60" s="13" t="s">
        <v>68</v>
      </c>
      <c r="C60" s="136" t="s">
        <v>1133</v>
      </c>
      <c r="D60" s="137"/>
      <c r="E60" s="137"/>
      <c r="F60" s="5" t="s">
        <v>6</v>
      </c>
      <c r="G60" s="5" t="s">
        <v>6</v>
      </c>
      <c r="H60" s="163" t="s">
        <v>6</v>
      </c>
      <c r="I60" s="36">
        <f>SUM(I61:I87)</f>
        <v>0</v>
      </c>
      <c r="J60" s="36">
        <f>SUM(J61:J87)</f>
        <v>0</v>
      </c>
      <c r="K60" s="36">
        <f>SUM(K61:K87)</f>
        <v>0</v>
      </c>
      <c r="L60" s="28"/>
      <c r="AI60" s="28"/>
      <c r="AS60" s="36">
        <f>SUM(AJ61:AJ87)</f>
        <v>0</v>
      </c>
      <c r="AT60" s="36">
        <f>SUM(AK61:AK87)</f>
        <v>0</v>
      </c>
      <c r="AU60" s="36">
        <f>SUM(AL61:AL87)</f>
        <v>0</v>
      </c>
    </row>
    <row r="61" spans="1:62" x14ac:dyDescent="0.2">
      <c r="A61" s="4" t="s">
        <v>44</v>
      </c>
      <c r="B61" s="4" t="s">
        <v>581</v>
      </c>
      <c r="C61" s="131" t="s">
        <v>1134</v>
      </c>
      <c r="D61" s="132"/>
      <c r="E61" s="132"/>
      <c r="F61" s="4" t="s">
        <v>1663</v>
      </c>
      <c r="G61" s="68">
        <v>269.666</v>
      </c>
      <c r="H61" s="162">
        <v>0</v>
      </c>
      <c r="I61" s="16">
        <f t="shared" ref="I61:I87" si="44">G61*AO61</f>
        <v>0</v>
      </c>
      <c r="J61" s="16">
        <f t="shared" ref="J61:J87" si="45">G61*AP61</f>
        <v>0</v>
      </c>
      <c r="K61" s="16">
        <f t="shared" ref="K61:K87" si="46">G61*H61</f>
        <v>0</v>
      </c>
      <c r="L61" s="27" t="s">
        <v>1692</v>
      </c>
      <c r="Z61" s="33">
        <f t="shared" ref="Z61:Z87" si="47">IF(AQ61="5",BJ61,0)</f>
        <v>0</v>
      </c>
      <c r="AB61" s="33">
        <f t="shared" ref="AB61:AB87" si="48">IF(AQ61="1",BH61,0)</f>
        <v>0</v>
      </c>
      <c r="AC61" s="33">
        <f t="shared" ref="AC61:AC87" si="49">IF(AQ61="1",BI61,0)</f>
        <v>0</v>
      </c>
      <c r="AD61" s="33">
        <f t="shared" ref="AD61:AD87" si="50">IF(AQ61="7",BH61,0)</f>
        <v>0</v>
      </c>
      <c r="AE61" s="33">
        <f t="shared" ref="AE61:AE87" si="51">IF(AQ61="7",BI61,0)</f>
        <v>0</v>
      </c>
      <c r="AF61" s="33">
        <f t="shared" ref="AF61:AF87" si="52">IF(AQ61="2",BH61,0)</f>
        <v>0</v>
      </c>
      <c r="AG61" s="33">
        <f t="shared" ref="AG61:AG87" si="53">IF(AQ61="2",BI61,0)</f>
        <v>0</v>
      </c>
      <c r="AH61" s="33">
        <f t="shared" ref="AH61:AH87" si="54">IF(AQ61="0",BJ61,0)</f>
        <v>0</v>
      </c>
      <c r="AI61" s="28"/>
      <c r="AJ61" s="16">
        <f t="shared" ref="AJ61:AJ87" si="55">IF(AN61=0,K61,0)</f>
        <v>0</v>
      </c>
      <c r="AK61" s="16">
        <f t="shared" ref="AK61:AK87" si="56">IF(AN61=15,K61,0)</f>
        <v>0</v>
      </c>
      <c r="AL61" s="16">
        <f t="shared" ref="AL61:AL87" si="57">IF(AN61=21,K61,0)</f>
        <v>0</v>
      </c>
      <c r="AN61" s="33">
        <v>21</v>
      </c>
      <c r="AO61" s="33">
        <f>H61*0.320145608015668</f>
        <v>0</v>
      </c>
      <c r="AP61" s="33">
        <f>H61*(1-0.320145608015668)</f>
        <v>0</v>
      </c>
      <c r="AQ61" s="27" t="s">
        <v>7</v>
      </c>
      <c r="AV61" s="33">
        <f t="shared" ref="AV61:AV87" si="58">AW61+AX61</f>
        <v>0</v>
      </c>
      <c r="AW61" s="33">
        <f t="shared" ref="AW61:AW87" si="59">G61*AO61</f>
        <v>0</v>
      </c>
      <c r="AX61" s="33">
        <f t="shared" ref="AX61:AX87" si="60">G61*AP61</f>
        <v>0</v>
      </c>
      <c r="AY61" s="34" t="s">
        <v>1713</v>
      </c>
      <c r="AZ61" s="34" t="s">
        <v>1744</v>
      </c>
      <c r="BA61" s="28" t="s">
        <v>1752</v>
      </c>
      <c r="BC61" s="33">
        <f t="shared" ref="BC61:BC87" si="61">AW61+AX61</f>
        <v>0</v>
      </c>
      <c r="BD61" s="33">
        <f t="shared" ref="BD61:BD87" si="62">H61/(100-BE61)*100</f>
        <v>0</v>
      </c>
      <c r="BE61" s="33">
        <v>0</v>
      </c>
      <c r="BF61" s="33">
        <f>61</f>
        <v>61</v>
      </c>
      <c r="BH61" s="16">
        <f t="shared" ref="BH61:BH87" si="63">G61*AO61</f>
        <v>0</v>
      </c>
      <c r="BI61" s="16">
        <f t="shared" ref="BI61:BI87" si="64">G61*AP61</f>
        <v>0</v>
      </c>
      <c r="BJ61" s="16">
        <f t="shared" ref="BJ61:BJ87" si="65">G61*H61</f>
        <v>0</v>
      </c>
    </row>
    <row r="62" spans="1:62" x14ac:dyDescent="0.2">
      <c r="A62" s="4" t="s">
        <v>45</v>
      </c>
      <c r="B62" s="4" t="s">
        <v>582</v>
      </c>
      <c r="C62" s="131" t="s">
        <v>1135</v>
      </c>
      <c r="D62" s="132"/>
      <c r="E62" s="132"/>
      <c r="F62" s="4" t="s">
        <v>1666</v>
      </c>
      <c r="G62" s="68">
        <v>59.814999999999998</v>
      </c>
      <c r="H62" s="162">
        <v>0</v>
      </c>
      <c r="I62" s="16">
        <f t="shared" si="44"/>
        <v>0</v>
      </c>
      <c r="J62" s="16">
        <f t="shared" si="45"/>
        <v>0</v>
      </c>
      <c r="K62" s="16">
        <f t="shared" si="46"/>
        <v>0</v>
      </c>
      <c r="L62" s="27" t="s">
        <v>1692</v>
      </c>
      <c r="Z62" s="33">
        <f t="shared" si="47"/>
        <v>0</v>
      </c>
      <c r="AB62" s="33">
        <f t="shared" si="48"/>
        <v>0</v>
      </c>
      <c r="AC62" s="33">
        <f t="shared" si="49"/>
        <v>0</v>
      </c>
      <c r="AD62" s="33">
        <f t="shared" si="50"/>
        <v>0</v>
      </c>
      <c r="AE62" s="33">
        <f t="shared" si="51"/>
        <v>0</v>
      </c>
      <c r="AF62" s="33">
        <f t="shared" si="52"/>
        <v>0</v>
      </c>
      <c r="AG62" s="33">
        <f t="shared" si="53"/>
        <v>0</v>
      </c>
      <c r="AH62" s="33">
        <f t="shared" si="54"/>
        <v>0</v>
      </c>
      <c r="AI62" s="28"/>
      <c r="AJ62" s="16">
        <f t="shared" si="55"/>
        <v>0</v>
      </c>
      <c r="AK62" s="16">
        <f t="shared" si="56"/>
        <v>0</v>
      </c>
      <c r="AL62" s="16">
        <f t="shared" si="57"/>
        <v>0</v>
      </c>
      <c r="AN62" s="33">
        <v>21</v>
      </c>
      <c r="AO62" s="33">
        <f>H62*0.162637614678899</f>
        <v>0</v>
      </c>
      <c r="AP62" s="33">
        <f>H62*(1-0.162637614678899)</f>
        <v>0</v>
      </c>
      <c r="AQ62" s="27" t="s">
        <v>7</v>
      </c>
      <c r="AV62" s="33">
        <f t="shared" si="58"/>
        <v>0</v>
      </c>
      <c r="AW62" s="33">
        <f t="shared" si="59"/>
        <v>0</v>
      </c>
      <c r="AX62" s="33">
        <f t="shared" si="60"/>
        <v>0</v>
      </c>
      <c r="AY62" s="34" t="s">
        <v>1713</v>
      </c>
      <c r="AZ62" s="34" t="s">
        <v>1744</v>
      </c>
      <c r="BA62" s="28" t="s">
        <v>1752</v>
      </c>
      <c r="BC62" s="33">
        <f t="shared" si="61"/>
        <v>0</v>
      </c>
      <c r="BD62" s="33">
        <f t="shared" si="62"/>
        <v>0</v>
      </c>
      <c r="BE62" s="33">
        <v>0</v>
      </c>
      <c r="BF62" s="33">
        <f>62</f>
        <v>62</v>
      </c>
      <c r="BH62" s="16">
        <f t="shared" si="63"/>
        <v>0</v>
      </c>
      <c r="BI62" s="16">
        <f t="shared" si="64"/>
        <v>0</v>
      </c>
      <c r="BJ62" s="16">
        <f t="shared" si="65"/>
        <v>0</v>
      </c>
    </row>
    <row r="63" spans="1:62" x14ac:dyDescent="0.2">
      <c r="A63" s="4" t="s">
        <v>46</v>
      </c>
      <c r="B63" s="4" t="s">
        <v>583</v>
      </c>
      <c r="C63" s="131" t="s">
        <v>1136</v>
      </c>
      <c r="D63" s="132"/>
      <c r="E63" s="132"/>
      <c r="F63" s="4" t="s">
        <v>1663</v>
      </c>
      <c r="G63" s="68">
        <v>688.82100000000003</v>
      </c>
      <c r="H63" s="162">
        <v>0</v>
      </c>
      <c r="I63" s="16">
        <f t="shared" si="44"/>
        <v>0</v>
      </c>
      <c r="J63" s="16">
        <f t="shared" si="45"/>
        <v>0</v>
      </c>
      <c r="K63" s="16">
        <f t="shared" si="46"/>
        <v>0</v>
      </c>
      <c r="L63" s="27" t="s">
        <v>1692</v>
      </c>
      <c r="Z63" s="33">
        <f t="shared" si="47"/>
        <v>0</v>
      </c>
      <c r="AB63" s="33">
        <f t="shared" si="48"/>
        <v>0</v>
      </c>
      <c r="AC63" s="33">
        <f t="shared" si="49"/>
        <v>0</v>
      </c>
      <c r="AD63" s="33">
        <f t="shared" si="50"/>
        <v>0</v>
      </c>
      <c r="AE63" s="33">
        <f t="shared" si="51"/>
        <v>0</v>
      </c>
      <c r="AF63" s="33">
        <f t="shared" si="52"/>
        <v>0</v>
      </c>
      <c r="AG63" s="33">
        <f t="shared" si="53"/>
        <v>0</v>
      </c>
      <c r="AH63" s="33">
        <f t="shared" si="54"/>
        <v>0</v>
      </c>
      <c r="AI63" s="28"/>
      <c r="AJ63" s="16">
        <f t="shared" si="55"/>
        <v>0</v>
      </c>
      <c r="AK63" s="16">
        <f t="shared" si="56"/>
        <v>0</v>
      </c>
      <c r="AL63" s="16">
        <f t="shared" si="57"/>
        <v>0</v>
      </c>
      <c r="AN63" s="33">
        <v>21</v>
      </c>
      <c r="AO63" s="33">
        <f>H63*0.578269343325545</f>
        <v>0</v>
      </c>
      <c r="AP63" s="33">
        <f>H63*(1-0.578269343325545)</f>
        <v>0</v>
      </c>
      <c r="AQ63" s="27" t="s">
        <v>7</v>
      </c>
      <c r="AV63" s="33">
        <f t="shared" si="58"/>
        <v>0</v>
      </c>
      <c r="AW63" s="33">
        <f t="shared" si="59"/>
        <v>0</v>
      </c>
      <c r="AX63" s="33">
        <f t="shared" si="60"/>
        <v>0</v>
      </c>
      <c r="AY63" s="34" t="s">
        <v>1713</v>
      </c>
      <c r="AZ63" s="34" t="s">
        <v>1744</v>
      </c>
      <c r="BA63" s="28" t="s">
        <v>1752</v>
      </c>
      <c r="BC63" s="33">
        <f t="shared" si="61"/>
        <v>0</v>
      </c>
      <c r="BD63" s="33">
        <f t="shared" si="62"/>
        <v>0</v>
      </c>
      <c r="BE63" s="33">
        <v>0</v>
      </c>
      <c r="BF63" s="33">
        <f>63</f>
        <v>63</v>
      </c>
      <c r="BH63" s="16">
        <f t="shared" si="63"/>
        <v>0</v>
      </c>
      <c r="BI63" s="16">
        <f t="shared" si="64"/>
        <v>0</v>
      </c>
      <c r="BJ63" s="16">
        <f t="shared" si="65"/>
        <v>0</v>
      </c>
    </row>
    <row r="64" spans="1:62" x14ac:dyDescent="0.2">
      <c r="A64" s="4" t="s">
        <v>47</v>
      </c>
      <c r="B64" s="4" t="s">
        <v>584</v>
      </c>
      <c r="C64" s="131" t="s">
        <v>1137</v>
      </c>
      <c r="D64" s="132"/>
      <c r="E64" s="132"/>
      <c r="F64" s="4" t="s">
        <v>1663</v>
      </c>
      <c r="G64" s="68">
        <v>56.920999999999999</v>
      </c>
      <c r="H64" s="162">
        <v>0</v>
      </c>
      <c r="I64" s="16">
        <f t="shared" si="44"/>
        <v>0</v>
      </c>
      <c r="J64" s="16">
        <f t="shared" si="45"/>
        <v>0</v>
      </c>
      <c r="K64" s="16">
        <f t="shared" si="46"/>
        <v>0</v>
      </c>
      <c r="L64" s="27" t="s">
        <v>1692</v>
      </c>
      <c r="Z64" s="33">
        <f t="shared" si="47"/>
        <v>0</v>
      </c>
      <c r="AB64" s="33">
        <f t="shared" si="48"/>
        <v>0</v>
      </c>
      <c r="AC64" s="33">
        <f t="shared" si="49"/>
        <v>0</v>
      </c>
      <c r="AD64" s="33">
        <f t="shared" si="50"/>
        <v>0</v>
      </c>
      <c r="AE64" s="33">
        <f t="shared" si="51"/>
        <v>0</v>
      </c>
      <c r="AF64" s="33">
        <f t="shared" si="52"/>
        <v>0</v>
      </c>
      <c r="AG64" s="33">
        <f t="shared" si="53"/>
        <v>0</v>
      </c>
      <c r="AH64" s="33">
        <f t="shared" si="54"/>
        <v>0</v>
      </c>
      <c r="AI64" s="28"/>
      <c r="AJ64" s="16">
        <f t="shared" si="55"/>
        <v>0</v>
      </c>
      <c r="AK64" s="16">
        <f t="shared" si="56"/>
        <v>0</v>
      </c>
      <c r="AL64" s="16">
        <f t="shared" si="57"/>
        <v>0</v>
      </c>
      <c r="AN64" s="33">
        <v>21</v>
      </c>
      <c r="AO64" s="33">
        <f>H64*0.578263974156412</f>
        <v>0</v>
      </c>
      <c r="AP64" s="33">
        <f>H64*(1-0.578263974156412)</f>
        <v>0</v>
      </c>
      <c r="AQ64" s="27" t="s">
        <v>7</v>
      </c>
      <c r="AV64" s="33">
        <f t="shared" si="58"/>
        <v>0</v>
      </c>
      <c r="AW64" s="33">
        <f t="shared" si="59"/>
        <v>0</v>
      </c>
      <c r="AX64" s="33">
        <f t="shared" si="60"/>
        <v>0</v>
      </c>
      <c r="AY64" s="34" t="s">
        <v>1713</v>
      </c>
      <c r="AZ64" s="34" t="s">
        <v>1744</v>
      </c>
      <c r="BA64" s="28" t="s">
        <v>1752</v>
      </c>
      <c r="BC64" s="33">
        <f t="shared" si="61"/>
        <v>0</v>
      </c>
      <c r="BD64" s="33">
        <f t="shared" si="62"/>
        <v>0</v>
      </c>
      <c r="BE64" s="33">
        <v>0</v>
      </c>
      <c r="BF64" s="33">
        <f>64</f>
        <v>64</v>
      </c>
      <c r="BH64" s="16">
        <f t="shared" si="63"/>
        <v>0</v>
      </c>
      <c r="BI64" s="16">
        <f t="shared" si="64"/>
        <v>0</v>
      </c>
      <c r="BJ64" s="16">
        <f t="shared" si="65"/>
        <v>0</v>
      </c>
    </row>
    <row r="65" spans="1:62" x14ac:dyDescent="0.2">
      <c r="A65" s="4" t="s">
        <v>48</v>
      </c>
      <c r="B65" s="4" t="s">
        <v>585</v>
      </c>
      <c r="C65" s="131" t="s">
        <v>1138</v>
      </c>
      <c r="D65" s="132"/>
      <c r="E65" s="132"/>
      <c r="F65" s="4" t="s">
        <v>1666</v>
      </c>
      <c r="G65" s="68">
        <v>100</v>
      </c>
      <c r="H65" s="162">
        <v>0</v>
      </c>
      <c r="I65" s="16">
        <f t="shared" si="44"/>
        <v>0</v>
      </c>
      <c r="J65" s="16">
        <f t="shared" si="45"/>
        <v>0</v>
      </c>
      <c r="K65" s="16">
        <f t="shared" si="46"/>
        <v>0</v>
      </c>
      <c r="L65" s="27" t="s">
        <v>1692</v>
      </c>
      <c r="Z65" s="33">
        <f t="shared" si="47"/>
        <v>0</v>
      </c>
      <c r="AB65" s="33">
        <f t="shared" si="48"/>
        <v>0</v>
      </c>
      <c r="AC65" s="33">
        <f t="shared" si="49"/>
        <v>0</v>
      </c>
      <c r="AD65" s="33">
        <f t="shared" si="50"/>
        <v>0</v>
      </c>
      <c r="AE65" s="33">
        <f t="shared" si="51"/>
        <v>0</v>
      </c>
      <c r="AF65" s="33">
        <f t="shared" si="52"/>
        <v>0</v>
      </c>
      <c r="AG65" s="33">
        <f t="shared" si="53"/>
        <v>0</v>
      </c>
      <c r="AH65" s="33">
        <f t="shared" si="54"/>
        <v>0</v>
      </c>
      <c r="AI65" s="28"/>
      <c r="AJ65" s="16">
        <f t="shared" si="55"/>
        <v>0</v>
      </c>
      <c r="AK65" s="16">
        <f t="shared" si="56"/>
        <v>0</v>
      </c>
      <c r="AL65" s="16">
        <f t="shared" si="57"/>
        <v>0</v>
      </c>
      <c r="AN65" s="33">
        <v>21</v>
      </c>
      <c r="AO65" s="33">
        <f>H65*0.221764455178292</f>
        <v>0</v>
      </c>
      <c r="AP65" s="33">
        <f>H65*(1-0.221764455178292)</f>
        <v>0</v>
      </c>
      <c r="AQ65" s="27" t="s">
        <v>7</v>
      </c>
      <c r="AV65" s="33">
        <f t="shared" si="58"/>
        <v>0</v>
      </c>
      <c r="AW65" s="33">
        <f t="shared" si="59"/>
        <v>0</v>
      </c>
      <c r="AX65" s="33">
        <f t="shared" si="60"/>
        <v>0</v>
      </c>
      <c r="AY65" s="34" t="s">
        <v>1713</v>
      </c>
      <c r="AZ65" s="34" t="s">
        <v>1744</v>
      </c>
      <c r="BA65" s="28" t="s">
        <v>1752</v>
      </c>
      <c r="BC65" s="33">
        <f t="shared" si="61"/>
        <v>0</v>
      </c>
      <c r="BD65" s="33">
        <f t="shared" si="62"/>
        <v>0</v>
      </c>
      <c r="BE65" s="33">
        <v>0</v>
      </c>
      <c r="BF65" s="33">
        <f>65</f>
        <v>65</v>
      </c>
      <c r="BH65" s="16">
        <f t="shared" si="63"/>
        <v>0</v>
      </c>
      <c r="BI65" s="16">
        <f t="shared" si="64"/>
        <v>0</v>
      </c>
      <c r="BJ65" s="16">
        <f t="shared" si="65"/>
        <v>0</v>
      </c>
    </row>
    <row r="66" spans="1:62" x14ac:dyDescent="0.2">
      <c r="A66" s="4" t="s">
        <v>49</v>
      </c>
      <c r="B66" s="4" t="s">
        <v>586</v>
      </c>
      <c r="C66" s="131" t="s">
        <v>1139</v>
      </c>
      <c r="D66" s="132"/>
      <c r="E66" s="132"/>
      <c r="F66" s="4" t="s">
        <v>1666</v>
      </c>
      <c r="G66" s="68">
        <v>164.6</v>
      </c>
      <c r="H66" s="162">
        <v>0</v>
      </c>
      <c r="I66" s="16">
        <f t="shared" si="44"/>
        <v>0</v>
      </c>
      <c r="J66" s="16">
        <f t="shared" si="45"/>
        <v>0</v>
      </c>
      <c r="K66" s="16">
        <f t="shared" si="46"/>
        <v>0</v>
      </c>
      <c r="L66" s="27" t="s">
        <v>1692</v>
      </c>
      <c r="Z66" s="33">
        <f t="shared" si="47"/>
        <v>0</v>
      </c>
      <c r="AB66" s="33">
        <f t="shared" si="48"/>
        <v>0</v>
      </c>
      <c r="AC66" s="33">
        <f t="shared" si="49"/>
        <v>0</v>
      </c>
      <c r="AD66" s="33">
        <f t="shared" si="50"/>
        <v>0</v>
      </c>
      <c r="AE66" s="33">
        <f t="shared" si="51"/>
        <v>0</v>
      </c>
      <c r="AF66" s="33">
        <f t="shared" si="52"/>
        <v>0</v>
      </c>
      <c r="AG66" s="33">
        <f t="shared" si="53"/>
        <v>0</v>
      </c>
      <c r="AH66" s="33">
        <f t="shared" si="54"/>
        <v>0</v>
      </c>
      <c r="AI66" s="28"/>
      <c r="AJ66" s="16">
        <f t="shared" si="55"/>
        <v>0</v>
      </c>
      <c r="AK66" s="16">
        <f t="shared" si="56"/>
        <v>0</v>
      </c>
      <c r="AL66" s="16">
        <f t="shared" si="57"/>
        <v>0</v>
      </c>
      <c r="AN66" s="33">
        <v>21</v>
      </c>
      <c r="AO66" s="33">
        <f>H66*0.469590800650492</f>
        <v>0</v>
      </c>
      <c r="AP66" s="33">
        <f>H66*(1-0.469590800650492)</f>
        <v>0</v>
      </c>
      <c r="AQ66" s="27" t="s">
        <v>7</v>
      </c>
      <c r="AV66" s="33">
        <f t="shared" si="58"/>
        <v>0</v>
      </c>
      <c r="AW66" s="33">
        <f t="shared" si="59"/>
        <v>0</v>
      </c>
      <c r="AX66" s="33">
        <f t="shared" si="60"/>
        <v>0</v>
      </c>
      <c r="AY66" s="34" t="s">
        <v>1713</v>
      </c>
      <c r="AZ66" s="34" t="s">
        <v>1744</v>
      </c>
      <c r="BA66" s="28" t="s">
        <v>1752</v>
      </c>
      <c r="BC66" s="33">
        <f t="shared" si="61"/>
        <v>0</v>
      </c>
      <c r="BD66" s="33">
        <f t="shared" si="62"/>
        <v>0</v>
      </c>
      <c r="BE66" s="33">
        <v>0</v>
      </c>
      <c r="BF66" s="33">
        <f>66</f>
        <v>66</v>
      </c>
      <c r="BH66" s="16">
        <f t="shared" si="63"/>
        <v>0</v>
      </c>
      <c r="BI66" s="16">
        <f t="shared" si="64"/>
        <v>0</v>
      </c>
      <c r="BJ66" s="16">
        <f t="shared" si="65"/>
        <v>0</v>
      </c>
    </row>
    <row r="67" spans="1:62" x14ac:dyDescent="0.2">
      <c r="A67" s="4" t="s">
        <v>50</v>
      </c>
      <c r="B67" s="4" t="s">
        <v>587</v>
      </c>
      <c r="C67" s="131" t="s">
        <v>1140</v>
      </c>
      <c r="D67" s="132"/>
      <c r="E67" s="132"/>
      <c r="F67" s="4" t="s">
        <v>1666</v>
      </c>
      <c r="G67" s="68">
        <v>164.6</v>
      </c>
      <c r="H67" s="162">
        <v>0</v>
      </c>
      <c r="I67" s="16">
        <f t="shared" si="44"/>
        <v>0</v>
      </c>
      <c r="J67" s="16">
        <f t="shared" si="45"/>
        <v>0</v>
      </c>
      <c r="K67" s="16">
        <f t="shared" si="46"/>
        <v>0</v>
      </c>
      <c r="L67" s="27" t="s">
        <v>1692</v>
      </c>
      <c r="Z67" s="33">
        <f t="shared" si="47"/>
        <v>0</v>
      </c>
      <c r="AB67" s="33">
        <f t="shared" si="48"/>
        <v>0</v>
      </c>
      <c r="AC67" s="33">
        <f t="shared" si="49"/>
        <v>0</v>
      </c>
      <c r="AD67" s="33">
        <f t="shared" si="50"/>
        <v>0</v>
      </c>
      <c r="AE67" s="33">
        <f t="shared" si="51"/>
        <v>0</v>
      </c>
      <c r="AF67" s="33">
        <f t="shared" si="52"/>
        <v>0</v>
      </c>
      <c r="AG67" s="33">
        <f t="shared" si="53"/>
        <v>0</v>
      </c>
      <c r="AH67" s="33">
        <f t="shared" si="54"/>
        <v>0</v>
      </c>
      <c r="AI67" s="28"/>
      <c r="AJ67" s="16">
        <f t="shared" si="55"/>
        <v>0</v>
      </c>
      <c r="AK67" s="16">
        <f t="shared" si="56"/>
        <v>0</v>
      </c>
      <c r="AL67" s="16">
        <f t="shared" si="57"/>
        <v>0</v>
      </c>
      <c r="AN67" s="33">
        <v>21</v>
      </c>
      <c r="AO67" s="33">
        <f>H67*0.48785498489426</f>
        <v>0</v>
      </c>
      <c r="AP67" s="33">
        <f>H67*(1-0.48785498489426)</f>
        <v>0</v>
      </c>
      <c r="AQ67" s="27" t="s">
        <v>7</v>
      </c>
      <c r="AV67" s="33">
        <f t="shared" si="58"/>
        <v>0</v>
      </c>
      <c r="AW67" s="33">
        <f t="shared" si="59"/>
        <v>0</v>
      </c>
      <c r="AX67" s="33">
        <f t="shared" si="60"/>
        <v>0</v>
      </c>
      <c r="AY67" s="34" t="s">
        <v>1713</v>
      </c>
      <c r="AZ67" s="34" t="s">
        <v>1744</v>
      </c>
      <c r="BA67" s="28" t="s">
        <v>1752</v>
      </c>
      <c r="BC67" s="33">
        <f t="shared" si="61"/>
        <v>0</v>
      </c>
      <c r="BD67" s="33">
        <f t="shared" si="62"/>
        <v>0</v>
      </c>
      <c r="BE67" s="33">
        <v>0</v>
      </c>
      <c r="BF67" s="33">
        <f>67</f>
        <v>67</v>
      </c>
      <c r="BH67" s="16">
        <f t="shared" si="63"/>
        <v>0</v>
      </c>
      <c r="BI67" s="16">
        <f t="shared" si="64"/>
        <v>0</v>
      </c>
      <c r="BJ67" s="16">
        <f t="shared" si="65"/>
        <v>0</v>
      </c>
    </row>
    <row r="68" spans="1:62" x14ac:dyDescent="0.2">
      <c r="A68" s="4" t="s">
        <v>51</v>
      </c>
      <c r="B68" s="4" t="s">
        <v>588</v>
      </c>
      <c r="C68" s="131" t="s">
        <v>1141</v>
      </c>
      <c r="D68" s="132"/>
      <c r="E68" s="132"/>
      <c r="F68" s="4" t="s">
        <v>1666</v>
      </c>
      <c r="G68" s="68">
        <v>385.13499999999999</v>
      </c>
      <c r="H68" s="162">
        <v>0</v>
      </c>
      <c r="I68" s="16">
        <f t="shared" si="44"/>
        <v>0</v>
      </c>
      <c r="J68" s="16">
        <f t="shared" si="45"/>
        <v>0</v>
      </c>
      <c r="K68" s="16">
        <f t="shared" si="46"/>
        <v>0</v>
      </c>
      <c r="L68" s="27" t="s">
        <v>1692</v>
      </c>
      <c r="Z68" s="33">
        <f t="shared" si="47"/>
        <v>0</v>
      </c>
      <c r="AB68" s="33">
        <f t="shared" si="48"/>
        <v>0</v>
      </c>
      <c r="AC68" s="33">
        <f t="shared" si="49"/>
        <v>0</v>
      </c>
      <c r="AD68" s="33">
        <f t="shared" si="50"/>
        <v>0</v>
      </c>
      <c r="AE68" s="33">
        <f t="shared" si="51"/>
        <v>0</v>
      </c>
      <c r="AF68" s="33">
        <f t="shared" si="52"/>
        <v>0</v>
      </c>
      <c r="AG68" s="33">
        <f t="shared" si="53"/>
        <v>0</v>
      </c>
      <c r="AH68" s="33">
        <f t="shared" si="54"/>
        <v>0</v>
      </c>
      <c r="AI68" s="28"/>
      <c r="AJ68" s="16">
        <f t="shared" si="55"/>
        <v>0</v>
      </c>
      <c r="AK68" s="16">
        <f t="shared" si="56"/>
        <v>0</v>
      </c>
      <c r="AL68" s="16">
        <f t="shared" si="57"/>
        <v>0</v>
      </c>
      <c r="AN68" s="33">
        <v>21</v>
      </c>
      <c r="AO68" s="33">
        <f>H68*0.725765737470795</f>
        <v>0</v>
      </c>
      <c r="AP68" s="33">
        <f>H68*(1-0.725765737470795)</f>
        <v>0</v>
      </c>
      <c r="AQ68" s="27" t="s">
        <v>7</v>
      </c>
      <c r="AV68" s="33">
        <f t="shared" si="58"/>
        <v>0</v>
      </c>
      <c r="AW68" s="33">
        <f t="shared" si="59"/>
        <v>0</v>
      </c>
      <c r="AX68" s="33">
        <f t="shared" si="60"/>
        <v>0</v>
      </c>
      <c r="AY68" s="34" t="s">
        <v>1713</v>
      </c>
      <c r="AZ68" s="34" t="s">
        <v>1744</v>
      </c>
      <c r="BA68" s="28" t="s">
        <v>1752</v>
      </c>
      <c r="BC68" s="33">
        <f t="shared" si="61"/>
        <v>0</v>
      </c>
      <c r="BD68" s="33">
        <f t="shared" si="62"/>
        <v>0</v>
      </c>
      <c r="BE68" s="33">
        <v>0</v>
      </c>
      <c r="BF68" s="33">
        <f>68</f>
        <v>68</v>
      </c>
      <c r="BH68" s="16">
        <f t="shared" si="63"/>
        <v>0</v>
      </c>
      <c r="BI68" s="16">
        <f t="shared" si="64"/>
        <v>0</v>
      </c>
      <c r="BJ68" s="16">
        <f t="shared" si="65"/>
        <v>0</v>
      </c>
    </row>
    <row r="69" spans="1:62" x14ac:dyDescent="0.2">
      <c r="A69" s="4" t="s">
        <v>52</v>
      </c>
      <c r="B69" s="4" t="s">
        <v>589</v>
      </c>
      <c r="C69" s="131" t="s">
        <v>1142</v>
      </c>
      <c r="D69" s="132"/>
      <c r="E69" s="132"/>
      <c r="F69" s="4" t="s">
        <v>1666</v>
      </c>
      <c r="G69" s="68">
        <v>407.51499999999999</v>
      </c>
      <c r="H69" s="162">
        <v>0</v>
      </c>
      <c r="I69" s="16">
        <f t="shared" si="44"/>
        <v>0</v>
      </c>
      <c r="J69" s="16">
        <f t="shared" si="45"/>
        <v>0</v>
      </c>
      <c r="K69" s="16">
        <f t="shared" si="46"/>
        <v>0</v>
      </c>
      <c r="L69" s="27" t="s">
        <v>1692</v>
      </c>
      <c r="Z69" s="33">
        <f t="shared" si="47"/>
        <v>0</v>
      </c>
      <c r="AB69" s="33">
        <f t="shared" si="48"/>
        <v>0</v>
      </c>
      <c r="AC69" s="33">
        <f t="shared" si="49"/>
        <v>0</v>
      </c>
      <c r="AD69" s="33">
        <f t="shared" si="50"/>
        <v>0</v>
      </c>
      <c r="AE69" s="33">
        <f t="shared" si="51"/>
        <v>0</v>
      </c>
      <c r="AF69" s="33">
        <f t="shared" si="52"/>
        <v>0</v>
      </c>
      <c r="AG69" s="33">
        <f t="shared" si="53"/>
        <v>0</v>
      </c>
      <c r="AH69" s="33">
        <f t="shared" si="54"/>
        <v>0</v>
      </c>
      <c r="AI69" s="28"/>
      <c r="AJ69" s="16">
        <f t="shared" si="55"/>
        <v>0</v>
      </c>
      <c r="AK69" s="16">
        <f t="shared" si="56"/>
        <v>0</v>
      </c>
      <c r="AL69" s="16">
        <f t="shared" si="57"/>
        <v>0</v>
      </c>
      <c r="AN69" s="33">
        <v>21</v>
      </c>
      <c r="AO69" s="33">
        <f>H69*0.725765739024705</f>
        <v>0</v>
      </c>
      <c r="AP69" s="33">
        <f>H69*(1-0.725765739024705)</f>
        <v>0</v>
      </c>
      <c r="AQ69" s="27" t="s">
        <v>7</v>
      </c>
      <c r="AV69" s="33">
        <f t="shared" si="58"/>
        <v>0</v>
      </c>
      <c r="AW69" s="33">
        <f t="shared" si="59"/>
        <v>0</v>
      </c>
      <c r="AX69" s="33">
        <f t="shared" si="60"/>
        <v>0</v>
      </c>
      <c r="AY69" s="34" t="s">
        <v>1713</v>
      </c>
      <c r="AZ69" s="34" t="s">
        <v>1744</v>
      </c>
      <c r="BA69" s="28" t="s">
        <v>1752</v>
      </c>
      <c r="BC69" s="33">
        <f t="shared" si="61"/>
        <v>0</v>
      </c>
      <c r="BD69" s="33">
        <f t="shared" si="62"/>
        <v>0</v>
      </c>
      <c r="BE69" s="33">
        <v>0</v>
      </c>
      <c r="BF69" s="33">
        <f>69</f>
        <v>69</v>
      </c>
      <c r="BH69" s="16">
        <f t="shared" si="63"/>
        <v>0</v>
      </c>
      <c r="BI69" s="16">
        <f t="shared" si="64"/>
        <v>0</v>
      </c>
      <c r="BJ69" s="16">
        <f t="shared" si="65"/>
        <v>0</v>
      </c>
    </row>
    <row r="70" spans="1:62" x14ac:dyDescent="0.2">
      <c r="A70" s="4" t="s">
        <v>53</v>
      </c>
      <c r="B70" s="4" t="s">
        <v>590</v>
      </c>
      <c r="C70" s="131" t="s">
        <v>1143</v>
      </c>
      <c r="D70" s="132"/>
      <c r="E70" s="132"/>
      <c r="F70" s="4" t="s">
        <v>1663</v>
      </c>
      <c r="G70" s="68">
        <v>56.920999999999999</v>
      </c>
      <c r="H70" s="162">
        <v>0</v>
      </c>
      <c r="I70" s="16">
        <f t="shared" si="44"/>
        <v>0</v>
      </c>
      <c r="J70" s="16">
        <f t="shared" si="45"/>
        <v>0</v>
      </c>
      <c r="K70" s="16">
        <f t="shared" si="46"/>
        <v>0</v>
      </c>
      <c r="L70" s="27" t="s">
        <v>1692</v>
      </c>
      <c r="Z70" s="33">
        <f t="shared" si="47"/>
        <v>0</v>
      </c>
      <c r="AB70" s="33">
        <f t="shared" si="48"/>
        <v>0</v>
      </c>
      <c r="AC70" s="33">
        <f t="shared" si="49"/>
        <v>0</v>
      </c>
      <c r="AD70" s="33">
        <f t="shared" si="50"/>
        <v>0</v>
      </c>
      <c r="AE70" s="33">
        <f t="shared" si="51"/>
        <v>0</v>
      </c>
      <c r="AF70" s="33">
        <f t="shared" si="52"/>
        <v>0</v>
      </c>
      <c r="AG70" s="33">
        <f t="shared" si="53"/>
        <v>0</v>
      </c>
      <c r="AH70" s="33">
        <f t="shared" si="54"/>
        <v>0</v>
      </c>
      <c r="AI70" s="28"/>
      <c r="AJ70" s="16">
        <f t="shared" si="55"/>
        <v>0</v>
      </c>
      <c r="AK70" s="16">
        <f t="shared" si="56"/>
        <v>0</v>
      </c>
      <c r="AL70" s="16">
        <f t="shared" si="57"/>
        <v>0</v>
      </c>
      <c r="AN70" s="33">
        <v>21</v>
      </c>
      <c r="AO70" s="33">
        <f>H70*0.729600877964217</f>
        <v>0</v>
      </c>
      <c r="AP70" s="33">
        <f>H70*(1-0.729600877964217)</f>
        <v>0</v>
      </c>
      <c r="AQ70" s="27" t="s">
        <v>7</v>
      </c>
      <c r="AV70" s="33">
        <f t="shared" si="58"/>
        <v>0</v>
      </c>
      <c r="AW70" s="33">
        <f t="shared" si="59"/>
        <v>0</v>
      </c>
      <c r="AX70" s="33">
        <f t="shared" si="60"/>
        <v>0</v>
      </c>
      <c r="AY70" s="34" t="s">
        <v>1713</v>
      </c>
      <c r="AZ70" s="34" t="s">
        <v>1744</v>
      </c>
      <c r="BA70" s="28" t="s">
        <v>1752</v>
      </c>
      <c r="BC70" s="33">
        <f t="shared" si="61"/>
        <v>0</v>
      </c>
      <c r="BD70" s="33">
        <f t="shared" si="62"/>
        <v>0</v>
      </c>
      <c r="BE70" s="33">
        <v>0</v>
      </c>
      <c r="BF70" s="33">
        <f>70</f>
        <v>70</v>
      </c>
      <c r="BH70" s="16">
        <f t="shared" si="63"/>
        <v>0</v>
      </c>
      <c r="BI70" s="16">
        <f t="shared" si="64"/>
        <v>0</v>
      </c>
      <c r="BJ70" s="16">
        <f t="shared" si="65"/>
        <v>0</v>
      </c>
    </row>
    <row r="71" spans="1:62" x14ac:dyDescent="0.2">
      <c r="A71" s="4" t="s">
        <v>54</v>
      </c>
      <c r="B71" s="4" t="s">
        <v>591</v>
      </c>
      <c r="C71" s="131" t="s">
        <v>1144</v>
      </c>
      <c r="D71" s="132"/>
      <c r="E71" s="132"/>
      <c r="F71" s="4" t="s">
        <v>1663</v>
      </c>
      <c r="G71" s="68">
        <v>79.632999999999996</v>
      </c>
      <c r="H71" s="162">
        <v>0</v>
      </c>
      <c r="I71" s="16">
        <f t="shared" si="44"/>
        <v>0</v>
      </c>
      <c r="J71" s="16">
        <f t="shared" si="45"/>
        <v>0</v>
      </c>
      <c r="K71" s="16">
        <f t="shared" si="46"/>
        <v>0</v>
      </c>
      <c r="L71" s="27" t="s">
        <v>1692</v>
      </c>
      <c r="Z71" s="33">
        <f t="shared" si="47"/>
        <v>0</v>
      </c>
      <c r="AB71" s="33">
        <f t="shared" si="48"/>
        <v>0</v>
      </c>
      <c r="AC71" s="33">
        <f t="shared" si="49"/>
        <v>0</v>
      </c>
      <c r="AD71" s="33">
        <f t="shared" si="50"/>
        <v>0</v>
      </c>
      <c r="AE71" s="33">
        <f t="shared" si="51"/>
        <v>0</v>
      </c>
      <c r="AF71" s="33">
        <f t="shared" si="52"/>
        <v>0</v>
      </c>
      <c r="AG71" s="33">
        <f t="shared" si="53"/>
        <v>0</v>
      </c>
      <c r="AH71" s="33">
        <f t="shared" si="54"/>
        <v>0</v>
      </c>
      <c r="AI71" s="28"/>
      <c r="AJ71" s="16">
        <f t="shared" si="55"/>
        <v>0</v>
      </c>
      <c r="AK71" s="16">
        <f t="shared" si="56"/>
        <v>0</v>
      </c>
      <c r="AL71" s="16">
        <f t="shared" si="57"/>
        <v>0</v>
      </c>
      <c r="AN71" s="33">
        <v>21</v>
      </c>
      <c r="AO71" s="33">
        <f>H71*0.631046810125514</f>
        <v>0</v>
      </c>
      <c r="AP71" s="33">
        <f>H71*(1-0.631046810125514)</f>
        <v>0</v>
      </c>
      <c r="AQ71" s="27" t="s">
        <v>7</v>
      </c>
      <c r="AV71" s="33">
        <f t="shared" si="58"/>
        <v>0</v>
      </c>
      <c r="AW71" s="33">
        <f t="shared" si="59"/>
        <v>0</v>
      </c>
      <c r="AX71" s="33">
        <f t="shared" si="60"/>
        <v>0</v>
      </c>
      <c r="AY71" s="34" t="s">
        <v>1713</v>
      </c>
      <c r="AZ71" s="34" t="s">
        <v>1744</v>
      </c>
      <c r="BA71" s="28" t="s">
        <v>1752</v>
      </c>
      <c r="BC71" s="33">
        <f t="shared" si="61"/>
        <v>0</v>
      </c>
      <c r="BD71" s="33">
        <f t="shared" si="62"/>
        <v>0</v>
      </c>
      <c r="BE71" s="33">
        <v>0</v>
      </c>
      <c r="BF71" s="33">
        <f>71</f>
        <v>71</v>
      </c>
      <c r="BH71" s="16">
        <f t="shared" si="63"/>
        <v>0</v>
      </c>
      <c r="BI71" s="16">
        <f t="shared" si="64"/>
        <v>0</v>
      </c>
      <c r="BJ71" s="16">
        <f t="shared" si="65"/>
        <v>0</v>
      </c>
    </row>
    <row r="72" spans="1:62" x14ac:dyDescent="0.2">
      <c r="A72" s="4" t="s">
        <v>55</v>
      </c>
      <c r="B72" s="4" t="s">
        <v>592</v>
      </c>
      <c r="C72" s="131" t="s">
        <v>1145</v>
      </c>
      <c r="D72" s="132"/>
      <c r="E72" s="132"/>
      <c r="F72" s="4" t="s">
        <v>1663</v>
      </c>
      <c r="G72" s="68">
        <v>48.546999999999997</v>
      </c>
      <c r="H72" s="162">
        <v>0</v>
      </c>
      <c r="I72" s="16">
        <f t="shared" si="44"/>
        <v>0</v>
      </c>
      <c r="J72" s="16">
        <f t="shared" si="45"/>
        <v>0</v>
      </c>
      <c r="K72" s="16">
        <f t="shared" si="46"/>
        <v>0</v>
      </c>
      <c r="L72" s="27" t="s">
        <v>1692</v>
      </c>
      <c r="Z72" s="33">
        <f t="shared" si="47"/>
        <v>0</v>
      </c>
      <c r="AB72" s="33">
        <f t="shared" si="48"/>
        <v>0</v>
      </c>
      <c r="AC72" s="33">
        <f t="shared" si="49"/>
        <v>0</v>
      </c>
      <c r="AD72" s="33">
        <f t="shared" si="50"/>
        <v>0</v>
      </c>
      <c r="AE72" s="33">
        <f t="shared" si="51"/>
        <v>0</v>
      </c>
      <c r="AF72" s="33">
        <f t="shared" si="52"/>
        <v>0</v>
      </c>
      <c r="AG72" s="33">
        <f t="shared" si="53"/>
        <v>0</v>
      </c>
      <c r="AH72" s="33">
        <f t="shared" si="54"/>
        <v>0</v>
      </c>
      <c r="AI72" s="28"/>
      <c r="AJ72" s="16">
        <f t="shared" si="55"/>
        <v>0</v>
      </c>
      <c r="AK72" s="16">
        <f t="shared" si="56"/>
        <v>0</v>
      </c>
      <c r="AL72" s="16">
        <f t="shared" si="57"/>
        <v>0</v>
      </c>
      <c r="AN72" s="33">
        <v>21</v>
      </c>
      <c r="AO72" s="33">
        <f>H72*0.631050206710906</f>
        <v>0</v>
      </c>
      <c r="AP72" s="33">
        <f>H72*(1-0.631050206710906)</f>
        <v>0</v>
      </c>
      <c r="AQ72" s="27" t="s">
        <v>7</v>
      </c>
      <c r="AV72" s="33">
        <f t="shared" si="58"/>
        <v>0</v>
      </c>
      <c r="AW72" s="33">
        <f t="shared" si="59"/>
        <v>0</v>
      </c>
      <c r="AX72" s="33">
        <f t="shared" si="60"/>
        <v>0</v>
      </c>
      <c r="AY72" s="34" t="s">
        <v>1713</v>
      </c>
      <c r="AZ72" s="34" t="s">
        <v>1744</v>
      </c>
      <c r="BA72" s="28" t="s">
        <v>1752</v>
      </c>
      <c r="BC72" s="33">
        <f t="shared" si="61"/>
        <v>0</v>
      </c>
      <c r="BD72" s="33">
        <f t="shared" si="62"/>
        <v>0</v>
      </c>
      <c r="BE72" s="33">
        <v>0</v>
      </c>
      <c r="BF72" s="33">
        <f>72</f>
        <v>72</v>
      </c>
      <c r="BH72" s="16">
        <f t="shared" si="63"/>
        <v>0</v>
      </c>
      <c r="BI72" s="16">
        <f t="shared" si="64"/>
        <v>0</v>
      </c>
      <c r="BJ72" s="16">
        <f t="shared" si="65"/>
        <v>0</v>
      </c>
    </row>
    <row r="73" spans="1:62" x14ac:dyDescent="0.2">
      <c r="A73" s="4" t="s">
        <v>56</v>
      </c>
      <c r="B73" s="4" t="s">
        <v>593</v>
      </c>
      <c r="C73" s="131" t="s">
        <v>1146</v>
      </c>
      <c r="D73" s="132"/>
      <c r="E73" s="132"/>
      <c r="F73" s="4" t="s">
        <v>1663</v>
      </c>
      <c r="G73" s="68">
        <v>563.66700000000003</v>
      </c>
      <c r="H73" s="162">
        <v>0</v>
      </c>
      <c r="I73" s="16">
        <f t="shared" si="44"/>
        <v>0</v>
      </c>
      <c r="J73" s="16">
        <f t="shared" si="45"/>
        <v>0</v>
      </c>
      <c r="K73" s="16">
        <f t="shared" si="46"/>
        <v>0</v>
      </c>
      <c r="L73" s="27" t="s">
        <v>1692</v>
      </c>
      <c r="Z73" s="33">
        <f t="shared" si="47"/>
        <v>0</v>
      </c>
      <c r="AB73" s="33">
        <f t="shared" si="48"/>
        <v>0</v>
      </c>
      <c r="AC73" s="33">
        <f t="shared" si="49"/>
        <v>0</v>
      </c>
      <c r="AD73" s="33">
        <f t="shared" si="50"/>
        <v>0</v>
      </c>
      <c r="AE73" s="33">
        <f t="shared" si="51"/>
        <v>0</v>
      </c>
      <c r="AF73" s="33">
        <f t="shared" si="52"/>
        <v>0</v>
      </c>
      <c r="AG73" s="33">
        <f t="shared" si="53"/>
        <v>0</v>
      </c>
      <c r="AH73" s="33">
        <f t="shared" si="54"/>
        <v>0</v>
      </c>
      <c r="AI73" s="28"/>
      <c r="AJ73" s="16">
        <f t="shared" si="55"/>
        <v>0</v>
      </c>
      <c r="AK73" s="16">
        <f t="shared" si="56"/>
        <v>0</v>
      </c>
      <c r="AL73" s="16">
        <f t="shared" si="57"/>
        <v>0</v>
      </c>
      <c r="AN73" s="33">
        <v>21</v>
      </c>
      <c r="AO73" s="33">
        <f>H73*0.736179282868526</f>
        <v>0</v>
      </c>
      <c r="AP73" s="33">
        <f>H73*(1-0.736179282868526)</f>
        <v>0</v>
      </c>
      <c r="AQ73" s="27" t="s">
        <v>7</v>
      </c>
      <c r="AV73" s="33">
        <f t="shared" si="58"/>
        <v>0</v>
      </c>
      <c r="AW73" s="33">
        <f t="shared" si="59"/>
        <v>0</v>
      </c>
      <c r="AX73" s="33">
        <f t="shared" si="60"/>
        <v>0</v>
      </c>
      <c r="AY73" s="34" t="s">
        <v>1713</v>
      </c>
      <c r="AZ73" s="34" t="s">
        <v>1744</v>
      </c>
      <c r="BA73" s="28" t="s">
        <v>1752</v>
      </c>
      <c r="BC73" s="33">
        <f t="shared" si="61"/>
        <v>0</v>
      </c>
      <c r="BD73" s="33">
        <f t="shared" si="62"/>
        <v>0</v>
      </c>
      <c r="BE73" s="33">
        <v>0</v>
      </c>
      <c r="BF73" s="33">
        <f>73</f>
        <v>73</v>
      </c>
      <c r="BH73" s="16">
        <f t="shared" si="63"/>
        <v>0</v>
      </c>
      <c r="BI73" s="16">
        <f t="shared" si="64"/>
        <v>0</v>
      </c>
      <c r="BJ73" s="16">
        <f t="shared" si="65"/>
        <v>0</v>
      </c>
    </row>
    <row r="74" spans="1:62" x14ac:dyDescent="0.2">
      <c r="A74" s="4" t="s">
        <v>57</v>
      </c>
      <c r="B74" s="4" t="s">
        <v>593</v>
      </c>
      <c r="C74" s="131" t="s">
        <v>1147</v>
      </c>
      <c r="D74" s="132"/>
      <c r="E74" s="132"/>
      <c r="F74" s="4" t="s">
        <v>1663</v>
      </c>
      <c r="G74" s="68">
        <v>80.691999999999993</v>
      </c>
      <c r="H74" s="162">
        <v>0</v>
      </c>
      <c r="I74" s="16">
        <f t="shared" si="44"/>
        <v>0</v>
      </c>
      <c r="J74" s="16">
        <f t="shared" si="45"/>
        <v>0</v>
      </c>
      <c r="K74" s="16">
        <f t="shared" si="46"/>
        <v>0</v>
      </c>
      <c r="L74" s="27" t="s">
        <v>1692</v>
      </c>
      <c r="Z74" s="33">
        <f t="shared" si="47"/>
        <v>0</v>
      </c>
      <c r="AB74" s="33">
        <f t="shared" si="48"/>
        <v>0</v>
      </c>
      <c r="AC74" s="33">
        <f t="shared" si="49"/>
        <v>0</v>
      </c>
      <c r="AD74" s="33">
        <f t="shared" si="50"/>
        <v>0</v>
      </c>
      <c r="AE74" s="33">
        <f t="shared" si="51"/>
        <v>0</v>
      </c>
      <c r="AF74" s="33">
        <f t="shared" si="52"/>
        <v>0</v>
      </c>
      <c r="AG74" s="33">
        <f t="shared" si="53"/>
        <v>0</v>
      </c>
      <c r="AH74" s="33">
        <f t="shared" si="54"/>
        <v>0</v>
      </c>
      <c r="AI74" s="28"/>
      <c r="AJ74" s="16">
        <f t="shared" si="55"/>
        <v>0</v>
      </c>
      <c r="AK74" s="16">
        <f t="shared" si="56"/>
        <v>0</v>
      </c>
      <c r="AL74" s="16">
        <f t="shared" si="57"/>
        <v>0</v>
      </c>
      <c r="AN74" s="33">
        <v>21</v>
      </c>
      <c r="AO74" s="33">
        <f>H74*0.736179282868526</f>
        <v>0</v>
      </c>
      <c r="AP74" s="33">
        <f>H74*(1-0.736179282868526)</f>
        <v>0</v>
      </c>
      <c r="AQ74" s="27" t="s">
        <v>7</v>
      </c>
      <c r="AV74" s="33">
        <f t="shared" si="58"/>
        <v>0</v>
      </c>
      <c r="AW74" s="33">
        <f t="shared" si="59"/>
        <v>0</v>
      </c>
      <c r="AX74" s="33">
        <f t="shared" si="60"/>
        <v>0</v>
      </c>
      <c r="AY74" s="34" t="s">
        <v>1713</v>
      </c>
      <c r="AZ74" s="34" t="s">
        <v>1744</v>
      </c>
      <c r="BA74" s="28" t="s">
        <v>1752</v>
      </c>
      <c r="BC74" s="33">
        <f t="shared" si="61"/>
        <v>0</v>
      </c>
      <c r="BD74" s="33">
        <f t="shared" si="62"/>
        <v>0</v>
      </c>
      <c r="BE74" s="33">
        <v>0</v>
      </c>
      <c r="BF74" s="33">
        <f>74</f>
        <v>74</v>
      </c>
      <c r="BH74" s="16">
        <f t="shared" si="63"/>
        <v>0</v>
      </c>
      <c r="BI74" s="16">
        <f t="shared" si="64"/>
        <v>0</v>
      </c>
      <c r="BJ74" s="16">
        <f t="shared" si="65"/>
        <v>0</v>
      </c>
    </row>
    <row r="75" spans="1:62" x14ac:dyDescent="0.2">
      <c r="A75" s="4" t="s">
        <v>58</v>
      </c>
      <c r="B75" s="4" t="s">
        <v>594</v>
      </c>
      <c r="C75" s="131" t="s">
        <v>1148</v>
      </c>
      <c r="D75" s="132"/>
      <c r="E75" s="132"/>
      <c r="F75" s="4" t="s">
        <v>1663</v>
      </c>
      <c r="G75" s="68">
        <v>44.462000000000003</v>
      </c>
      <c r="H75" s="162">
        <v>0</v>
      </c>
      <c r="I75" s="16">
        <f t="shared" si="44"/>
        <v>0</v>
      </c>
      <c r="J75" s="16">
        <f t="shared" si="45"/>
        <v>0</v>
      </c>
      <c r="K75" s="16">
        <f t="shared" si="46"/>
        <v>0</v>
      </c>
      <c r="L75" s="27" t="s">
        <v>1692</v>
      </c>
      <c r="Z75" s="33">
        <f t="shared" si="47"/>
        <v>0</v>
      </c>
      <c r="AB75" s="33">
        <f t="shared" si="48"/>
        <v>0</v>
      </c>
      <c r="AC75" s="33">
        <f t="shared" si="49"/>
        <v>0</v>
      </c>
      <c r="AD75" s="33">
        <f t="shared" si="50"/>
        <v>0</v>
      </c>
      <c r="AE75" s="33">
        <f t="shared" si="51"/>
        <v>0</v>
      </c>
      <c r="AF75" s="33">
        <f t="shared" si="52"/>
        <v>0</v>
      </c>
      <c r="AG75" s="33">
        <f t="shared" si="53"/>
        <v>0</v>
      </c>
      <c r="AH75" s="33">
        <f t="shared" si="54"/>
        <v>0</v>
      </c>
      <c r="AI75" s="28"/>
      <c r="AJ75" s="16">
        <f t="shared" si="55"/>
        <v>0</v>
      </c>
      <c r="AK75" s="16">
        <f t="shared" si="56"/>
        <v>0</v>
      </c>
      <c r="AL75" s="16">
        <f t="shared" si="57"/>
        <v>0</v>
      </c>
      <c r="AN75" s="33">
        <v>21</v>
      </c>
      <c r="AO75" s="33">
        <f>H75*0.739639405204461</f>
        <v>0</v>
      </c>
      <c r="AP75" s="33">
        <f>H75*(1-0.739639405204461)</f>
        <v>0</v>
      </c>
      <c r="AQ75" s="27" t="s">
        <v>7</v>
      </c>
      <c r="AV75" s="33">
        <f t="shared" si="58"/>
        <v>0</v>
      </c>
      <c r="AW75" s="33">
        <f t="shared" si="59"/>
        <v>0</v>
      </c>
      <c r="AX75" s="33">
        <f t="shared" si="60"/>
        <v>0</v>
      </c>
      <c r="AY75" s="34" t="s">
        <v>1713</v>
      </c>
      <c r="AZ75" s="34" t="s">
        <v>1744</v>
      </c>
      <c r="BA75" s="28" t="s">
        <v>1752</v>
      </c>
      <c r="BC75" s="33">
        <f t="shared" si="61"/>
        <v>0</v>
      </c>
      <c r="BD75" s="33">
        <f t="shared" si="62"/>
        <v>0</v>
      </c>
      <c r="BE75" s="33">
        <v>0</v>
      </c>
      <c r="BF75" s="33">
        <f>75</f>
        <v>75</v>
      </c>
      <c r="BH75" s="16">
        <f t="shared" si="63"/>
        <v>0</v>
      </c>
      <c r="BI75" s="16">
        <f t="shared" si="64"/>
        <v>0</v>
      </c>
      <c r="BJ75" s="16">
        <f t="shared" si="65"/>
        <v>0</v>
      </c>
    </row>
    <row r="76" spans="1:62" x14ac:dyDescent="0.2">
      <c r="A76" s="4" t="s">
        <v>59</v>
      </c>
      <c r="B76" s="4" t="s">
        <v>595</v>
      </c>
      <c r="C76" s="131" t="s">
        <v>1149</v>
      </c>
      <c r="D76" s="132"/>
      <c r="E76" s="132"/>
      <c r="F76" s="4" t="s">
        <v>1663</v>
      </c>
      <c r="G76" s="68">
        <v>4.0890000000000004</v>
      </c>
      <c r="H76" s="162">
        <v>0</v>
      </c>
      <c r="I76" s="16">
        <f t="shared" si="44"/>
        <v>0</v>
      </c>
      <c r="J76" s="16">
        <f t="shared" si="45"/>
        <v>0</v>
      </c>
      <c r="K76" s="16">
        <f t="shared" si="46"/>
        <v>0</v>
      </c>
      <c r="L76" s="27" t="s">
        <v>1692</v>
      </c>
      <c r="Z76" s="33">
        <f t="shared" si="47"/>
        <v>0</v>
      </c>
      <c r="AB76" s="33">
        <f t="shared" si="48"/>
        <v>0</v>
      </c>
      <c r="AC76" s="33">
        <f t="shared" si="49"/>
        <v>0</v>
      </c>
      <c r="AD76" s="33">
        <f t="shared" si="50"/>
        <v>0</v>
      </c>
      <c r="AE76" s="33">
        <f t="shared" si="51"/>
        <v>0</v>
      </c>
      <c r="AF76" s="33">
        <f t="shared" si="52"/>
        <v>0</v>
      </c>
      <c r="AG76" s="33">
        <f t="shared" si="53"/>
        <v>0</v>
      </c>
      <c r="AH76" s="33">
        <f t="shared" si="54"/>
        <v>0</v>
      </c>
      <c r="AI76" s="28"/>
      <c r="AJ76" s="16">
        <f t="shared" si="55"/>
        <v>0</v>
      </c>
      <c r="AK76" s="16">
        <f t="shared" si="56"/>
        <v>0</v>
      </c>
      <c r="AL76" s="16">
        <f t="shared" si="57"/>
        <v>0</v>
      </c>
      <c r="AN76" s="33">
        <v>21</v>
      </c>
      <c r="AO76" s="33">
        <f>H76*0.739638364779874</f>
        <v>0</v>
      </c>
      <c r="AP76" s="33">
        <f>H76*(1-0.739638364779874)</f>
        <v>0</v>
      </c>
      <c r="AQ76" s="27" t="s">
        <v>7</v>
      </c>
      <c r="AV76" s="33">
        <f t="shared" si="58"/>
        <v>0</v>
      </c>
      <c r="AW76" s="33">
        <f t="shared" si="59"/>
        <v>0</v>
      </c>
      <c r="AX76" s="33">
        <f t="shared" si="60"/>
        <v>0</v>
      </c>
      <c r="AY76" s="34" t="s">
        <v>1713</v>
      </c>
      <c r="AZ76" s="34" t="s">
        <v>1744</v>
      </c>
      <c r="BA76" s="28" t="s">
        <v>1752</v>
      </c>
      <c r="BC76" s="33">
        <f t="shared" si="61"/>
        <v>0</v>
      </c>
      <c r="BD76" s="33">
        <f t="shared" si="62"/>
        <v>0</v>
      </c>
      <c r="BE76" s="33">
        <v>0</v>
      </c>
      <c r="BF76" s="33">
        <f>76</f>
        <v>76</v>
      </c>
      <c r="BH76" s="16">
        <f t="shared" si="63"/>
        <v>0</v>
      </c>
      <c r="BI76" s="16">
        <f t="shared" si="64"/>
        <v>0</v>
      </c>
      <c r="BJ76" s="16">
        <f t="shared" si="65"/>
        <v>0</v>
      </c>
    </row>
    <row r="77" spans="1:62" x14ac:dyDescent="0.2">
      <c r="A77" s="4" t="s">
        <v>60</v>
      </c>
      <c r="B77" s="4" t="s">
        <v>596</v>
      </c>
      <c r="C77" s="131" t="s">
        <v>1150</v>
      </c>
      <c r="D77" s="132"/>
      <c r="E77" s="132"/>
      <c r="F77" s="4" t="s">
        <v>1666</v>
      </c>
      <c r="G77" s="68">
        <v>206.55500000000001</v>
      </c>
      <c r="H77" s="162">
        <v>0</v>
      </c>
      <c r="I77" s="16">
        <f t="shared" si="44"/>
        <v>0</v>
      </c>
      <c r="J77" s="16">
        <f t="shared" si="45"/>
        <v>0</v>
      </c>
      <c r="K77" s="16">
        <f t="shared" si="46"/>
        <v>0</v>
      </c>
      <c r="L77" s="27" t="s">
        <v>1692</v>
      </c>
      <c r="Z77" s="33">
        <f t="shared" si="47"/>
        <v>0</v>
      </c>
      <c r="AB77" s="33">
        <f t="shared" si="48"/>
        <v>0</v>
      </c>
      <c r="AC77" s="33">
        <f t="shared" si="49"/>
        <v>0</v>
      </c>
      <c r="AD77" s="33">
        <f t="shared" si="50"/>
        <v>0</v>
      </c>
      <c r="AE77" s="33">
        <f t="shared" si="51"/>
        <v>0</v>
      </c>
      <c r="AF77" s="33">
        <f t="shared" si="52"/>
        <v>0</v>
      </c>
      <c r="AG77" s="33">
        <f t="shared" si="53"/>
        <v>0</v>
      </c>
      <c r="AH77" s="33">
        <f t="shared" si="54"/>
        <v>0</v>
      </c>
      <c r="AI77" s="28"/>
      <c r="AJ77" s="16">
        <f t="shared" si="55"/>
        <v>0</v>
      </c>
      <c r="AK77" s="16">
        <f t="shared" si="56"/>
        <v>0</v>
      </c>
      <c r="AL77" s="16">
        <f t="shared" si="57"/>
        <v>0</v>
      </c>
      <c r="AN77" s="33">
        <v>21</v>
      </c>
      <c r="AO77" s="33">
        <f>H77*0.31387573964497</f>
        <v>0</v>
      </c>
      <c r="AP77" s="33">
        <f>H77*(1-0.31387573964497)</f>
        <v>0</v>
      </c>
      <c r="AQ77" s="27" t="s">
        <v>7</v>
      </c>
      <c r="AV77" s="33">
        <f t="shared" si="58"/>
        <v>0</v>
      </c>
      <c r="AW77" s="33">
        <f t="shared" si="59"/>
        <v>0</v>
      </c>
      <c r="AX77" s="33">
        <f t="shared" si="60"/>
        <v>0</v>
      </c>
      <c r="AY77" s="34" t="s">
        <v>1713</v>
      </c>
      <c r="AZ77" s="34" t="s">
        <v>1744</v>
      </c>
      <c r="BA77" s="28" t="s">
        <v>1752</v>
      </c>
      <c r="BC77" s="33">
        <f t="shared" si="61"/>
        <v>0</v>
      </c>
      <c r="BD77" s="33">
        <f t="shared" si="62"/>
        <v>0</v>
      </c>
      <c r="BE77" s="33">
        <v>0</v>
      </c>
      <c r="BF77" s="33">
        <f>77</f>
        <v>77</v>
      </c>
      <c r="BH77" s="16">
        <f t="shared" si="63"/>
        <v>0</v>
      </c>
      <c r="BI77" s="16">
        <f t="shared" si="64"/>
        <v>0</v>
      </c>
      <c r="BJ77" s="16">
        <f t="shared" si="65"/>
        <v>0</v>
      </c>
    </row>
    <row r="78" spans="1:62" x14ac:dyDescent="0.2">
      <c r="A78" s="4" t="s">
        <v>61</v>
      </c>
      <c r="B78" s="4" t="s">
        <v>597</v>
      </c>
      <c r="C78" s="131" t="s">
        <v>1151</v>
      </c>
      <c r="D78" s="132"/>
      <c r="E78" s="132"/>
      <c r="F78" s="4" t="s">
        <v>1666</v>
      </c>
      <c r="G78" s="68">
        <v>206.55500000000001</v>
      </c>
      <c r="H78" s="162">
        <v>0</v>
      </c>
      <c r="I78" s="16">
        <f t="shared" si="44"/>
        <v>0</v>
      </c>
      <c r="J78" s="16">
        <f t="shared" si="45"/>
        <v>0</v>
      </c>
      <c r="K78" s="16">
        <f t="shared" si="46"/>
        <v>0</v>
      </c>
      <c r="L78" s="27" t="s">
        <v>1692</v>
      </c>
      <c r="Z78" s="33">
        <f t="shared" si="47"/>
        <v>0</v>
      </c>
      <c r="AB78" s="33">
        <f t="shared" si="48"/>
        <v>0</v>
      </c>
      <c r="AC78" s="33">
        <f t="shared" si="49"/>
        <v>0</v>
      </c>
      <c r="AD78" s="33">
        <f t="shared" si="50"/>
        <v>0</v>
      </c>
      <c r="AE78" s="33">
        <f t="shared" si="51"/>
        <v>0</v>
      </c>
      <c r="AF78" s="33">
        <f t="shared" si="52"/>
        <v>0</v>
      </c>
      <c r="AG78" s="33">
        <f t="shared" si="53"/>
        <v>0</v>
      </c>
      <c r="AH78" s="33">
        <f t="shared" si="54"/>
        <v>0</v>
      </c>
      <c r="AI78" s="28"/>
      <c r="AJ78" s="16">
        <f t="shared" si="55"/>
        <v>0</v>
      </c>
      <c r="AK78" s="16">
        <f t="shared" si="56"/>
        <v>0</v>
      </c>
      <c r="AL78" s="16">
        <f t="shared" si="57"/>
        <v>0</v>
      </c>
      <c r="AN78" s="33">
        <v>21</v>
      </c>
      <c r="AO78" s="33">
        <f>H78*0.313903225806452</f>
        <v>0</v>
      </c>
      <c r="AP78" s="33">
        <f>H78*(1-0.313903225806452)</f>
        <v>0</v>
      </c>
      <c r="AQ78" s="27" t="s">
        <v>7</v>
      </c>
      <c r="AV78" s="33">
        <f t="shared" si="58"/>
        <v>0</v>
      </c>
      <c r="AW78" s="33">
        <f t="shared" si="59"/>
        <v>0</v>
      </c>
      <c r="AX78" s="33">
        <f t="shared" si="60"/>
        <v>0</v>
      </c>
      <c r="AY78" s="34" t="s">
        <v>1713</v>
      </c>
      <c r="AZ78" s="34" t="s">
        <v>1744</v>
      </c>
      <c r="BA78" s="28" t="s">
        <v>1752</v>
      </c>
      <c r="BC78" s="33">
        <f t="shared" si="61"/>
        <v>0</v>
      </c>
      <c r="BD78" s="33">
        <f t="shared" si="62"/>
        <v>0</v>
      </c>
      <c r="BE78" s="33">
        <v>0</v>
      </c>
      <c r="BF78" s="33">
        <f>78</f>
        <v>78</v>
      </c>
      <c r="BH78" s="16">
        <f t="shared" si="63"/>
        <v>0</v>
      </c>
      <c r="BI78" s="16">
        <f t="shared" si="64"/>
        <v>0</v>
      </c>
      <c r="BJ78" s="16">
        <f t="shared" si="65"/>
        <v>0</v>
      </c>
    </row>
    <row r="79" spans="1:62" x14ac:dyDescent="0.2">
      <c r="A79" s="4" t="s">
        <v>62</v>
      </c>
      <c r="B79" s="4" t="s">
        <v>598</v>
      </c>
      <c r="C79" s="131" t="s">
        <v>1152</v>
      </c>
      <c r="D79" s="132"/>
      <c r="E79" s="132"/>
      <c r="F79" s="4" t="s">
        <v>1665</v>
      </c>
      <c r="G79" s="68">
        <v>4980</v>
      </c>
      <c r="H79" s="162">
        <v>0</v>
      </c>
      <c r="I79" s="16">
        <f t="shared" si="44"/>
        <v>0</v>
      </c>
      <c r="J79" s="16">
        <f t="shared" si="45"/>
        <v>0</v>
      </c>
      <c r="K79" s="16">
        <f t="shared" si="46"/>
        <v>0</v>
      </c>
      <c r="L79" s="27" t="s">
        <v>1692</v>
      </c>
      <c r="Z79" s="33">
        <f t="shared" si="47"/>
        <v>0</v>
      </c>
      <c r="AB79" s="33">
        <f t="shared" si="48"/>
        <v>0</v>
      </c>
      <c r="AC79" s="33">
        <f t="shared" si="49"/>
        <v>0</v>
      </c>
      <c r="AD79" s="33">
        <f t="shared" si="50"/>
        <v>0</v>
      </c>
      <c r="AE79" s="33">
        <f t="shared" si="51"/>
        <v>0</v>
      </c>
      <c r="AF79" s="33">
        <f t="shared" si="52"/>
        <v>0</v>
      </c>
      <c r="AG79" s="33">
        <f t="shared" si="53"/>
        <v>0</v>
      </c>
      <c r="AH79" s="33">
        <f t="shared" si="54"/>
        <v>0</v>
      </c>
      <c r="AI79" s="28"/>
      <c r="AJ79" s="16">
        <f t="shared" si="55"/>
        <v>0</v>
      </c>
      <c r="AK79" s="16">
        <f t="shared" si="56"/>
        <v>0</v>
      </c>
      <c r="AL79" s="16">
        <f t="shared" si="57"/>
        <v>0</v>
      </c>
      <c r="AN79" s="33">
        <v>21</v>
      </c>
      <c r="AO79" s="33">
        <f>H79*0.202777777777778</f>
        <v>0</v>
      </c>
      <c r="AP79" s="33">
        <f>H79*(1-0.202777777777778)</f>
        <v>0</v>
      </c>
      <c r="AQ79" s="27" t="s">
        <v>7</v>
      </c>
      <c r="AV79" s="33">
        <f t="shared" si="58"/>
        <v>0</v>
      </c>
      <c r="AW79" s="33">
        <f t="shared" si="59"/>
        <v>0</v>
      </c>
      <c r="AX79" s="33">
        <f t="shared" si="60"/>
        <v>0</v>
      </c>
      <c r="AY79" s="34" t="s">
        <v>1713</v>
      </c>
      <c r="AZ79" s="34" t="s">
        <v>1744</v>
      </c>
      <c r="BA79" s="28" t="s">
        <v>1752</v>
      </c>
      <c r="BC79" s="33">
        <f t="shared" si="61"/>
        <v>0</v>
      </c>
      <c r="BD79" s="33">
        <f t="shared" si="62"/>
        <v>0</v>
      </c>
      <c r="BE79" s="33">
        <v>0</v>
      </c>
      <c r="BF79" s="33">
        <f>79</f>
        <v>79</v>
      </c>
      <c r="BH79" s="16">
        <f t="shared" si="63"/>
        <v>0</v>
      </c>
      <c r="BI79" s="16">
        <f t="shared" si="64"/>
        <v>0</v>
      </c>
      <c r="BJ79" s="16">
        <f t="shared" si="65"/>
        <v>0</v>
      </c>
    </row>
    <row r="80" spans="1:62" x14ac:dyDescent="0.2">
      <c r="A80" s="4" t="s">
        <v>63</v>
      </c>
      <c r="B80" s="4" t="s">
        <v>599</v>
      </c>
      <c r="C80" s="131" t="s">
        <v>1153</v>
      </c>
      <c r="D80" s="132"/>
      <c r="E80" s="132"/>
      <c r="F80" s="4" t="s">
        <v>1663</v>
      </c>
      <c r="G80" s="68">
        <v>829.46400000000006</v>
      </c>
      <c r="H80" s="162">
        <v>0</v>
      </c>
      <c r="I80" s="16">
        <f t="shared" si="44"/>
        <v>0</v>
      </c>
      <c r="J80" s="16">
        <f t="shared" si="45"/>
        <v>0</v>
      </c>
      <c r="K80" s="16">
        <f t="shared" si="46"/>
        <v>0</v>
      </c>
      <c r="L80" s="27" t="s">
        <v>1692</v>
      </c>
      <c r="Z80" s="33">
        <f t="shared" si="47"/>
        <v>0</v>
      </c>
      <c r="AB80" s="33">
        <f t="shared" si="48"/>
        <v>0</v>
      </c>
      <c r="AC80" s="33">
        <f t="shared" si="49"/>
        <v>0</v>
      </c>
      <c r="AD80" s="33">
        <f t="shared" si="50"/>
        <v>0</v>
      </c>
      <c r="AE80" s="33">
        <f t="shared" si="51"/>
        <v>0</v>
      </c>
      <c r="AF80" s="33">
        <f t="shared" si="52"/>
        <v>0</v>
      </c>
      <c r="AG80" s="33">
        <f t="shared" si="53"/>
        <v>0</v>
      </c>
      <c r="AH80" s="33">
        <f t="shared" si="54"/>
        <v>0</v>
      </c>
      <c r="AI80" s="28"/>
      <c r="AJ80" s="16">
        <f t="shared" si="55"/>
        <v>0</v>
      </c>
      <c r="AK80" s="16">
        <f t="shared" si="56"/>
        <v>0</v>
      </c>
      <c r="AL80" s="16">
        <f t="shared" si="57"/>
        <v>0</v>
      </c>
      <c r="AN80" s="33">
        <v>21</v>
      </c>
      <c r="AO80" s="33">
        <f>H80*0.321454545454545</f>
        <v>0</v>
      </c>
      <c r="AP80" s="33">
        <f>H80*(1-0.321454545454545)</f>
        <v>0</v>
      </c>
      <c r="AQ80" s="27" t="s">
        <v>7</v>
      </c>
      <c r="AV80" s="33">
        <f t="shared" si="58"/>
        <v>0</v>
      </c>
      <c r="AW80" s="33">
        <f t="shared" si="59"/>
        <v>0</v>
      </c>
      <c r="AX80" s="33">
        <f t="shared" si="60"/>
        <v>0</v>
      </c>
      <c r="AY80" s="34" t="s">
        <v>1713</v>
      </c>
      <c r="AZ80" s="34" t="s">
        <v>1744</v>
      </c>
      <c r="BA80" s="28" t="s">
        <v>1752</v>
      </c>
      <c r="BC80" s="33">
        <f t="shared" si="61"/>
        <v>0</v>
      </c>
      <c r="BD80" s="33">
        <f t="shared" si="62"/>
        <v>0</v>
      </c>
      <c r="BE80" s="33">
        <v>0</v>
      </c>
      <c r="BF80" s="33">
        <f>80</f>
        <v>80</v>
      </c>
      <c r="BH80" s="16">
        <f t="shared" si="63"/>
        <v>0</v>
      </c>
      <c r="BI80" s="16">
        <f t="shared" si="64"/>
        <v>0</v>
      </c>
      <c r="BJ80" s="16">
        <f t="shared" si="65"/>
        <v>0</v>
      </c>
    </row>
    <row r="81" spans="1:62" x14ac:dyDescent="0.2">
      <c r="A81" s="4" t="s">
        <v>64</v>
      </c>
      <c r="B81" s="4" t="s">
        <v>600</v>
      </c>
      <c r="C81" s="131" t="s">
        <v>1154</v>
      </c>
      <c r="D81" s="132"/>
      <c r="E81" s="132"/>
      <c r="F81" s="4" t="s">
        <v>1666</v>
      </c>
      <c r="G81" s="68">
        <v>385.13499999999999</v>
      </c>
      <c r="H81" s="162">
        <v>0</v>
      </c>
      <c r="I81" s="16">
        <f t="shared" si="44"/>
        <v>0</v>
      </c>
      <c r="J81" s="16">
        <f t="shared" si="45"/>
        <v>0</v>
      </c>
      <c r="K81" s="16">
        <f t="shared" si="46"/>
        <v>0</v>
      </c>
      <c r="L81" s="27" t="s">
        <v>1692</v>
      </c>
      <c r="Z81" s="33">
        <f t="shared" si="47"/>
        <v>0</v>
      </c>
      <c r="AB81" s="33">
        <f t="shared" si="48"/>
        <v>0</v>
      </c>
      <c r="AC81" s="33">
        <f t="shared" si="49"/>
        <v>0</v>
      </c>
      <c r="AD81" s="33">
        <f t="shared" si="50"/>
        <v>0</v>
      </c>
      <c r="AE81" s="33">
        <f t="shared" si="51"/>
        <v>0</v>
      </c>
      <c r="AF81" s="33">
        <f t="shared" si="52"/>
        <v>0</v>
      </c>
      <c r="AG81" s="33">
        <f t="shared" si="53"/>
        <v>0</v>
      </c>
      <c r="AH81" s="33">
        <f t="shared" si="54"/>
        <v>0</v>
      </c>
      <c r="AI81" s="28"/>
      <c r="AJ81" s="16">
        <f t="shared" si="55"/>
        <v>0</v>
      </c>
      <c r="AK81" s="16">
        <f t="shared" si="56"/>
        <v>0</v>
      </c>
      <c r="AL81" s="16">
        <f t="shared" si="57"/>
        <v>0</v>
      </c>
      <c r="AN81" s="33">
        <v>21</v>
      </c>
      <c r="AO81" s="33">
        <f>H81*0.303731382519211</f>
        <v>0</v>
      </c>
      <c r="AP81" s="33">
        <f>H81*(1-0.303731382519211)</f>
        <v>0</v>
      </c>
      <c r="AQ81" s="27" t="s">
        <v>7</v>
      </c>
      <c r="AV81" s="33">
        <f t="shared" si="58"/>
        <v>0</v>
      </c>
      <c r="AW81" s="33">
        <f t="shared" si="59"/>
        <v>0</v>
      </c>
      <c r="AX81" s="33">
        <f t="shared" si="60"/>
        <v>0</v>
      </c>
      <c r="AY81" s="34" t="s">
        <v>1713</v>
      </c>
      <c r="AZ81" s="34" t="s">
        <v>1744</v>
      </c>
      <c r="BA81" s="28" t="s">
        <v>1752</v>
      </c>
      <c r="BC81" s="33">
        <f t="shared" si="61"/>
        <v>0</v>
      </c>
      <c r="BD81" s="33">
        <f t="shared" si="62"/>
        <v>0</v>
      </c>
      <c r="BE81" s="33">
        <v>0</v>
      </c>
      <c r="BF81" s="33">
        <f>81</f>
        <v>81</v>
      </c>
      <c r="BH81" s="16">
        <f t="shared" si="63"/>
        <v>0</v>
      </c>
      <c r="BI81" s="16">
        <f t="shared" si="64"/>
        <v>0</v>
      </c>
      <c r="BJ81" s="16">
        <f t="shared" si="65"/>
        <v>0</v>
      </c>
    </row>
    <row r="82" spans="1:62" x14ac:dyDescent="0.2">
      <c r="A82" s="4" t="s">
        <v>65</v>
      </c>
      <c r="B82" s="4" t="s">
        <v>601</v>
      </c>
      <c r="C82" s="131" t="s">
        <v>1155</v>
      </c>
      <c r="D82" s="132"/>
      <c r="E82" s="132"/>
      <c r="F82" s="4" t="s">
        <v>1666</v>
      </c>
      <c r="G82" s="68">
        <v>206.55500000000001</v>
      </c>
      <c r="H82" s="162">
        <v>0</v>
      </c>
      <c r="I82" s="16">
        <f t="shared" si="44"/>
        <v>0</v>
      </c>
      <c r="J82" s="16">
        <f t="shared" si="45"/>
        <v>0</v>
      </c>
      <c r="K82" s="16">
        <f t="shared" si="46"/>
        <v>0</v>
      </c>
      <c r="L82" s="27" t="s">
        <v>1692</v>
      </c>
      <c r="Z82" s="33">
        <f t="shared" si="47"/>
        <v>0</v>
      </c>
      <c r="AB82" s="33">
        <f t="shared" si="48"/>
        <v>0</v>
      </c>
      <c r="AC82" s="33">
        <f t="shared" si="49"/>
        <v>0</v>
      </c>
      <c r="AD82" s="33">
        <f t="shared" si="50"/>
        <v>0</v>
      </c>
      <c r="AE82" s="33">
        <f t="shared" si="51"/>
        <v>0</v>
      </c>
      <c r="AF82" s="33">
        <f t="shared" si="52"/>
        <v>0</v>
      </c>
      <c r="AG82" s="33">
        <f t="shared" si="53"/>
        <v>0</v>
      </c>
      <c r="AH82" s="33">
        <f t="shared" si="54"/>
        <v>0</v>
      </c>
      <c r="AI82" s="28"/>
      <c r="AJ82" s="16">
        <f t="shared" si="55"/>
        <v>0</v>
      </c>
      <c r="AK82" s="16">
        <f t="shared" si="56"/>
        <v>0</v>
      </c>
      <c r="AL82" s="16">
        <f t="shared" si="57"/>
        <v>0</v>
      </c>
      <c r="AN82" s="33">
        <v>21</v>
      </c>
      <c r="AO82" s="33">
        <f>H82*0.321454498294973</f>
        <v>0</v>
      </c>
      <c r="AP82" s="33">
        <f>H82*(1-0.321454498294973)</f>
        <v>0</v>
      </c>
      <c r="AQ82" s="27" t="s">
        <v>7</v>
      </c>
      <c r="AV82" s="33">
        <f t="shared" si="58"/>
        <v>0</v>
      </c>
      <c r="AW82" s="33">
        <f t="shared" si="59"/>
        <v>0</v>
      </c>
      <c r="AX82" s="33">
        <f t="shared" si="60"/>
        <v>0</v>
      </c>
      <c r="AY82" s="34" t="s">
        <v>1713</v>
      </c>
      <c r="AZ82" s="34" t="s">
        <v>1744</v>
      </c>
      <c r="BA82" s="28" t="s">
        <v>1752</v>
      </c>
      <c r="BC82" s="33">
        <f t="shared" si="61"/>
        <v>0</v>
      </c>
      <c r="BD82" s="33">
        <f t="shared" si="62"/>
        <v>0</v>
      </c>
      <c r="BE82" s="33">
        <v>0</v>
      </c>
      <c r="BF82" s="33">
        <f>82</f>
        <v>82</v>
      </c>
      <c r="BH82" s="16">
        <f t="shared" si="63"/>
        <v>0</v>
      </c>
      <c r="BI82" s="16">
        <f t="shared" si="64"/>
        <v>0</v>
      </c>
      <c r="BJ82" s="16">
        <f t="shared" si="65"/>
        <v>0</v>
      </c>
    </row>
    <row r="83" spans="1:62" x14ac:dyDescent="0.2">
      <c r="A83" s="4" t="s">
        <v>66</v>
      </c>
      <c r="B83" s="4" t="s">
        <v>602</v>
      </c>
      <c r="C83" s="131" t="s">
        <v>1156</v>
      </c>
      <c r="D83" s="132"/>
      <c r="E83" s="132"/>
      <c r="F83" s="4" t="s">
        <v>1666</v>
      </c>
      <c r="G83" s="68">
        <v>73</v>
      </c>
      <c r="H83" s="162">
        <v>0</v>
      </c>
      <c r="I83" s="16">
        <f t="shared" si="44"/>
        <v>0</v>
      </c>
      <c r="J83" s="16">
        <f t="shared" si="45"/>
        <v>0</v>
      </c>
      <c r="K83" s="16">
        <f t="shared" si="46"/>
        <v>0</v>
      </c>
      <c r="L83" s="27" t="s">
        <v>1692</v>
      </c>
      <c r="Z83" s="33">
        <f t="shared" si="47"/>
        <v>0</v>
      </c>
      <c r="AB83" s="33">
        <f t="shared" si="48"/>
        <v>0</v>
      </c>
      <c r="AC83" s="33">
        <f t="shared" si="49"/>
        <v>0</v>
      </c>
      <c r="AD83" s="33">
        <f t="shared" si="50"/>
        <v>0</v>
      </c>
      <c r="AE83" s="33">
        <f t="shared" si="51"/>
        <v>0</v>
      </c>
      <c r="AF83" s="33">
        <f t="shared" si="52"/>
        <v>0</v>
      </c>
      <c r="AG83" s="33">
        <f t="shared" si="53"/>
        <v>0</v>
      </c>
      <c r="AH83" s="33">
        <f t="shared" si="54"/>
        <v>0</v>
      </c>
      <c r="AI83" s="28"/>
      <c r="AJ83" s="16">
        <f t="shared" si="55"/>
        <v>0</v>
      </c>
      <c r="AK83" s="16">
        <f t="shared" si="56"/>
        <v>0</v>
      </c>
      <c r="AL83" s="16">
        <f t="shared" si="57"/>
        <v>0</v>
      </c>
      <c r="AN83" s="33">
        <v>21</v>
      </c>
      <c r="AO83" s="33">
        <f>H83*0.866447368421053</f>
        <v>0</v>
      </c>
      <c r="AP83" s="33">
        <f>H83*(1-0.866447368421053)</f>
        <v>0</v>
      </c>
      <c r="AQ83" s="27" t="s">
        <v>7</v>
      </c>
      <c r="AV83" s="33">
        <f t="shared" si="58"/>
        <v>0</v>
      </c>
      <c r="AW83" s="33">
        <f t="shared" si="59"/>
        <v>0</v>
      </c>
      <c r="AX83" s="33">
        <f t="shared" si="60"/>
        <v>0</v>
      </c>
      <c r="AY83" s="34" t="s">
        <v>1713</v>
      </c>
      <c r="AZ83" s="34" t="s">
        <v>1744</v>
      </c>
      <c r="BA83" s="28" t="s">
        <v>1752</v>
      </c>
      <c r="BC83" s="33">
        <f t="shared" si="61"/>
        <v>0</v>
      </c>
      <c r="BD83" s="33">
        <f t="shared" si="62"/>
        <v>0</v>
      </c>
      <c r="BE83" s="33">
        <v>0</v>
      </c>
      <c r="BF83" s="33">
        <f>83</f>
        <v>83</v>
      </c>
      <c r="BH83" s="16">
        <f t="shared" si="63"/>
        <v>0</v>
      </c>
      <c r="BI83" s="16">
        <f t="shared" si="64"/>
        <v>0</v>
      </c>
      <c r="BJ83" s="16">
        <f t="shared" si="65"/>
        <v>0</v>
      </c>
    </row>
    <row r="84" spans="1:62" x14ac:dyDescent="0.2">
      <c r="A84" s="4" t="s">
        <v>67</v>
      </c>
      <c r="B84" s="4" t="s">
        <v>603</v>
      </c>
      <c r="C84" s="131" t="s">
        <v>1157</v>
      </c>
      <c r="D84" s="132"/>
      <c r="E84" s="132"/>
      <c r="F84" s="4" t="s">
        <v>1663</v>
      </c>
      <c r="G84" s="68">
        <v>745.74199999999996</v>
      </c>
      <c r="H84" s="162">
        <v>0</v>
      </c>
      <c r="I84" s="16">
        <f t="shared" si="44"/>
        <v>0</v>
      </c>
      <c r="J84" s="16">
        <f t="shared" si="45"/>
        <v>0</v>
      </c>
      <c r="K84" s="16">
        <f t="shared" si="46"/>
        <v>0</v>
      </c>
      <c r="L84" s="27" t="s">
        <v>1692</v>
      </c>
      <c r="Z84" s="33">
        <f t="shared" si="47"/>
        <v>0</v>
      </c>
      <c r="AB84" s="33">
        <f t="shared" si="48"/>
        <v>0</v>
      </c>
      <c r="AC84" s="33">
        <f t="shared" si="49"/>
        <v>0</v>
      </c>
      <c r="AD84" s="33">
        <f t="shared" si="50"/>
        <v>0</v>
      </c>
      <c r="AE84" s="33">
        <f t="shared" si="51"/>
        <v>0</v>
      </c>
      <c r="AF84" s="33">
        <f t="shared" si="52"/>
        <v>0</v>
      </c>
      <c r="AG84" s="33">
        <f t="shared" si="53"/>
        <v>0</v>
      </c>
      <c r="AH84" s="33">
        <f t="shared" si="54"/>
        <v>0</v>
      </c>
      <c r="AI84" s="28"/>
      <c r="AJ84" s="16">
        <f t="shared" si="55"/>
        <v>0</v>
      </c>
      <c r="AK84" s="16">
        <f t="shared" si="56"/>
        <v>0</v>
      </c>
      <c r="AL84" s="16">
        <f t="shared" si="57"/>
        <v>0</v>
      </c>
      <c r="AN84" s="33">
        <v>21</v>
      </c>
      <c r="AO84" s="33">
        <f>H84*0</f>
        <v>0</v>
      </c>
      <c r="AP84" s="33">
        <f>H84*(1-0)</f>
        <v>0</v>
      </c>
      <c r="AQ84" s="27" t="s">
        <v>7</v>
      </c>
      <c r="AV84" s="33">
        <f t="shared" si="58"/>
        <v>0</v>
      </c>
      <c r="AW84" s="33">
        <f t="shared" si="59"/>
        <v>0</v>
      </c>
      <c r="AX84" s="33">
        <f t="shared" si="60"/>
        <v>0</v>
      </c>
      <c r="AY84" s="34" t="s">
        <v>1713</v>
      </c>
      <c r="AZ84" s="34" t="s">
        <v>1744</v>
      </c>
      <c r="BA84" s="28" t="s">
        <v>1752</v>
      </c>
      <c r="BC84" s="33">
        <f t="shared" si="61"/>
        <v>0</v>
      </c>
      <c r="BD84" s="33">
        <f t="shared" si="62"/>
        <v>0</v>
      </c>
      <c r="BE84" s="33">
        <v>0</v>
      </c>
      <c r="BF84" s="33">
        <f>84</f>
        <v>84</v>
      </c>
      <c r="BH84" s="16">
        <f t="shared" si="63"/>
        <v>0</v>
      </c>
      <c r="BI84" s="16">
        <f t="shared" si="64"/>
        <v>0</v>
      </c>
      <c r="BJ84" s="16">
        <f t="shared" si="65"/>
        <v>0</v>
      </c>
    </row>
    <row r="85" spans="1:62" x14ac:dyDescent="0.2">
      <c r="A85" s="4" t="s">
        <v>68</v>
      </c>
      <c r="B85" s="4" t="s">
        <v>604</v>
      </c>
      <c r="C85" s="131" t="s">
        <v>1158</v>
      </c>
      <c r="D85" s="132"/>
      <c r="E85" s="132"/>
      <c r="F85" s="4" t="s">
        <v>1663</v>
      </c>
      <c r="G85" s="68">
        <v>745.74199999999996</v>
      </c>
      <c r="H85" s="162">
        <v>0</v>
      </c>
      <c r="I85" s="16">
        <f t="shared" si="44"/>
        <v>0</v>
      </c>
      <c r="J85" s="16">
        <f t="shared" si="45"/>
        <v>0</v>
      </c>
      <c r="K85" s="16">
        <f t="shared" si="46"/>
        <v>0</v>
      </c>
      <c r="L85" s="27" t="s">
        <v>1692</v>
      </c>
      <c r="Z85" s="33">
        <f t="shared" si="47"/>
        <v>0</v>
      </c>
      <c r="AB85" s="33">
        <f t="shared" si="48"/>
        <v>0</v>
      </c>
      <c r="AC85" s="33">
        <f t="shared" si="49"/>
        <v>0</v>
      </c>
      <c r="AD85" s="33">
        <f t="shared" si="50"/>
        <v>0</v>
      </c>
      <c r="AE85" s="33">
        <f t="shared" si="51"/>
        <v>0</v>
      </c>
      <c r="AF85" s="33">
        <f t="shared" si="52"/>
        <v>0</v>
      </c>
      <c r="AG85" s="33">
        <f t="shared" si="53"/>
        <v>0</v>
      </c>
      <c r="AH85" s="33">
        <f t="shared" si="54"/>
        <v>0</v>
      </c>
      <c r="AI85" s="28"/>
      <c r="AJ85" s="16">
        <f t="shared" si="55"/>
        <v>0</v>
      </c>
      <c r="AK85" s="16">
        <f t="shared" si="56"/>
        <v>0</v>
      </c>
      <c r="AL85" s="16">
        <f t="shared" si="57"/>
        <v>0</v>
      </c>
      <c r="AN85" s="33">
        <v>21</v>
      </c>
      <c r="AO85" s="33">
        <f>H85*0.0709943211612876</f>
        <v>0</v>
      </c>
      <c r="AP85" s="33">
        <f>H85*(1-0.0709943211612876)</f>
        <v>0</v>
      </c>
      <c r="AQ85" s="27" t="s">
        <v>7</v>
      </c>
      <c r="AV85" s="33">
        <f t="shared" si="58"/>
        <v>0</v>
      </c>
      <c r="AW85" s="33">
        <f t="shared" si="59"/>
        <v>0</v>
      </c>
      <c r="AX85" s="33">
        <f t="shared" si="60"/>
        <v>0</v>
      </c>
      <c r="AY85" s="34" t="s">
        <v>1713</v>
      </c>
      <c r="AZ85" s="34" t="s">
        <v>1744</v>
      </c>
      <c r="BA85" s="28" t="s">
        <v>1752</v>
      </c>
      <c r="BC85" s="33">
        <f t="shared" si="61"/>
        <v>0</v>
      </c>
      <c r="BD85" s="33">
        <f t="shared" si="62"/>
        <v>0</v>
      </c>
      <c r="BE85" s="33">
        <v>0</v>
      </c>
      <c r="BF85" s="33">
        <f>85</f>
        <v>85</v>
      </c>
      <c r="BH85" s="16">
        <f t="shared" si="63"/>
        <v>0</v>
      </c>
      <c r="BI85" s="16">
        <f t="shared" si="64"/>
        <v>0</v>
      </c>
      <c r="BJ85" s="16">
        <f t="shared" si="65"/>
        <v>0</v>
      </c>
    </row>
    <row r="86" spans="1:62" x14ac:dyDescent="0.2">
      <c r="A86" s="4" t="s">
        <v>69</v>
      </c>
      <c r="B86" s="4" t="s">
        <v>605</v>
      </c>
      <c r="C86" s="131" t="s">
        <v>1159</v>
      </c>
      <c r="D86" s="132"/>
      <c r="E86" s="132"/>
      <c r="F86" s="4" t="s">
        <v>1663</v>
      </c>
      <c r="G86" s="68">
        <v>223.72300000000001</v>
      </c>
      <c r="H86" s="162">
        <v>0</v>
      </c>
      <c r="I86" s="16">
        <f t="shared" si="44"/>
        <v>0</v>
      </c>
      <c r="J86" s="16">
        <f t="shared" si="45"/>
        <v>0</v>
      </c>
      <c r="K86" s="16">
        <f t="shared" si="46"/>
        <v>0</v>
      </c>
      <c r="L86" s="27" t="s">
        <v>1692</v>
      </c>
      <c r="Z86" s="33">
        <f t="shared" si="47"/>
        <v>0</v>
      </c>
      <c r="AB86" s="33">
        <f t="shared" si="48"/>
        <v>0</v>
      </c>
      <c r="AC86" s="33">
        <f t="shared" si="49"/>
        <v>0</v>
      </c>
      <c r="AD86" s="33">
        <f t="shared" si="50"/>
        <v>0</v>
      </c>
      <c r="AE86" s="33">
        <f t="shared" si="51"/>
        <v>0</v>
      </c>
      <c r="AF86" s="33">
        <f t="shared" si="52"/>
        <v>0</v>
      </c>
      <c r="AG86" s="33">
        <f t="shared" si="53"/>
        <v>0</v>
      </c>
      <c r="AH86" s="33">
        <f t="shared" si="54"/>
        <v>0</v>
      </c>
      <c r="AI86" s="28"/>
      <c r="AJ86" s="16">
        <f t="shared" si="55"/>
        <v>0</v>
      </c>
      <c r="AK86" s="16">
        <f t="shared" si="56"/>
        <v>0</v>
      </c>
      <c r="AL86" s="16">
        <f t="shared" si="57"/>
        <v>0</v>
      </c>
      <c r="AN86" s="33">
        <v>21</v>
      </c>
      <c r="AO86" s="33">
        <f>H86*0</f>
        <v>0</v>
      </c>
      <c r="AP86" s="33">
        <f>H86*(1-0)</f>
        <v>0</v>
      </c>
      <c r="AQ86" s="27" t="s">
        <v>7</v>
      </c>
      <c r="AV86" s="33">
        <f t="shared" si="58"/>
        <v>0</v>
      </c>
      <c r="AW86" s="33">
        <f t="shared" si="59"/>
        <v>0</v>
      </c>
      <c r="AX86" s="33">
        <f t="shared" si="60"/>
        <v>0</v>
      </c>
      <c r="AY86" s="34" t="s">
        <v>1713</v>
      </c>
      <c r="AZ86" s="34" t="s">
        <v>1744</v>
      </c>
      <c r="BA86" s="28" t="s">
        <v>1752</v>
      </c>
      <c r="BC86" s="33">
        <f t="shared" si="61"/>
        <v>0</v>
      </c>
      <c r="BD86" s="33">
        <f t="shared" si="62"/>
        <v>0</v>
      </c>
      <c r="BE86" s="33">
        <v>0</v>
      </c>
      <c r="BF86" s="33">
        <f>86</f>
        <v>86</v>
      </c>
      <c r="BH86" s="16">
        <f t="shared" si="63"/>
        <v>0</v>
      </c>
      <c r="BI86" s="16">
        <f t="shared" si="64"/>
        <v>0</v>
      </c>
      <c r="BJ86" s="16">
        <f t="shared" si="65"/>
        <v>0</v>
      </c>
    </row>
    <row r="87" spans="1:62" x14ac:dyDescent="0.2">
      <c r="A87" s="4" t="s">
        <v>70</v>
      </c>
      <c r="B87" s="4" t="s">
        <v>606</v>
      </c>
      <c r="C87" s="131" t="s">
        <v>1160</v>
      </c>
      <c r="D87" s="132"/>
      <c r="E87" s="132"/>
      <c r="F87" s="4" t="s">
        <v>1663</v>
      </c>
      <c r="G87" s="68">
        <v>137.76400000000001</v>
      </c>
      <c r="H87" s="162">
        <v>0</v>
      </c>
      <c r="I87" s="16">
        <f t="shared" si="44"/>
        <v>0</v>
      </c>
      <c r="J87" s="16">
        <f t="shared" si="45"/>
        <v>0</v>
      </c>
      <c r="K87" s="16">
        <f t="shared" si="46"/>
        <v>0</v>
      </c>
      <c r="L87" s="27" t="s">
        <v>1692</v>
      </c>
      <c r="Z87" s="33">
        <f t="shared" si="47"/>
        <v>0</v>
      </c>
      <c r="AB87" s="33">
        <f t="shared" si="48"/>
        <v>0</v>
      </c>
      <c r="AC87" s="33">
        <f t="shared" si="49"/>
        <v>0</v>
      </c>
      <c r="AD87" s="33">
        <f t="shared" si="50"/>
        <v>0</v>
      </c>
      <c r="AE87" s="33">
        <f t="shared" si="51"/>
        <v>0</v>
      </c>
      <c r="AF87" s="33">
        <f t="shared" si="52"/>
        <v>0</v>
      </c>
      <c r="AG87" s="33">
        <f t="shared" si="53"/>
        <v>0</v>
      </c>
      <c r="AH87" s="33">
        <f t="shared" si="54"/>
        <v>0</v>
      </c>
      <c r="AI87" s="28"/>
      <c r="AJ87" s="16">
        <f t="shared" si="55"/>
        <v>0</v>
      </c>
      <c r="AK87" s="16">
        <f t="shared" si="56"/>
        <v>0</v>
      </c>
      <c r="AL87" s="16">
        <f t="shared" si="57"/>
        <v>0</v>
      </c>
      <c r="AN87" s="33">
        <v>21</v>
      </c>
      <c r="AO87" s="33">
        <f>H87*0.321413643806261</f>
        <v>0</v>
      </c>
      <c r="AP87" s="33">
        <f>H87*(1-0.321413643806261)</f>
        <v>0</v>
      </c>
      <c r="AQ87" s="27" t="s">
        <v>7</v>
      </c>
      <c r="AV87" s="33">
        <f t="shared" si="58"/>
        <v>0</v>
      </c>
      <c r="AW87" s="33">
        <f t="shared" si="59"/>
        <v>0</v>
      </c>
      <c r="AX87" s="33">
        <f t="shared" si="60"/>
        <v>0</v>
      </c>
      <c r="AY87" s="34" t="s">
        <v>1713</v>
      </c>
      <c r="AZ87" s="34" t="s">
        <v>1744</v>
      </c>
      <c r="BA87" s="28" t="s">
        <v>1752</v>
      </c>
      <c r="BC87" s="33">
        <f t="shared" si="61"/>
        <v>0</v>
      </c>
      <c r="BD87" s="33">
        <f t="shared" si="62"/>
        <v>0</v>
      </c>
      <c r="BE87" s="33">
        <v>0</v>
      </c>
      <c r="BF87" s="33">
        <f>87</f>
        <v>87</v>
      </c>
      <c r="BH87" s="16">
        <f t="shared" si="63"/>
        <v>0</v>
      </c>
      <c r="BI87" s="16">
        <f t="shared" si="64"/>
        <v>0</v>
      </c>
      <c r="BJ87" s="16">
        <f t="shared" si="65"/>
        <v>0</v>
      </c>
    </row>
    <row r="88" spans="1:62" x14ac:dyDescent="0.2">
      <c r="A88" s="5"/>
      <c r="B88" s="13" t="s">
        <v>70</v>
      </c>
      <c r="C88" s="136" t="s">
        <v>1161</v>
      </c>
      <c r="D88" s="137"/>
      <c r="E88" s="137"/>
      <c r="F88" s="5" t="s">
        <v>6</v>
      </c>
      <c r="G88" s="5" t="s">
        <v>6</v>
      </c>
      <c r="H88" s="163" t="s">
        <v>6</v>
      </c>
      <c r="I88" s="36">
        <f>SUM(I89:I90)</f>
        <v>0</v>
      </c>
      <c r="J88" s="36">
        <f>SUM(J89:J90)</f>
        <v>0</v>
      </c>
      <c r="K88" s="36">
        <f>SUM(K89:K90)</f>
        <v>0</v>
      </c>
      <c r="L88" s="28"/>
      <c r="AI88" s="28"/>
      <c r="AS88" s="36">
        <f>SUM(AJ89:AJ90)</f>
        <v>0</v>
      </c>
      <c r="AT88" s="36">
        <f>SUM(AK89:AK90)</f>
        <v>0</v>
      </c>
      <c r="AU88" s="36">
        <f>SUM(AL89:AL90)</f>
        <v>0</v>
      </c>
    </row>
    <row r="89" spans="1:62" x14ac:dyDescent="0.2">
      <c r="A89" s="4" t="s">
        <v>71</v>
      </c>
      <c r="B89" s="4" t="s">
        <v>607</v>
      </c>
      <c r="C89" s="131" t="s">
        <v>1162</v>
      </c>
      <c r="D89" s="132"/>
      <c r="E89" s="132"/>
      <c r="F89" s="4" t="s">
        <v>1666</v>
      </c>
      <c r="G89" s="68">
        <v>7.2</v>
      </c>
      <c r="H89" s="162">
        <v>0</v>
      </c>
      <c r="I89" s="16">
        <f>G89*AO89</f>
        <v>0</v>
      </c>
      <c r="J89" s="16">
        <f>G89*AP89</f>
        <v>0</v>
      </c>
      <c r="K89" s="16">
        <f>G89*H89</f>
        <v>0</v>
      </c>
      <c r="L89" s="27" t="s">
        <v>1692</v>
      </c>
      <c r="Z89" s="33">
        <f>IF(AQ89="5",BJ89,0)</f>
        <v>0</v>
      </c>
      <c r="AB89" s="33">
        <f>IF(AQ89="1",BH89,0)</f>
        <v>0</v>
      </c>
      <c r="AC89" s="33">
        <f>IF(AQ89="1",BI89,0)</f>
        <v>0</v>
      </c>
      <c r="AD89" s="33">
        <f>IF(AQ89="7",BH89,0)</f>
        <v>0</v>
      </c>
      <c r="AE89" s="33">
        <f>IF(AQ89="7",BI89,0)</f>
        <v>0</v>
      </c>
      <c r="AF89" s="33">
        <f>IF(AQ89="2",BH89,0)</f>
        <v>0</v>
      </c>
      <c r="AG89" s="33">
        <f>IF(AQ89="2",BI89,0)</f>
        <v>0</v>
      </c>
      <c r="AH89" s="33">
        <f>IF(AQ89="0",BJ89,0)</f>
        <v>0</v>
      </c>
      <c r="AI89" s="28"/>
      <c r="AJ89" s="16">
        <f>IF(AN89=0,K89,0)</f>
        <v>0</v>
      </c>
      <c r="AK89" s="16">
        <f>IF(AN89=15,K89,0)</f>
        <v>0</v>
      </c>
      <c r="AL89" s="16">
        <f>IF(AN89=21,K89,0)</f>
        <v>0</v>
      </c>
      <c r="AN89" s="33">
        <v>21</v>
      </c>
      <c r="AO89" s="33">
        <f>H89*0.491512195121951</f>
        <v>0</v>
      </c>
      <c r="AP89" s="33">
        <f>H89*(1-0.491512195121951)</f>
        <v>0</v>
      </c>
      <c r="AQ89" s="27" t="s">
        <v>7</v>
      </c>
      <c r="AV89" s="33">
        <f>AW89+AX89</f>
        <v>0</v>
      </c>
      <c r="AW89" s="33">
        <f>G89*AO89</f>
        <v>0</v>
      </c>
      <c r="AX89" s="33">
        <f>G89*AP89</f>
        <v>0</v>
      </c>
      <c r="AY89" s="34" t="s">
        <v>1714</v>
      </c>
      <c r="AZ89" s="34" t="s">
        <v>1744</v>
      </c>
      <c r="BA89" s="28" t="s">
        <v>1752</v>
      </c>
      <c r="BC89" s="33">
        <f>AW89+AX89</f>
        <v>0</v>
      </c>
      <c r="BD89" s="33">
        <f>H89/(100-BE89)*100</f>
        <v>0</v>
      </c>
      <c r="BE89" s="33">
        <v>0</v>
      </c>
      <c r="BF89" s="33">
        <f>89</f>
        <v>89</v>
      </c>
      <c r="BH89" s="16">
        <f>G89*AO89</f>
        <v>0</v>
      </c>
      <c r="BI89" s="16">
        <f>G89*AP89</f>
        <v>0</v>
      </c>
      <c r="BJ89" s="16">
        <f>G89*H89</f>
        <v>0</v>
      </c>
    </row>
    <row r="90" spans="1:62" x14ac:dyDescent="0.2">
      <c r="A90" s="4" t="s">
        <v>72</v>
      </c>
      <c r="B90" s="4" t="s">
        <v>608</v>
      </c>
      <c r="C90" s="131" t="s">
        <v>1163</v>
      </c>
      <c r="D90" s="132"/>
      <c r="E90" s="132"/>
      <c r="F90" s="4" t="s">
        <v>1666</v>
      </c>
      <c r="G90" s="68">
        <v>40.799999999999997</v>
      </c>
      <c r="H90" s="162">
        <v>0</v>
      </c>
      <c r="I90" s="16">
        <f>G90*AO90</f>
        <v>0</v>
      </c>
      <c r="J90" s="16">
        <f>G90*AP90</f>
        <v>0</v>
      </c>
      <c r="K90" s="16">
        <f>G90*H90</f>
        <v>0</v>
      </c>
      <c r="L90" s="27" t="s">
        <v>1692</v>
      </c>
      <c r="Z90" s="33">
        <f>IF(AQ90="5",BJ90,0)</f>
        <v>0</v>
      </c>
      <c r="AB90" s="33">
        <f>IF(AQ90="1",BH90,0)</f>
        <v>0</v>
      </c>
      <c r="AC90" s="33">
        <f>IF(AQ90="1",BI90,0)</f>
        <v>0</v>
      </c>
      <c r="AD90" s="33">
        <f>IF(AQ90="7",BH90,0)</f>
        <v>0</v>
      </c>
      <c r="AE90" s="33">
        <f>IF(AQ90="7",BI90,0)</f>
        <v>0</v>
      </c>
      <c r="AF90" s="33">
        <f>IF(AQ90="2",BH90,0)</f>
        <v>0</v>
      </c>
      <c r="AG90" s="33">
        <f>IF(AQ90="2",BI90,0)</f>
        <v>0</v>
      </c>
      <c r="AH90" s="33">
        <f>IF(AQ90="0",BJ90,0)</f>
        <v>0</v>
      </c>
      <c r="AI90" s="28"/>
      <c r="AJ90" s="16">
        <f>IF(AN90=0,K90,0)</f>
        <v>0</v>
      </c>
      <c r="AK90" s="16">
        <f>IF(AN90=15,K90,0)</f>
        <v>0</v>
      </c>
      <c r="AL90" s="16">
        <f>IF(AN90=21,K90,0)</f>
        <v>0</v>
      </c>
      <c r="AN90" s="33">
        <v>21</v>
      </c>
      <c r="AO90" s="33">
        <f>H90*0.5296</f>
        <v>0</v>
      </c>
      <c r="AP90" s="33">
        <f>H90*(1-0.5296)</f>
        <v>0</v>
      </c>
      <c r="AQ90" s="27" t="s">
        <v>7</v>
      </c>
      <c r="AV90" s="33">
        <f>AW90+AX90</f>
        <v>0</v>
      </c>
      <c r="AW90" s="33">
        <f>G90*AO90</f>
        <v>0</v>
      </c>
      <c r="AX90" s="33">
        <f>G90*AP90</f>
        <v>0</v>
      </c>
      <c r="AY90" s="34" t="s">
        <v>1714</v>
      </c>
      <c r="AZ90" s="34" t="s">
        <v>1744</v>
      </c>
      <c r="BA90" s="28" t="s">
        <v>1752</v>
      </c>
      <c r="BC90" s="33">
        <f>AW90+AX90</f>
        <v>0</v>
      </c>
      <c r="BD90" s="33">
        <f>H90/(100-BE90)*100</f>
        <v>0</v>
      </c>
      <c r="BE90" s="33">
        <v>0</v>
      </c>
      <c r="BF90" s="33">
        <f>90</f>
        <v>90</v>
      </c>
      <c r="BH90" s="16">
        <f>G90*AO90</f>
        <v>0</v>
      </c>
      <c r="BI90" s="16">
        <f>G90*AP90</f>
        <v>0</v>
      </c>
      <c r="BJ90" s="16">
        <f>G90*H90</f>
        <v>0</v>
      </c>
    </row>
    <row r="91" spans="1:62" x14ac:dyDescent="0.2">
      <c r="A91" s="5"/>
      <c r="B91" s="13" t="s">
        <v>96</v>
      </c>
      <c r="C91" s="136" t="s">
        <v>1164</v>
      </c>
      <c r="D91" s="137"/>
      <c r="E91" s="137"/>
      <c r="F91" s="5" t="s">
        <v>6</v>
      </c>
      <c r="G91" s="5" t="s">
        <v>6</v>
      </c>
      <c r="H91" s="163" t="s">
        <v>6</v>
      </c>
      <c r="I91" s="36">
        <f>SUM(I92:I92)</f>
        <v>0</v>
      </c>
      <c r="J91" s="36">
        <f>SUM(J92:J92)</f>
        <v>0</v>
      </c>
      <c r="K91" s="36">
        <f>SUM(K92:K92)</f>
        <v>0</v>
      </c>
      <c r="L91" s="28"/>
      <c r="AI91" s="28"/>
      <c r="AS91" s="36">
        <f>SUM(AJ92:AJ92)</f>
        <v>0</v>
      </c>
      <c r="AT91" s="36">
        <f>SUM(AK92:AK92)</f>
        <v>0</v>
      </c>
      <c r="AU91" s="36">
        <f>SUM(AL92:AL92)</f>
        <v>0</v>
      </c>
    </row>
    <row r="92" spans="1:62" x14ac:dyDescent="0.2">
      <c r="A92" s="4" t="s">
        <v>73</v>
      </c>
      <c r="B92" s="4" t="s">
        <v>609</v>
      </c>
      <c r="C92" s="131" t="s">
        <v>1165</v>
      </c>
      <c r="D92" s="132"/>
      <c r="E92" s="132"/>
      <c r="F92" s="4" t="s">
        <v>1667</v>
      </c>
      <c r="G92" s="68">
        <v>180</v>
      </c>
      <c r="H92" s="162">
        <v>0</v>
      </c>
      <c r="I92" s="16">
        <f>G92*AO92</f>
        <v>0</v>
      </c>
      <c r="J92" s="16">
        <f>G92*AP92</f>
        <v>0</v>
      </c>
      <c r="K92" s="16">
        <f>G92*H92</f>
        <v>0</v>
      </c>
      <c r="L92" s="27" t="s">
        <v>1692</v>
      </c>
      <c r="Z92" s="33">
        <f>IF(AQ92="5",BJ92,0)</f>
        <v>0</v>
      </c>
      <c r="AB92" s="33">
        <f>IF(AQ92="1",BH92,0)</f>
        <v>0</v>
      </c>
      <c r="AC92" s="33">
        <f>IF(AQ92="1",BI92,0)</f>
        <v>0</v>
      </c>
      <c r="AD92" s="33">
        <f>IF(AQ92="7",BH92,0)</f>
        <v>0</v>
      </c>
      <c r="AE92" s="33">
        <f>IF(AQ92="7",BI92,0)</f>
        <v>0</v>
      </c>
      <c r="AF92" s="33">
        <f>IF(AQ92="2",BH92,0)</f>
        <v>0</v>
      </c>
      <c r="AG92" s="33">
        <f>IF(AQ92="2",BI92,0)</f>
        <v>0</v>
      </c>
      <c r="AH92" s="33">
        <f>IF(AQ92="0",BJ92,0)</f>
        <v>0</v>
      </c>
      <c r="AI92" s="28"/>
      <c r="AJ92" s="16">
        <f>IF(AN92=0,K92,0)</f>
        <v>0</v>
      </c>
      <c r="AK92" s="16">
        <f>IF(AN92=15,K92,0)</f>
        <v>0</v>
      </c>
      <c r="AL92" s="16">
        <f>IF(AN92=21,K92,0)</f>
        <v>0</v>
      </c>
      <c r="AN92" s="33">
        <v>21</v>
      </c>
      <c r="AO92" s="33">
        <f>H92*0</f>
        <v>0</v>
      </c>
      <c r="AP92" s="33">
        <f>H92*(1-0)</f>
        <v>0</v>
      </c>
      <c r="AQ92" s="27" t="s">
        <v>7</v>
      </c>
      <c r="AV92" s="33">
        <f>AW92+AX92</f>
        <v>0</v>
      </c>
      <c r="AW92" s="33">
        <f>G92*AO92</f>
        <v>0</v>
      </c>
      <c r="AX92" s="33">
        <f>G92*AP92</f>
        <v>0</v>
      </c>
      <c r="AY92" s="34" t="s">
        <v>1715</v>
      </c>
      <c r="AZ92" s="34" t="s">
        <v>1745</v>
      </c>
      <c r="BA92" s="28" t="s">
        <v>1752</v>
      </c>
      <c r="BC92" s="33">
        <f>AW92+AX92</f>
        <v>0</v>
      </c>
      <c r="BD92" s="33">
        <f>H92/(100-BE92)*100</f>
        <v>0</v>
      </c>
      <c r="BE92" s="33">
        <v>0</v>
      </c>
      <c r="BF92" s="33">
        <f>92</f>
        <v>92</v>
      </c>
      <c r="BH92" s="16">
        <f>G92*AO92</f>
        <v>0</v>
      </c>
      <c r="BI92" s="16">
        <f>G92*AP92</f>
        <v>0</v>
      </c>
      <c r="BJ92" s="16">
        <f>G92*H92</f>
        <v>0</v>
      </c>
    </row>
    <row r="93" spans="1:62" x14ac:dyDescent="0.2">
      <c r="A93" s="5"/>
      <c r="B93" s="13" t="s">
        <v>100</v>
      </c>
      <c r="C93" s="136" t="s">
        <v>1166</v>
      </c>
      <c r="D93" s="137"/>
      <c r="E93" s="137"/>
      <c r="F93" s="5" t="s">
        <v>6</v>
      </c>
      <c r="G93" s="5" t="s">
        <v>6</v>
      </c>
      <c r="H93" s="163" t="s">
        <v>6</v>
      </c>
      <c r="I93" s="36">
        <f>SUM(I94:I101)</f>
        <v>0</v>
      </c>
      <c r="J93" s="36">
        <f>SUM(J94:J101)</f>
        <v>0</v>
      </c>
      <c r="K93" s="36">
        <f>SUM(K94:K101)</f>
        <v>0</v>
      </c>
      <c r="L93" s="28"/>
      <c r="AI93" s="28"/>
      <c r="AS93" s="36">
        <f>SUM(AJ94:AJ101)</f>
        <v>0</v>
      </c>
      <c r="AT93" s="36">
        <f>SUM(AK94:AK101)</f>
        <v>0</v>
      </c>
      <c r="AU93" s="36">
        <f>SUM(AL94:AL101)</f>
        <v>0</v>
      </c>
    </row>
    <row r="94" spans="1:62" x14ac:dyDescent="0.2">
      <c r="A94" s="4" t="s">
        <v>74</v>
      </c>
      <c r="B94" s="4" t="s">
        <v>610</v>
      </c>
      <c r="C94" s="131" t="s">
        <v>1167</v>
      </c>
      <c r="D94" s="132"/>
      <c r="E94" s="132"/>
      <c r="F94" s="4" t="s">
        <v>1663</v>
      </c>
      <c r="G94" s="68">
        <v>1125.787</v>
      </c>
      <c r="H94" s="162">
        <v>0</v>
      </c>
      <c r="I94" s="16">
        <f t="shared" ref="I94:I101" si="66">G94*AO94</f>
        <v>0</v>
      </c>
      <c r="J94" s="16">
        <f t="shared" ref="J94:J101" si="67">G94*AP94</f>
        <v>0</v>
      </c>
      <c r="K94" s="16">
        <f t="shared" ref="K94:K101" si="68">G94*H94</f>
        <v>0</v>
      </c>
      <c r="L94" s="27" t="s">
        <v>1692</v>
      </c>
      <c r="Z94" s="33">
        <f t="shared" ref="Z94:Z101" si="69">IF(AQ94="5",BJ94,0)</f>
        <v>0</v>
      </c>
      <c r="AB94" s="33">
        <f t="shared" ref="AB94:AB101" si="70">IF(AQ94="1",BH94,0)</f>
        <v>0</v>
      </c>
      <c r="AC94" s="33">
        <f t="shared" ref="AC94:AC101" si="71">IF(AQ94="1",BI94,0)</f>
        <v>0</v>
      </c>
      <c r="AD94" s="33">
        <f t="shared" ref="AD94:AD101" si="72">IF(AQ94="7",BH94,0)</f>
        <v>0</v>
      </c>
      <c r="AE94" s="33">
        <f t="shared" ref="AE94:AE101" si="73">IF(AQ94="7",BI94,0)</f>
        <v>0</v>
      </c>
      <c r="AF94" s="33">
        <f t="shared" ref="AF94:AF101" si="74">IF(AQ94="2",BH94,0)</f>
        <v>0</v>
      </c>
      <c r="AG94" s="33">
        <f t="shared" ref="AG94:AG101" si="75">IF(AQ94="2",BI94,0)</f>
        <v>0</v>
      </c>
      <c r="AH94" s="33">
        <f t="shared" ref="AH94:AH101" si="76">IF(AQ94="0",BJ94,0)</f>
        <v>0</v>
      </c>
      <c r="AI94" s="28"/>
      <c r="AJ94" s="16">
        <f t="shared" ref="AJ94:AJ101" si="77">IF(AN94=0,K94,0)</f>
        <v>0</v>
      </c>
      <c r="AK94" s="16">
        <f t="shared" ref="AK94:AK101" si="78">IF(AN94=15,K94,0)</f>
        <v>0</v>
      </c>
      <c r="AL94" s="16">
        <f t="shared" ref="AL94:AL101" si="79">IF(AN94=21,K94,0)</f>
        <v>0</v>
      </c>
      <c r="AN94" s="33">
        <v>21</v>
      </c>
      <c r="AO94" s="33">
        <f>H94*0.000325203254381036</f>
        <v>0</v>
      </c>
      <c r="AP94" s="33">
        <f>H94*(1-0.000325203254381036)</f>
        <v>0</v>
      </c>
      <c r="AQ94" s="27" t="s">
        <v>7</v>
      </c>
      <c r="AV94" s="33">
        <f t="shared" ref="AV94:AV101" si="80">AW94+AX94</f>
        <v>0</v>
      </c>
      <c r="AW94" s="33">
        <f t="shared" ref="AW94:AW101" si="81">G94*AO94</f>
        <v>0</v>
      </c>
      <c r="AX94" s="33">
        <f t="shared" ref="AX94:AX101" si="82">G94*AP94</f>
        <v>0</v>
      </c>
      <c r="AY94" s="34" t="s">
        <v>1716</v>
      </c>
      <c r="AZ94" s="34" t="s">
        <v>1745</v>
      </c>
      <c r="BA94" s="28" t="s">
        <v>1752</v>
      </c>
      <c r="BC94" s="33">
        <f t="shared" ref="BC94:BC101" si="83">AW94+AX94</f>
        <v>0</v>
      </c>
      <c r="BD94" s="33">
        <f t="shared" ref="BD94:BD101" si="84">H94/(100-BE94)*100</f>
        <v>0</v>
      </c>
      <c r="BE94" s="33">
        <v>0</v>
      </c>
      <c r="BF94" s="33">
        <f>94</f>
        <v>94</v>
      </c>
      <c r="BH94" s="16">
        <f t="shared" ref="BH94:BH101" si="85">G94*AO94</f>
        <v>0</v>
      </c>
      <c r="BI94" s="16">
        <f t="shared" ref="BI94:BI101" si="86">G94*AP94</f>
        <v>0</v>
      </c>
      <c r="BJ94" s="16">
        <f t="shared" ref="BJ94:BJ101" si="87">G94*H94</f>
        <v>0</v>
      </c>
    </row>
    <row r="95" spans="1:62" x14ac:dyDescent="0.2">
      <c r="A95" s="4" t="s">
        <v>75</v>
      </c>
      <c r="B95" s="4" t="s">
        <v>611</v>
      </c>
      <c r="C95" s="131" t="s">
        <v>1168</v>
      </c>
      <c r="D95" s="132"/>
      <c r="E95" s="132"/>
      <c r="F95" s="4" t="s">
        <v>1663</v>
      </c>
      <c r="G95" s="68">
        <v>3377.3609999999999</v>
      </c>
      <c r="H95" s="162">
        <v>0</v>
      </c>
      <c r="I95" s="16">
        <f t="shared" si="66"/>
        <v>0</v>
      </c>
      <c r="J95" s="16">
        <f t="shared" si="67"/>
        <v>0</v>
      </c>
      <c r="K95" s="16">
        <f t="shared" si="68"/>
        <v>0</v>
      </c>
      <c r="L95" s="27" t="s">
        <v>1692</v>
      </c>
      <c r="Z95" s="33">
        <f t="shared" si="69"/>
        <v>0</v>
      </c>
      <c r="AB95" s="33">
        <f t="shared" si="70"/>
        <v>0</v>
      </c>
      <c r="AC95" s="33">
        <f t="shared" si="71"/>
        <v>0</v>
      </c>
      <c r="AD95" s="33">
        <f t="shared" si="72"/>
        <v>0</v>
      </c>
      <c r="AE95" s="33">
        <f t="shared" si="73"/>
        <v>0</v>
      </c>
      <c r="AF95" s="33">
        <f t="shared" si="74"/>
        <v>0</v>
      </c>
      <c r="AG95" s="33">
        <f t="shared" si="75"/>
        <v>0</v>
      </c>
      <c r="AH95" s="33">
        <f t="shared" si="76"/>
        <v>0</v>
      </c>
      <c r="AI95" s="28"/>
      <c r="AJ95" s="16">
        <f t="shared" si="77"/>
        <v>0</v>
      </c>
      <c r="AK95" s="16">
        <f t="shared" si="78"/>
        <v>0</v>
      </c>
      <c r="AL95" s="16">
        <f t="shared" si="79"/>
        <v>0</v>
      </c>
      <c r="AN95" s="33">
        <v>21</v>
      </c>
      <c r="AO95" s="33">
        <f>H95*0.912408772927595</f>
        <v>0</v>
      </c>
      <c r="AP95" s="33">
        <f>H95*(1-0.912408772927595)</f>
        <v>0</v>
      </c>
      <c r="AQ95" s="27" t="s">
        <v>7</v>
      </c>
      <c r="AV95" s="33">
        <f t="shared" si="80"/>
        <v>0</v>
      </c>
      <c r="AW95" s="33">
        <f t="shared" si="81"/>
        <v>0</v>
      </c>
      <c r="AX95" s="33">
        <f t="shared" si="82"/>
        <v>0</v>
      </c>
      <c r="AY95" s="34" t="s">
        <v>1716</v>
      </c>
      <c r="AZ95" s="34" t="s">
        <v>1745</v>
      </c>
      <c r="BA95" s="28" t="s">
        <v>1752</v>
      </c>
      <c r="BC95" s="33">
        <f t="shared" si="83"/>
        <v>0</v>
      </c>
      <c r="BD95" s="33">
        <f t="shared" si="84"/>
        <v>0</v>
      </c>
      <c r="BE95" s="33">
        <v>0</v>
      </c>
      <c r="BF95" s="33">
        <f>95</f>
        <v>95</v>
      </c>
      <c r="BH95" s="16">
        <f t="shared" si="85"/>
        <v>0</v>
      </c>
      <c r="BI95" s="16">
        <f t="shared" si="86"/>
        <v>0</v>
      </c>
      <c r="BJ95" s="16">
        <f t="shared" si="87"/>
        <v>0</v>
      </c>
    </row>
    <row r="96" spans="1:62" x14ac:dyDescent="0.2">
      <c r="A96" s="4" t="s">
        <v>76</v>
      </c>
      <c r="B96" s="4" t="s">
        <v>612</v>
      </c>
      <c r="C96" s="131" t="s">
        <v>1169</v>
      </c>
      <c r="D96" s="132"/>
      <c r="E96" s="132"/>
      <c r="F96" s="4" t="s">
        <v>1663</v>
      </c>
      <c r="G96" s="68">
        <v>1125.787</v>
      </c>
      <c r="H96" s="162">
        <v>0</v>
      </c>
      <c r="I96" s="16">
        <f t="shared" si="66"/>
        <v>0</v>
      </c>
      <c r="J96" s="16">
        <f t="shared" si="67"/>
        <v>0</v>
      </c>
      <c r="K96" s="16">
        <f t="shared" si="68"/>
        <v>0</v>
      </c>
      <c r="L96" s="27" t="s">
        <v>1692</v>
      </c>
      <c r="Z96" s="33">
        <f t="shared" si="69"/>
        <v>0</v>
      </c>
      <c r="AB96" s="33">
        <f t="shared" si="70"/>
        <v>0</v>
      </c>
      <c r="AC96" s="33">
        <f t="shared" si="71"/>
        <v>0</v>
      </c>
      <c r="AD96" s="33">
        <f t="shared" si="72"/>
        <v>0</v>
      </c>
      <c r="AE96" s="33">
        <f t="shared" si="73"/>
        <v>0</v>
      </c>
      <c r="AF96" s="33">
        <f t="shared" si="74"/>
        <v>0</v>
      </c>
      <c r="AG96" s="33">
        <f t="shared" si="75"/>
        <v>0</v>
      </c>
      <c r="AH96" s="33">
        <f t="shared" si="76"/>
        <v>0</v>
      </c>
      <c r="AI96" s="28"/>
      <c r="AJ96" s="16">
        <f t="shared" si="77"/>
        <v>0</v>
      </c>
      <c r="AK96" s="16">
        <f t="shared" si="78"/>
        <v>0</v>
      </c>
      <c r="AL96" s="16">
        <f t="shared" si="79"/>
        <v>0</v>
      </c>
      <c r="AN96" s="33">
        <v>21</v>
      </c>
      <c r="AO96" s="33">
        <f>H96*0</f>
        <v>0</v>
      </c>
      <c r="AP96" s="33">
        <f>H96*(1-0)</f>
        <v>0</v>
      </c>
      <c r="AQ96" s="27" t="s">
        <v>7</v>
      </c>
      <c r="AV96" s="33">
        <f t="shared" si="80"/>
        <v>0</v>
      </c>
      <c r="AW96" s="33">
        <f t="shared" si="81"/>
        <v>0</v>
      </c>
      <c r="AX96" s="33">
        <f t="shared" si="82"/>
        <v>0</v>
      </c>
      <c r="AY96" s="34" t="s">
        <v>1716</v>
      </c>
      <c r="AZ96" s="34" t="s">
        <v>1745</v>
      </c>
      <c r="BA96" s="28" t="s">
        <v>1752</v>
      </c>
      <c r="BC96" s="33">
        <f t="shared" si="83"/>
        <v>0</v>
      </c>
      <c r="BD96" s="33">
        <f t="shared" si="84"/>
        <v>0</v>
      </c>
      <c r="BE96" s="33">
        <v>0</v>
      </c>
      <c r="BF96" s="33">
        <f>96</f>
        <v>96</v>
      </c>
      <c r="BH96" s="16">
        <f t="shared" si="85"/>
        <v>0</v>
      </c>
      <c r="BI96" s="16">
        <f t="shared" si="86"/>
        <v>0</v>
      </c>
      <c r="BJ96" s="16">
        <f t="shared" si="87"/>
        <v>0</v>
      </c>
    </row>
    <row r="97" spans="1:62" x14ac:dyDescent="0.2">
      <c r="A97" s="4" t="s">
        <v>77</v>
      </c>
      <c r="B97" s="4" t="s">
        <v>613</v>
      </c>
      <c r="C97" s="131" t="s">
        <v>1170</v>
      </c>
      <c r="D97" s="132"/>
      <c r="E97" s="132"/>
      <c r="F97" s="4" t="s">
        <v>1663</v>
      </c>
      <c r="G97" s="68">
        <v>500</v>
      </c>
      <c r="H97" s="162">
        <v>0</v>
      </c>
      <c r="I97" s="16">
        <f t="shared" si="66"/>
        <v>0</v>
      </c>
      <c r="J97" s="16">
        <f t="shared" si="67"/>
        <v>0</v>
      </c>
      <c r="K97" s="16">
        <f t="shared" si="68"/>
        <v>0</v>
      </c>
      <c r="L97" s="27" t="s">
        <v>1692</v>
      </c>
      <c r="Z97" s="33">
        <f t="shared" si="69"/>
        <v>0</v>
      </c>
      <c r="AB97" s="33">
        <f t="shared" si="70"/>
        <v>0</v>
      </c>
      <c r="AC97" s="33">
        <f t="shared" si="71"/>
        <v>0</v>
      </c>
      <c r="AD97" s="33">
        <f t="shared" si="72"/>
        <v>0</v>
      </c>
      <c r="AE97" s="33">
        <f t="shared" si="73"/>
        <v>0</v>
      </c>
      <c r="AF97" s="33">
        <f t="shared" si="74"/>
        <v>0</v>
      </c>
      <c r="AG97" s="33">
        <f t="shared" si="75"/>
        <v>0</v>
      </c>
      <c r="AH97" s="33">
        <f t="shared" si="76"/>
        <v>0</v>
      </c>
      <c r="AI97" s="28"/>
      <c r="AJ97" s="16">
        <f t="shared" si="77"/>
        <v>0</v>
      </c>
      <c r="AK97" s="16">
        <f t="shared" si="78"/>
        <v>0</v>
      </c>
      <c r="AL97" s="16">
        <f t="shared" si="79"/>
        <v>0</v>
      </c>
      <c r="AN97" s="33">
        <v>21</v>
      </c>
      <c r="AO97" s="33">
        <f>H97*0.355789473684211</f>
        <v>0</v>
      </c>
      <c r="AP97" s="33">
        <f>H97*(1-0.355789473684211)</f>
        <v>0</v>
      </c>
      <c r="AQ97" s="27" t="s">
        <v>7</v>
      </c>
      <c r="AV97" s="33">
        <f t="shared" si="80"/>
        <v>0</v>
      </c>
      <c r="AW97" s="33">
        <f t="shared" si="81"/>
        <v>0</v>
      </c>
      <c r="AX97" s="33">
        <f t="shared" si="82"/>
        <v>0</v>
      </c>
      <c r="AY97" s="34" t="s">
        <v>1716</v>
      </c>
      <c r="AZ97" s="34" t="s">
        <v>1745</v>
      </c>
      <c r="BA97" s="28" t="s">
        <v>1752</v>
      </c>
      <c r="BC97" s="33">
        <f t="shared" si="83"/>
        <v>0</v>
      </c>
      <c r="BD97" s="33">
        <f t="shared" si="84"/>
        <v>0</v>
      </c>
      <c r="BE97" s="33">
        <v>0</v>
      </c>
      <c r="BF97" s="33">
        <f>97</f>
        <v>97</v>
      </c>
      <c r="BH97" s="16">
        <f t="shared" si="85"/>
        <v>0</v>
      </c>
      <c r="BI97" s="16">
        <f t="shared" si="86"/>
        <v>0</v>
      </c>
      <c r="BJ97" s="16">
        <f t="shared" si="87"/>
        <v>0</v>
      </c>
    </row>
    <row r="98" spans="1:62" x14ac:dyDescent="0.2">
      <c r="A98" s="4" t="s">
        <v>78</v>
      </c>
      <c r="B98" s="4" t="s">
        <v>614</v>
      </c>
      <c r="C98" s="131" t="s">
        <v>1171</v>
      </c>
      <c r="D98" s="132"/>
      <c r="E98" s="132"/>
      <c r="F98" s="4" t="s">
        <v>1663</v>
      </c>
      <c r="G98" s="68">
        <v>1125.787</v>
      </c>
      <c r="H98" s="162">
        <v>0</v>
      </c>
      <c r="I98" s="16">
        <f t="shared" si="66"/>
        <v>0</v>
      </c>
      <c r="J98" s="16">
        <f t="shared" si="67"/>
        <v>0</v>
      </c>
      <c r="K98" s="16">
        <f t="shared" si="68"/>
        <v>0</v>
      </c>
      <c r="L98" s="27" t="s">
        <v>1692</v>
      </c>
      <c r="Z98" s="33">
        <f t="shared" si="69"/>
        <v>0</v>
      </c>
      <c r="AB98" s="33">
        <f t="shared" si="70"/>
        <v>0</v>
      </c>
      <c r="AC98" s="33">
        <f t="shared" si="71"/>
        <v>0</v>
      </c>
      <c r="AD98" s="33">
        <f t="shared" si="72"/>
        <v>0</v>
      </c>
      <c r="AE98" s="33">
        <f t="shared" si="73"/>
        <v>0</v>
      </c>
      <c r="AF98" s="33">
        <f t="shared" si="74"/>
        <v>0</v>
      </c>
      <c r="AG98" s="33">
        <f t="shared" si="75"/>
        <v>0</v>
      </c>
      <c r="AH98" s="33">
        <f t="shared" si="76"/>
        <v>0</v>
      </c>
      <c r="AI98" s="28"/>
      <c r="AJ98" s="16">
        <f t="shared" si="77"/>
        <v>0</v>
      </c>
      <c r="AK98" s="16">
        <f t="shared" si="78"/>
        <v>0</v>
      </c>
      <c r="AL98" s="16">
        <f t="shared" si="79"/>
        <v>0</v>
      </c>
      <c r="AN98" s="33">
        <v>21</v>
      </c>
      <c r="AO98" s="33">
        <f>H98*0</f>
        <v>0</v>
      </c>
      <c r="AP98" s="33">
        <f>H98*(1-0)</f>
        <v>0</v>
      </c>
      <c r="AQ98" s="27" t="s">
        <v>7</v>
      </c>
      <c r="AV98" s="33">
        <f t="shared" si="80"/>
        <v>0</v>
      </c>
      <c r="AW98" s="33">
        <f t="shared" si="81"/>
        <v>0</v>
      </c>
      <c r="AX98" s="33">
        <f t="shared" si="82"/>
        <v>0</v>
      </c>
      <c r="AY98" s="34" t="s">
        <v>1716</v>
      </c>
      <c r="AZ98" s="34" t="s">
        <v>1745</v>
      </c>
      <c r="BA98" s="28" t="s">
        <v>1752</v>
      </c>
      <c r="BC98" s="33">
        <f t="shared" si="83"/>
        <v>0</v>
      </c>
      <c r="BD98" s="33">
        <f t="shared" si="84"/>
        <v>0</v>
      </c>
      <c r="BE98" s="33">
        <v>0</v>
      </c>
      <c r="BF98" s="33">
        <f>98</f>
        <v>98</v>
      </c>
      <c r="BH98" s="16">
        <f t="shared" si="85"/>
        <v>0</v>
      </c>
      <c r="BI98" s="16">
        <f t="shared" si="86"/>
        <v>0</v>
      </c>
      <c r="BJ98" s="16">
        <f t="shared" si="87"/>
        <v>0</v>
      </c>
    </row>
    <row r="99" spans="1:62" x14ac:dyDescent="0.2">
      <c r="A99" s="4" t="s">
        <v>79</v>
      </c>
      <c r="B99" s="4" t="s">
        <v>615</v>
      </c>
      <c r="C99" s="131" t="s">
        <v>1172</v>
      </c>
      <c r="D99" s="132"/>
      <c r="E99" s="132"/>
      <c r="F99" s="4" t="s">
        <v>1663</v>
      </c>
      <c r="G99" s="68">
        <v>3377.3609999999999</v>
      </c>
      <c r="H99" s="162">
        <v>0</v>
      </c>
      <c r="I99" s="16">
        <f t="shared" si="66"/>
        <v>0</v>
      </c>
      <c r="J99" s="16">
        <f t="shared" si="67"/>
        <v>0</v>
      </c>
      <c r="K99" s="16">
        <f t="shared" si="68"/>
        <v>0</v>
      </c>
      <c r="L99" s="27" t="s">
        <v>1692</v>
      </c>
      <c r="Z99" s="33">
        <f t="shared" si="69"/>
        <v>0</v>
      </c>
      <c r="AB99" s="33">
        <f t="shared" si="70"/>
        <v>0</v>
      </c>
      <c r="AC99" s="33">
        <f t="shared" si="71"/>
        <v>0</v>
      </c>
      <c r="AD99" s="33">
        <f t="shared" si="72"/>
        <v>0</v>
      </c>
      <c r="AE99" s="33">
        <f t="shared" si="73"/>
        <v>0</v>
      </c>
      <c r="AF99" s="33">
        <f t="shared" si="74"/>
        <v>0</v>
      </c>
      <c r="AG99" s="33">
        <f t="shared" si="75"/>
        <v>0</v>
      </c>
      <c r="AH99" s="33">
        <f t="shared" si="76"/>
        <v>0</v>
      </c>
      <c r="AI99" s="28"/>
      <c r="AJ99" s="16">
        <f t="shared" si="77"/>
        <v>0</v>
      </c>
      <c r="AK99" s="16">
        <f t="shared" si="78"/>
        <v>0</v>
      </c>
      <c r="AL99" s="16">
        <f t="shared" si="79"/>
        <v>0</v>
      </c>
      <c r="AN99" s="33">
        <v>21</v>
      </c>
      <c r="AO99" s="33">
        <f>H99*0.999999988464059</f>
        <v>0</v>
      </c>
      <c r="AP99" s="33">
        <f>H99*(1-0.999999988464059)</f>
        <v>0</v>
      </c>
      <c r="AQ99" s="27" t="s">
        <v>7</v>
      </c>
      <c r="AV99" s="33">
        <f t="shared" si="80"/>
        <v>0</v>
      </c>
      <c r="AW99" s="33">
        <f t="shared" si="81"/>
        <v>0</v>
      </c>
      <c r="AX99" s="33">
        <f t="shared" si="82"/>
        <v>0</v>
      </c>
      <c r="AY99" s="34" t="s">
        <v>1716</v>
      </c>
      <c r="AZ99" s="34" t="s">
        <v>1745</v>
      </c>
      <c r="BA99" s="28" t="s">
        <v>1752</v>
      </c>
      <c r="BC99" s="33">
        <f t="shared" si="83"/>
        <v>0</v>
      </c>
      <c r="BD99" s="33">
        <f t="shared" si="84"/>
        <v>0</v>
      </c>
      <c r="BE99" s="33">
        <v>0</v>
      </c>
      <c r="BF99" s="33">
        <f>99</f>
        <v>99</v>
      </c>
      <c r="BH99" s="16">
        <f t="shared" si="85"/>
        <v>0</v>
      </c>
      <c r="BI99" s="16">
        <f t="shared" si="86"/>
        <v>0</v>
      </c>
      <c r="BJ99" s="16">
        <f t="shared" si="87"/>
        <v>0</v>
      </c>
    </row>
    <row r="100" spans="1:62" x14ac:dyDescent="0.2">
      <c r="A100" s="4" t="s">
        <v>80</v>
      </c>
      <c r="B100" s="4" t="s">
        <v>616</v>
      </c>
      <c r="C100" s="131" t="s">
        <v>1173</v>
      </c>
      <c r="D100" s="132"/>
      <c r="E100" s="132"/>
      <c r="F100" s="4" t="s">
        <v>1663</v>
      </c>
      <c r="G100" s="68">
        <v>1125.787</v>
      </c>
      <c r="H100" s="162">
        <v>0</v>
      </c>
      <c r="I100" s="16">
        <f t="shared" si="66"/>
        <v>0</v>
      </c>
      <c r="J100" s="16">
        <f t="shared" si="67"/>
        <v>0</v>
      </c>
      <c r="K100" s="16">
        <f t="shared" si="68"/>
        <v>0</v>
      </c>
      <c r="L100" s="27" t="s">
        <v>1692</v>
      </c>
      <c r="Z100" s="33">
        <f t="shared" si="69"/>
        <v>0</v>
      </c>
      <c r="AB100" s="33">
        <f t="shared" si="70"/>
        <v>0</v>
      </c>
      <c r="AC100" s="33">
        <f t="shared" si="71"/>
        <v>0</v>
      </c>
      <c r="AD100" s="33">
        <f t="shared" si="72"/>
        <v>0</v>
      </c>
      <c r="AE100" s="33">
        <f t="shared" si="73"/>
        <v>0</v>
      </c>
      <c r="AF100" s="33">
        <f t="shared" si="74"/>
        <v>0</v>
      </c>
      <c r="AG100" s="33">
        <f t="shared" si="75"/>
        <v>0</v>
      </c>
      <c r="AH100" s="33">
        <f t="shared" si="76"/>
        <v>0</v>
      </c>
      <c r="AI100" s="28"/>
      <c r="AJ100" s="16">
        <f t="shared" si="77"/>
        <v>0</v>
      </c>
      <c r="AK100" s="16">
        <f t="shared" si="78"/>
        <v>0</v>
      </c>
      <c r="AL100" s="16">
        <f t="shared" si="79"/>
        <v>0</v>
      </c>
      <c r="AN100" s="33">
        <v>21</v>
      </c>
      <c r="AO100" s="33">
        <f>H100*0</f>
        <v>0</v>
      </c>
      <c r="AP100" s="33">
        <f>H100*(1-0)</f>
        <v>0</v>
      </c>
      <c r="AQ100" s="27" t="s">
        <v>7</v>
      </c>
      <c r="AV100" s="33">
        <f t="shared" si="80"/>
        <v>0</v>
      </c>
      <c r="AW100" s="33">
        <f t="shared" si="81"/>
        <v>0</v>
      </c>
      <c r="AX100" s="33">
        <f t="shared" si="82"/>
        <v>0</v>
      </c>
      <c r="AY100" s="34" t="s">
        <v>1716</v>
      </c>
      <c r="AZ100" s="34" t="s">
        <v>1745</v>
      </c>
      <c r="BA100" s="28" t="s">
        <v>1752</v>
      </c>
      <c r="BC100" s="33">
        <f t="shared" si="83"/>
        <v>0</v>
      </c>
      <c r="BD100" s="33">
        <f t="shared" si="84"/>
        <v>0</v>
      </c>
      <c r="BE100" s="33">
        <v>0</v>
      </c>
      <c r="BF100" s="33">
        <f>100</f>
        <v>100</v>
      </c>
      <c r="BH100" s="16">
        <f t="shared" si="85"/>
        <v>0</v>
      </c>
      <c r="BI100" s="16">
        <f t="shared" si="86"/>
        <v>0</v>
      </c>
      <c r="BJ100" s="16">
        <f t="shared" si="87"/>
        <v>0</v>
      </c>
    </row>
    <row r="101" spans="1:62" x14ac:dyDescent="0.2">
      <c r="A101" s="4" t="s">
        <v>81</v>
      </c>
      <c r="B101" s="4" t="s">
        <v>617</v>
      </c>
      <c r="C101" s="131" t="s">
        <v>1174</v>
      </c>
      <c r="D101" s="132"/>
      <c r="E101" s="132"/>
      <c r="F101" s="4" t="s">
        <v>1668</v>
      </c>
      <c r="G101" s="68">
        <v>50</v>
      </c>
      <c r="H101" s="162">
        <v>0</v>
      </c>
      <c r="I101" s="16">
        <f t="shared" si="66"/>
        <v>0</v>
      </c>
      <c r="J101" s="16">
        <f t="shared" si="67"/>
        <v>0</v>
      </c>
      <c r="K101" s="16">
        <f t="shared" si="68"/>
        <v>0</v>
      </c>
      <c r="L101" s="27" t="s">
        <v>1692</v>
      </c>
      <c r="Z101" s="33">
        <f t="shared" si="69"/>
        <v>0</v>
      </c>
      <c r="AB101" s="33">
        <f t="shared" si="70"/>
        <v>0</v>
      </c>
      <c r="AC101" s="33">
        <f t="shared" si="71"/>
        <v>0</v>
      </c>
      <c r="AD101" s="33">
        <f t="shared" si="72"/>
        <v>0</v>
      </c>
      <c r="AE101" s="33">
        <f t="shared" si="73"/>
        <v>0</v>
      </c>
      <c r="AF101" s="33">
        <f t="shared" si="74"/>
        <v>0</v>
      </c>
      <c r="AG101" s="33">
        <f t="shared" si="75"/>
        <v>0</v>
      </c>
      <c r="AH101" s="33">
        <f t="shared" si="76"/>
        <v>0</v>
      </c>
      <c r="AI101" s="28"/>
      <c r="AJ101" s="16">
        <f t="shared" si="77"/>
        <v>0</v>
      </c>
      <c r="AK101" s="16">
        <f t="shared" si="78"/>
        <v>0</v>
      </c>
      <c r="AL101" s="16">
        <f t="shared" si="79"/>
        <v>0</v>
      </c>
      <c r="AN101" s="33">
        <v>21</v>
      </c>
      <c r="AO101" s="33">
        <f>H101*0</f>
        <v>0</v>
      </c>
      <c r="AP101" s="33">
        <f>H101*(1-0)</f>
        <v>0</v>
      </c>
      <c r="AQ101" s="27" t="s">
        <v>7</v>
      </c>
      <c r="AV101" s="33">
        <f t="shared" si="80"/>
        <v>0</v>
      </c>
      <c r="AW101" s="33">
        <f t="shared" si="81"/>
        <v>0</v>
      </c>
      <c r="AX101" s="33">
        <f t="shared" si="82"/>
        <v>0</v>
      </c>
      <c r="AY101" s="34" t="s">
        <v>1716</v>
      </c>
      <c r="AZ101" s="34" t="s">
        <v>1745</v>
      </c>
      <c r="BA101" s="28" t="s">
        <v>1752</v>
      </c>
      <c r="BC101" s="33">
        <f t="shared" si="83"/>
        <v>0</v>
      </c>
      <c r="BD101" s="33">
        <f t="shared" si="84"/>
        <v>0</v>
      </c>
      <c r="BE101" s="33">
        <v>0</v>
      </c>
      <c r="BF101" s="33">
        <f>101</f>
        <v>101</v>
      </c>
      <c r="BH101" s="16">
        <f t="shared" si="85"/>
        <v>0</v>
      </c>
      <c r="BI101" s="16">
        <f t="shared" si="86"/>
        <v>0</v>
      </c>
      <c r="BJ101" s="16">
        <f t="shared" si="87"/>
        <v>0</v>
      </c>
    </row>
    <row r="102" spans="1:62" x14ac:dyDescent="0.2">
      <c r="A102" s="5"/>
      <c r="B102" s="13" t="s">
        <v>101</v>
      </c>
      <c r="C102" s="136" t="s">
        <v>1175</v>
      </c>
      <c r="D102" s="137"/>
      <c r="E102" s="137"/>
      <c r="F102" s="5" t="s">
        <v>6</v>
      </c>
      <c r="G102" s="5" t="s">
        <v>6</v>
      </c>
      <c r="H102" s="163" t="s">
        <v>6</v>
      </c>
      <c r="I102" s="36">
        <f>SUM(I103:I114)</f>
        <v>0</v>
      </c>
      <c r="J102" s="36">
        <f>SUM(J103:J114)</f>
        <v>0</v>
      </c>
      <c r="K102" s="36">
        <f>SUM(K103:K114)</f>
        <v>0</v>
      </c>
      <c r="L102" s="28"/>
      <c r="AI102" s="28"/>
      <c r="AS102" s="36">
        <f>SUM(AJ103:AJ114)</f>
        <v>0</v>
      </c>
      <c r="AT102" s="36">
        <f>SUM(AK103:AK114)</f>
        <v>0</v>
      </c>
      <c r="AU102" s="36">
        <f>SUM(AL103:AL114)</f>
        <v>0</v>
      </c>
    </row>
    <row r="103" spans="1:62" x14ac:dyDescent="0.2">
      <c r="A103" s="4" t="s">
        <v>82</v>
      </c>
      <c r="B103" s="4" t="s">
        <v>618</v>
      </c>
      <c r="C103" s="131" t="s">
        <v>1176</v>
      </c>
      <c r="D103" s="132"/>
      <c r="E103" s="132"/>
      <c r="F103" s="4" t="s">
        <v>1663</v>
      </c>
      <c r="G103" s="68">
        <v>269.666</v>
      </c>
      <c r="H103" s="162">
        <v>0</v>
      </c>
      <c r="I103" s="16">
        <f t="shared" ref="I103:I114" si="88">G103*AO103</f>
        <v>0</v>
      </c>
      <c r="J103" s="16">
        <f t="shared" ref="J103:J114" si="89">G103*AP103</f>
        <v>0</v>
      </c>
      <c r="K103" s="16">
        <f t="shared" ref="K103:K114" si="90">G103*H103</f>
        <v>0</v>
      </c>
      <c r="L103" s="27" t="s">
        <v>1692</v>
      </c>
      <c r="Z103" s="33">
        <f t="shared" ref="Z103:Z114" si="91">IF(AQ103="5",BJ103,0)</f>
        <v>0</v>
      </c>
      <c r="AB103" s="33">
        <f t="shared" ref="AB103:AB114" si="92">IF(AQ103="1",BH103,0)</f>
        <v>0</v>
      </c>
      <c r="AC103" s="33">
        <f t="shared" ref="AC103:AC114" si="93">IF(AQ103="1",BI103,0)</f>
        <v>0</v>
      </c>
      <c r="AD103" s="33">
        <f t="shared" ref="AD103:AD114" si="94">IF(AQ103="7",BH103,0)</f>
        <v>0</v>
      </c>
      <c r="AE103" s="33">
        <f t="shared" ref="AE103:AE114" si="95">IF(AQ103="7",BI103,0)</f>
        <v>0</v>
      </c>
      <c r="AF103" s="33">
        <f t="shared" ref="AF103:AF114" si="96">IF(AQ103="2",BH103,0)</f>
        <v>0</v>
      </c>
      <c r="AG103" s="33">
        <f t="shared" ref="AG103:AG114" si="97">IF(AQ103="2",BI103,0)</f>
        <v>0</v>
      </c>
      <c r="AH103" s="33">
        <f t="shared" ref="AH103:AH114" si="98">IF(AQ103="0",BJ103,0)</f>
        <v>0</v>
      </c>
      <c r="AI103" s="28"/>
      <c r="AJ103" s="16">
        <f t="shared" ref="AJ103:AJ114" si="99">IF(AN103=0,K103,0)</f>
        <v>0</v>
      </c>
      <c r="AK103" s="16">
        <f t="shared" ref="AK103:AK114" si="100">IF(AN103=15,K103,0)</f>
        <v>0</v>
      </c>
      <c r="AL103" s="16">
        <f t="shared" ref="AL103:AL114" si="101">IF(AN103=21,K103,0)</f>
        <v>0</v>
      </c>
      <c r="AN103" s="33">
        <v>21</v>
      </c>
      <c r="AO103" s="33">
        <f>H103*0.0195918426654901</f>
        <v>0</v>
      </c>
      <c r="AP103" s="33">
        <f>H103*(1-0.0195918426654901)</f>
        <v>0</v>
      </c>
      <c r="AQ103" s="27" t="s">
        <v>7</v>
      </c>
      <c r="AV103" s="33">
        <f t="shared" ref="AV103:AV114" si="102">AW103+AX103</f>
        <v>0</v>
      </c>
      <c r="AW103" s="33">
        <f t="shared" ref="AW103:AW114" si="103">G103*AO103</f>
        <v>0</v>
      </c>
      <c r="AX103" s="33">
        <f t="shared" ref="AX103:AX114" si="104">G103*AP103</f>
        <v>0</v>
      </c>
      <c r="AY103" s="34" t="s">
        <v>1717</v>
      </c>
      <c r="AZ103" s="34" t="s">
        <v>1745</v>
      </c>
      <c r="BA103" s="28" t="s">
        <v>1752</v>
      </c>
      <c r="BC103" s="33">
        <f t="shared" ref="BC103:BC114" si="105">AW103+AX103</f>
        <v>0</v>
      </c>
      <c r="BD103" s="33">
        <f t="shared" ref="BD103:BD114" si="106">H103/(100-BE103)*100</f>
        <v>0</v>
      </c>
      <c r="BE103" s="33">
        <v>0</v>
      </c>
      <c r="BF103" s="33">
        <f>103</f>
        <v>103</v>
      </c>
      <c r="BH103" s="16">
        <f t="shared" ref="BH103:BH114" si="107">G103*AO103</f>
        <v>0</v>
      </c>
      <c r="BI103" s="16">
        <f t="shared" ref="BI103:BI114" si="108">G103*AP103</f>
        <v>0</v>
      </c>
      <c r="BJ103" s="16">
        <f t="shared" ref="BJ103:BJ114" si="109">G103*H103</f>
        <v>0</v>
      </c>
    </row>
    <row r="104" spans="1:62" x14ac:dyDescent="0.2">
      <c r="A104" s="4" t="s">
        <v>83</v>
      </c>
      <c r="B104" s="4" t="s">
        <v>619</v>
      </c>
      <c r="C104" s="131" t="s">
        <v>1177</v>
      </c>
      <c r="D104" s="132"/>
      <c r="E104" s="132"/>
      <c r="F104" s="4" t="s">
        <v>1663</v>
      </c>
      <c r="G104" s="68">
        <v>300</v>
      </c>
      <c r="H104" s="162">
        <v>0</v>
      </c>
      <c r="I104" s="16">
        <f t="shared" si="88"/>
        <v>0</v>
      </c>
      <c r="J104" s="16">
        <f t="shared" si="89"/>
        <v>0</v>
      </c>
      <c r="K104" s="16">
        <f t="shared" si="90"/>
        <v>0</v>
      </c>
      <c r="L104" s="27" t="s">
        <v>1692</v>
      </c>
      <c r="Z104" s="33">
        <f t="shared" si="91"/>
        <v>0</v>
      </c>
      <c r="AB104" s="33">
        <f t="shared" si="92"/>
        <v>0</v>
      </c>
      <c r="AC104" s="33">
        <f t="shared" si="93"/>
        <v>0</v>
      </c>
      <c r="AD104" s="33">
        <f t="shared" si="94"/>
        <v>0</v>
      </c>
      <c r="AE104" s="33">
        <f t="shared" si="95"/>
        <v>0</v>
      </c>
      <c r="AF104" s="33">
        <f t="shared" si="96"/>
        <v>0</v>
      </c>
      <c r="AG104" s="33">
        <f t="shared" si="97"/>
        <v>0</v>
      </c>
      <c r="AH104" s="33">
        <f t="shared" si="98"/>
        <v>0</v>
      </c>
      <c r="AI104" s="28"/>
      <c r="AJ104" s="16">
        <f t="shared" si="99"/>
        <v>0</v>
      </c>
      <c r="AK104" s="16">
        <f t="shared" si="100"/>
        <v>0</v>
      </c>
      <c r="AL104" s="16">
        <f t="shared" si="101"/>
        <v>0</v>
      </c>
      <c r="AN104" s="33">
        <v>21</v>
      </c>
      <c r="AO104" s="33">
        <f>H104*0.568018867924528</f>
        <v>0</v>
      </c>
      <c r="AP104" s="33">
        <f>H104*(1-0.568018867924528)</f>
        <v>0</v>
      </c>
      <c r="AQ104" s="27" t="s">
        <v>7</v>
      </c>
      <c r="AV104" s="33">
        <f t="shared" si="102"/>
        <v>0</v>
      </c>
      <c r="AW104" s="33">
        <f t="shared" si="103"/>
        <v>0</v>
      </c>
      <c r="AX104" s="33">
        <f t="shared" si="104"/>
        <v>0</v>
      </c>
      <c r="AY104" s="34" t="s">
        <v>1717</v>
      </c>
      <c r="AZ104" s="34" t="s">
        <v>1745</v>
      </c>
      <c r="BA104" s="28" t="s">
        <v>1752</v>
      </c>
      <c r="BC104" s="33">
        <f t="shared" si="105"/>
        <v>0</v>
      </c>
      <c r="BD104" s="33">
        <f t="shared" si="106"/>
        <v>0</v>
      </c>
      <c r="BE104" s="33">
        <v>0</v>
      </c>
      <c r="BF104" s="33">
        <f>104</f>
        <v>104</v>
      </c>
      <c r="BH104" s="16">
        <f t="shared" si="107"/>
        <v>0</v>
      </c>
      <c r="BI104" s="16">
        <f t="shared" si="108"/>
        <v>0</v>
      </c>
      <c r="BJ104" s="16">
        <f t="shared" si="109"/>
        <v>0</v>
      </c>
    </row>
    <row r="105" spans="1:62" x14ac:dyDescent="0.2">
      <c r="A105" s="4" t="s">
        <v>84</v>
      </c>
      <c r="B105" s="4" t="s">
        <v>620</v>
      </c>
      <c r="C105" s="131" t="s">
        <v>1178</v>
      </c>
      <c r="D105" s="132"/>
      <c r="E105" s="132"/>
      <c r="F105" s="4" t="s">
        <v>1666</v>
      </c>
      <c r="G105" s="68">
        <v>27.6</v>
      </c>
      <c r="H105" s="162">
        <v>0</v>
      </c>
      <c r="I105" s="16">
        <f t="shared" si="88"/>
        <v>0</v>
      </c>
      <c r="J105" s="16">
        <f t="shared" si="89"/>
        <v>0</v>
      </c>
      <c r="K105" s="16">
        <f t="shared" si="90"/>
        <v>0</v>
      </c>
      <c r="L105" s="27" t="s">
        <v>1692</v>
      </c>
      <c r="Z105" s="33">
        <f t="shared" si="91"/>
        <v>0</v>
      </c>
      <c r="AB105" s="33">
        <f t="shared" si="92"/>
        <v>0</v>
      </c>
      <c r="AC105" s="33">
        <f t="shared" si="93"/>
        <v>0</v>
      </c>
      <c r="AD105" s="33">
        <f t="shared" si="94"/>
        <v>0</v>
      </c>
      <c r="AE105" s="33">
        <f t="shared" si="95"/>
        <v>0</v>
      </c>
      <c r="AF105" s="33">
        <f t="shared" si="96"/>
        <v>0</v>
      </c>
      <c r="AG105" s="33">
        <f t="shared" si="97"/>
        <v>0</v>
      </c>
      <c r="AH105" s="33">
        <f t="shared" si="98"/>
        <v>0</v>
      </c>
      <c r="AI105" s="28"/>
      <c r="AJ105" s="16">
        <f t="shared" si="99"/>
        <v>0</v>
      </c>
      <c r="AK105" s="16">
        <f t="shared" si="100"/>
        <v>0</v>
      </c>
      <c r="AL105" s="16">
        <f t="shared" si="101"/>
        <v>0</v>
      </c>
      <c r="AN105" s="33">
        <v>21</v>
      </c>
      <c r="AO105" s="33">
        <f>H105*0.395669714900484</f>
        <v>0</v>
      </c>
      <c r="AP105" s="33">
        <f>H105*(1-0.395669714900484)</f>
        <v>0</v>
      </c>
      <c r="AQ105" s="27" t="s">
        <v>7</v>
      </c>
      <c r="AV105" s="33">
        <f t="shared" si="102"/>
        <v>0</v>
      </c>
      <c r="AW105" s="33">
        <f t="shared" si="103"/>
        <v>0</v>
      </c>
      <c r="AX105" s="33">
        <f t="shared" si="104"/>
        <v>0</v>
      </c>
      <c r="AY105" s="34" t="s">
        <v>1717</v>
      </c>
      <c r="AZ105" s="34" t="s">
        <v>1745</v>
      </c>
      <c r="BA105" s="28" t="s">
        <v>1752</v>
      </c>
      <c r="BC105" s="33">
        <f t="shared" si="105"/>
        <v>0</v>
      </c>
      <c r="BD105" s="33">
        <f t="shared" si="106"/>
        <v>0</v>
      </c>
      <c r="BE105" s="33">
        <v>0</v>
      </c>
      <c r="BF105" s="33">
        <f>105</f>
        <v>105</v>
      </c>
      <c r="BH105" s="16">
        <f t="shared" si="107"/>
        <v>0</v>
      </c>
      <c r="BI105" s="16">
        <f t="shared" si="108"/>
        <v>0</v>
      </c>
      <c r="BJ105" s="16">
        <f t="shared" si="109"/>
        <v>0</v>
      </c>
    </row>
    <row r="106" spans="1:62" x14ac:dyDescent="0.2">
      <c r="A106" s="4" t="s">
        <v>85</v>
      </c>
      <c r="B106" s="4" t="s">
        <v>621</v>
      </c>
      <c r="C106" s="131" t="s">
        <v>1179</v>
      </c>
      <c r="D106" s="132"/>
      <c r="E106" s="132"/>
      <c r="F106" s="4" t="s">
        <v>1662</v>
      </c>
      <c r="G106" s="68">
        <v>0.25</v>
      </c>
      <c r="H106" s="162">
        <v>0</v>
      </c>
      <c r="I106" s="16">
        <f t="shared" si="88"/>
        <v>0</v>
      </c>
      <c r="J106" s="16">
        <f t="shared" si="89"/>
        <v>0</v>
      </c>
      <c r="K106" s="16">
        <f t="shared" si="90"/>
        <v>0</v>
      </c>
      <c r="L106" s="27" t="s">
        <v>1692</v>
      </c>
      <c r="Z106" s="33">
        <f t="shared" si="91"/>
        <v>0</v>
      </c>
      <c r="AB106" s="33">
        <f t="shared" si="92"/>
        <v>0</v>
      </c>
      <c r="AC106" s="33">
        <f t="shared" si="93"/>
        <v>0</v>
      </c>
      <c r="AD106" s="33">
        <f t="shared" si="94"/>
        <v>0</v>
      </c>
      <c r="AE106" s="33">
        <f t="shared" si="95"/>
        <v>0</v>
      </c>
      <c r="AF106" s="33">
        <f t="shared" si="96"/>
        <v>0</v>
      </c>
      <c r="AG106" s="33">
        <f t="shared" si="97"/>
        <v>0</v>
      </c>
      <c r="AH106" s="33">
        <f t="shared" si="98"/>
        <v>0</v>
      </c>
      <c r="AI106" s="28"/>
      <c r="AJ106" s="16">
        <f t="shared" si="99"/>
        <v>0</v>
      </c>
      <c r="AK106" s="16">
        <f t="shared" si="100"/>
        <v>0</v>
      </c>
      <c r="AL106" s="16">
        <f t="shared" si="101"/>
        <v>0</v>
      </c>
      <c r="AN106" s="33">
        <v>21</v>
      </c>
      <c r="AO106" s="33">
        <f>H106*0.390133255406195</f>
        <v>0</v>
      </c>
      <c r="AP106" s="33">
        <f>H106*(1-0.390133255406195)</f>
        <v>0</v>
      </c>
      <c r="AQ106" s="27" t="s">
        <v>7</v>
      </c>
      <c r="AV106" s="33">
        <f t="shared" si="102"/>
        <v>0</v>
      </c>
      <c r="AW106" s="33">
        <f t="shared" si="103"/>
        <v>0</v>
      </c>
      <c r="AX106" s="33">
        <f t="shared" si="104"/>
        <v>0</v>
      </c>
      <c r="AY106" s="34" t="s">
        <v>1717</v>
      </c>
      <c r="AZ106" s="34" t="s">
        <v>1745</v>
      </c>
      <c r="BA106" s="28" t="s">
        <v>1752</v>
      </c>
      <c r="BC106" s="33">
        <f t="shared" si="105"/>
        <v>0</v>
      </c>
      <c r="BD106" s="33">
        <f t="shared" si="106"/>
        <v>0</v>
      </c>
      <c r="BE106" s="33">
        <v>0</v>
      </c>
      <c r="BF106" s="33">
        <f>106</f>
        <v>106</v>
      </c>
      <c r="BH106" s="16">
        <f t="shared" si="107"/>
        <v>0</v>
      </c>
      <c r="BI106" s="16">
        <f t="shared" si="108"/>
        <v>0</v>
      </c>
      <c r="BJ106" s="16">
        <f t="shared" si="109"/>
        <v>0</v>
      </c>
    </row>
    <row r="107" spans="1:62" x14ac:dyDescent="0.2">
      <c r="A107" s="4" t="s">
        <v>86</v>
      </c>
      <c r="B107" s="4" t="s">
        <v>622</v>
      </c>
      <c r="C107" s="131" t="s">
        <v>1180</v>
      </c>
      <c r="D107" s="132"/>
      <c r="E107" s="132"/>
      <c r="F107" s="4" t="s">
        <v>1662</v>
      </c>
      <c r="G107" s="68">
        <v>0.25</v>
      </c>
      <c r="H107" s="162">
        <v>0</v>
      </c>
      <c r="I107" s="16">
        <f t="shared" si="88"/>
        <v>0</v>
      </c>
      <c r="J107" s="16">
        <f t="shared" si="89"/>
        <v>0</v>
      </c>
      <c r="K107" s="16">
        <f t="shared" si="90"/>
        <v>0</v>
      </c>
      <c r="L107" s="27" t="s">
        <v>1692</v>
      </c>
      <c r="Z107" s="33">
        <f t="shared" si="91"/>
        <v>0</v>
      </c>
      <c r="AB107" s="33">
        <f t="shared" si="92"/>
        <v>0</v>
      </c>
      <c r="AC107" s="33">
        <f t="shared" si="93"/>
        <v>0</v>
      </c>
      <c r="AD107" s="33">
        <f t="shared" si="94"/>
        <v>0</v>
      </c>
      <c r="AE107" s="33">
        <f t="shared" si="95"/>
        <v>0</v>
      </c>
      <c r="AF107" s="33">
        <f t="shared" si="96"/>
        <v>0</v>
      </c>
      <c r="AG107" s="33">
        <f t="shared" si="97"/>
        <v>0</v>
      </c>
      <c r="AH107" s="33">
        <f t="shared" si="98"/>
        <v>0</v>
      </c>
      <c r="AI107" s="28"/>
      <c r="AJ107" s="16">
        <f t="shared" si="99"/>
        <v>0</v>
      </c>
      <c r="AK107" s="16">
        <f t="shared" si="100"/>
        <v>0</v>
      </c>
      <c r="AL107" s="16">
        <f t="shared" si="101"/>
        <v>0</v>
      </c>
      <c r="AN107" s="33">
        <v>21</v>
      </c>
      <c r="AO107" s="33">
        <f>H107*0.39013413506013</f>
        <v>0</v>
      </c>
      <c r="AP107" s="33">
        <f>H107*(1-0.39013413506013)</f>
        <v>0</v>
      </c>
      <c r="AQ107" s="27" t="s">
        <v>7</v>
      </c>
      <c r="AV107" s="33">
        <f t="shared" si="102"/>
        <v>0</v>
      </c>
      <c r="AW107" s="33">
        <f t="shared" si="103"/>
        <v>0</v>
      </c>
      <c r="AX107" s="33">
        <f t="shared" si="104"/>
        <v>0</v>
      </c>
      <c r="AY107" s="34" t="s">
        <v>1717</v>
      </c>
      <c r="AZ107" s="34" t="s">
        <v>1745</v>
      </c>
      <c r="BA107" s="28" t="s">
        <v>1752</v>
      </c>
      <c r="BC107" s="33">
        <f t="shared" si="105"/>
        <v>0</v>
      </c>
      <c r="BD107" s="33">
        <f t="shared" si="106"/>
        <v>0</v>
      </c>
      <c r="BE107" s="33">
        <v>0</v>
      </c>
      <c r="BF107" s="33">
        <f>107</f>
        <v>107</v>
      </c>
      <c r="BH107" s="16">
        <f t="shared" si="107"/>
        <v>0</v>
      </c>
      <c r="BI107" s="16">
        <f t="shared" si="108"/>
        <v>0</v>
      </c>
      <c r="BJ107" s="16">
        <f t="shared" si="109"/>
        <v>0</v>
      </c>
    </row>
    <row r="108" spans="1:62" x14ac:dyDescent="0.2">
      <c r="A108" s="4" t="s">
        <v>87</v>
      </c>
      <c r="B108" s="4" t="s">
        <v>623</v>
      </c>
      <c r="C108" s="131" t="s">
        <v>1181</v>
      </c>
      <c r="D108" s="132"/>
      <c r="E108" s="132"/>
      <c r="F108" s="4" t="s">
        <v>1668</v>
      </c>
      <c r="G108" s="68">
        <v>300</v>
      </c>
      <c r="H108" s="162">
        <v>0</v>
      </c>
      <c r="I108" s="16">
        <f t="shared" si="88"/>
        <v>0</v>
      </c>
      <c r="J108" s="16">
        <f t="shared" si="89"/>
        <v>0</v>
      </c>
      <c r="K108" s="16">
        <f t="shared" si="90"/>
        <v>0</v>
      </c>
      <c r="L108" s="27" t="s">
        <v>1692</v>
      </c>
      <c r="Z108" s="33">
        <f t="shared" si="91"/>
        <v>0</v>
      </c>
      <c r="AB108" s="33">
        <f t="shared" si="92"/>
        <v>0</v>
      </c>
      <c r="AC108" s="33">
        <f t="shared" si="93"/>
        <v>0</v>
      </c>
      <c r="AD108" s="33">
        <f t="shared" si="94"/>
        <v>0</v>
      </c>
      <c r="AE108" s="33">
        <f t="shared" si="95"/>
        <v>0</v>
      </c>
      <c r="AF108" s="33">
        <f t="shared" si="96"/>
        <v>0</v>
      </c>
      <c r="AG108" s="33">
        <f t="shared" si="97"/>
        <v>0</v>
      </c>
      <c r="AH108" s="33">
        <f t="shared" si="98"/>
        <v>0</v>
      </c>
      <c r="AI108" s="28"/>
      <c r="AJ108" s="16">
        <f t="shared" si="99"/>
        <v>0</v>
      </c>
      <c r="AK108" s="16">
        <f t="shared" si="100"/>
        <v>0</v>
      </c>
      <c r="AL108" s="16">
        <f t="shared" si="101"/>
        <v>0</v>
      </c>
      <c r="AN108" s="33">
        <v>21</v>
      </c>
      <c r="AO108" s="33">
        <f>H108*0.908172413793103</f>
        <v>0</v>
      </c>
      <c r="AP108" s="33">
        <f>H108*(1-0.908172413793103)</f>
        <v>0</v>
      </c>
      <c r="AQ108" s="27" t="s">
        <v>7</v>
      </c>
      <c r="AV108" s="33">
        <f t="shared" si="102"/>
        <v>0</v>
      </c>
      <c r="AW108" s="33">
        <f t="shared" si="103"/>
        <v>0</v>
      </c>
      <c r="AX108" s="33">
        <f t="shared" si="104"/>
        <v>0</v>
      </c>
      <c r="AY108" s="34" t="s">
        <v>1717</v>
      </c>
      <c r="AZ108" s="34" t="s">
        <v>1745</v>
      </c>
      <c r="BA108" s="28" t="s">
        <v>1752</v>
      </c>
      <c r="BC108" s="33">
        <f t="shared" si="105"/>
        <v>0</v>
      </c>
      <c r="BD108" s="33">
        <f t="shared" si="106"/>
        <v>0</v>
      </c>
      <c r="BE108" s="33">
        <v>0</v>
      </c>
      <c r="BF108" s="33">
        <f>108</f>
        <v>108</v>
      </c>
      <c r="BH108" s="16">
        <f t="shared" si="107"/>
        <v>0</v>
      </c>
      <c r="BI108" s="16">
        <f t="shared" si="108"/>
        <v>0</v>
      </c>
      <c r="BJ108" s="16">
        <f t="shared" si="109"/>
        <v>0</v>
      </c>
    </row>
    <row r="109" spans="1:62" x14ac:dyDescent="0.2">
      <c r="A109" s="4" t="s">
        <v>88</v>
      </c>
      <c r="B109" s="4" t="s">
        <v>624</v>
      </c>
      <c r="C109" s="131" t="s">
        <v>1182</v>
      </c>
      <c r="D109" s="132"/>
      <c r="E109" s="132"/>
      <c r="F109" s="4" t="s">
        <v>1665</v>
      </c>
      <c r="G109" s="68">
        <v>6</v>
      </c>
      <c r="H109" s="162">
        <v>0</v>
      </c>
      <c r="I109" s="16">
        <f t="shared" si="88"/>
        <v>0</v>
      </c>
      <c r="J109" s="16">
        <f t="shared" si="89"/>
        <v>0</v>
      </c>
      <c r="K109" s="16">
        <f t="shared" si="90"/>
        <v>0</v>
      </c>
      <c r="L109" s="27" t="s">
        <v>1692</v>
      </c>
      <c r="Z109" s="33">
        <f t="shared" si="91"/>
        <v>0</v>
      </c>
      <c r="AB109" s="33">
        <f t="shared" si="92"/>
        <v>0</v>
      </c>
      <c r="AC109" s="33">
        <f t="shared" si="93"/>
        <v>0</v>
      </c>
      <c r="AD109" s="33">
        <f t="shared" si="94"/>
        <v>0</v>
      </c>
      <c r="AE109" s="33">
        <f t="shared" si="95"/>
        <v>0</v>
      </c>
      <c r="AF109" s="33">
        <f t="shared" si="96"/>
        <v>0</v>
      </c>
      <c r="AG109" s="33">
        <f t="shared" si="97"/>
        <v>0</v>
      </c>
      <c r="AH109" s="33">
        <f t="shared" si="98"/>
        <v>0</v>
      </c>
      <c r="AI109" s="28"/>
      <c r="AJ109" s="16">
        <f t="shared" si="99"/>
        <v>0</v>
      </c>
      <c r="AK109" s="16">
        <f t="shared" si="100"/>
        <v>0</v>
      </c>
      <c r="AL109" s="16">
        <f t="shared" si="101"/>
        <v>0</v>
      </c>
      <c r="AN109" s="33">
        <v>21</v>
      </c>
      <c r="AO109" s="33">
        <f>H109*0.90818</f>
        <v>0</v>
      </c>
      <c r="AP109" s="33">
        <f>H109*(1-0.90818)</f>
        <v>0</v>
      </c>
      <c r="AQ109" s="27" t="s">
        <v>7</v>
      </c>
      <c r="AV109" s="33">
        <f t="shared" si="102"/>
        <v>0</v>
      </c>
      <c r="AW109" s="33">
        <f t="shared" si="103"/>
        <v>0</v>
      </c>
      <c r="AX109" s="33">
        <f t="shared" si="104"/>
        <v>0</v>
      </c>
      <c r="AY109" s="34" t="s">
        <v>1717</v>
      </c>
      <c r="AZ109" s="34" t="s">
        <v>1745</v>
      </c>
      <c r="BA109" s="28" t="s">
        <v>1752</v>
      </c>
      <c r="BC109" s="33">
        <f t="shared" si="105"/>
        <v>0</v>
      </c>
      <c r="BD109" s="33">
        <f t="shared" si="106"/>
        <v>0</v>
      </c>
      <c r="BE109" s="33">
        <v>0</v>
      </c>
      <c r="BF109" s="33">
        <f>109</f>
        <v>109</v>
      </c>
      <c r="BH109" s="16">
        <f t="shared" si="107"/>
        <v>0</v>
      </c>
      <c r="BI109" s="16">
        <f t="shared" si="108"/>
        <v>0</v>
      </c>
      <c r="BJ109" s="16">
        <f t="shared" si="109"/>
        <v>0</v>
      </c>
    </row>
    <row r="110" spans="1:62" x14ac:dyDescent="0.2">
      <c r="A110" s="4" t="s">
        <v>89</v>
      </c>
      <c r="B110" s="4" t="s">
        <v>625</v>
      </c>
      <c r="C110" s="131" t="s">
        <v>1183</v>
      </c>
      <c r="D110" s="132"/>
      <c r="E110" s="132"/>
      <c r="F110" s="4" t="s">
        <v>1668</v>
      </c>
      <c r="G110" s="68">
        <v>16</v>
      </c>
      <c r="H110" s="162">
        <v>0</v>
      </c>
      <c r="I110" s="16">
        <f t="shared" si="88"/>
        <v>0</v>
      </c>
      <c r="J110" s="16">
        <f t="shared" si="89"/>
        <v>0</v>
      </c>
      <c r="K110" s="16">
        <f t="shared" si="90"/>
        <v>0</v>
      </c>
      <c r="L110" s="27" t="s">
        <v>1692</v>
      </c>
      <c r="Z110" s="33">
        <f t="shared" si="91"/>
        <v>0</v>
      </c>
      <c r="AB110" s="33">
        <f t="shared" si="92"/>
        <v>0</v>
      </c>
      <c r="AC110" s="33">
        <f t="shared" si="93"/>
        <v>0</v>
      </c>
      <c r="AD110" s="33">
        <f t="shared" si="94"/>
        <v>0</v>
      </c>
      <c r="AE110" s="33">
        <f t="shared" si="95"/>
        <v>0</v>
      </c>
      <c r="AF110" s="33">
        <f t="shared" si="96"/>
        <v>0</v>
      </c>
      <c r="AG110" s="33">
        <f t="shared" si="97"/>
        <v>0</v>
      </c>
      <c r="AH110" s="33">
        <f t="shared" si="98"/>
        <v>0</v>
      </c>
      <c r="AI110" s="28"/>
      <c r="AJ110" s="16">
        <f t="shared" si="99"/>
        <v>0</v>
      </c>
      <c r="AK110" s="16">
        <f t="shared" si="100"/>
        <v>0</v>
      </c>
      <c r="AL110" s="16">
        <f t="shared" si="101"/>
        <v>0</v>
      </c>
      <c r="AN110" s="33">
        <v>21</v>
      </c>
      <c r="AO110" s="33">
        <f>H110*0.28</f>
        <v>0</v>
      </c>
      <c r="AP110" s="33">
        <f>H110*(1-0.28)</f>
        <v>0</v>
      </c>
      <c r="AQ110" s="27" t="s">
        <v>7</v>
      </c>
      <c r="AV110" s="33">
        <f t="shared" si="102"/>
        <v>0</v>
      </c>
      <c r="AW110" s="33">
        <f t="shared" si="103"/>
        <v>0</v>
      </c>
      <c r="AX110" s="33">
        <f t="shared" si="104"/>
        <v>0</v>
      </c>
      <c r="AY110" s="34" t="s">
        <v>1717</v>
      </c>
      <c r="AZ110" s="34" t="s">
        <v>1745</v>
      </c>
      <c r="BA110" s="28" t="s">
        <v>1752</v>
      </c>
      <c r="BC110" s="33">
        <f t="shared" si="105"/>
        <v>0</v>
      </c>
      <c r="BD110" s="33">
        <f t="shared" si="106"/>
        <v>0</v>
      </c>
      <c r="BE110" s="33">
        <v>0</v>
      </c>
      <c r="BF110" s="33">
        <f>110</f>
        <v>110</v>
      </c>
      <c r="BH110" s="16">
        <f t="shared" si="107"/>
        <v>0</v>
      </c>
      <c r="BI110" s="16">
        <f t="shared" si="108"/>
        <v>0</v>
      </c>
      <c r="BJ110" s="16">
        <f t="shared" si="109"/>
        <v>0</v>
      </c>
    </row>
    <row r="111" spans="1:62" x14ac:dyDescent="0.2">
      <c r="A111" s="4" t="s">
        <v>90</v>
      </c>
      <c r="B111" s="4" t="s">
        <v>626</v>
      </c>
      <c r="C111" s="131" t="s">
        <v>1184</v>
      </c>
      <c r="D111" s="132"/>
      <c r="E111" s="132"/>
      <c r="F111" s="4" t="s">
        <v>1665</v>
      </c>
      <c r="G111" s="68">
        <v>1</v>
      </c>
      <c r="H111" s="162">
        <v>0</v>
      </c>
      <c r="I111" s="16">
        <f t="shared" si="88"/>
        <v>0</v>
      </c>
      <c r="J111" s="16">
        <f t="shared" si="89"/>
        <v>0</v>
      </c>
      <c r="K111" s="16">
        <f t="shared" si="90"/>
        <v>0</v>
      </c>
      <c r="L111" s="27" t="s">
        <v>1692</v>
      </c>
      <c r="Z111" s="33">
        <f t="shared" si="91"/>
        <v>0</v>
      </c>
      <c r="AB111" s="33">
        <f t="shared" si="92"/>
        <v>0</v>
      </c>
      <c r="AC111" s="33">
        <f t="shared" si="93"/>
        <v>0</v>
      </c>
      <c r="AD111" s="33">
        <f t="shared" si="94"/>
        <v>0</v>
      </c>
      <c r="AE111" s="33">
        <f t="shared" si="95"/>
        <v>0</v>
      </c>
      <c r="AF111" s="33">
        <f t="shared" si="96"/>
        <v>0</v>
      </c>
      <c r="AG111" s="33">
        <f t="shared" si="97"/>
        <v>0</v>
      </c>
      <c r="AH111" s="33">
        <f t="shared" si="98"/>
        <v>0</v>
      </c>
      <c r="AI111" s="28"/>
      <c r="AJ111" s="16">
        <f t="shared" si="99"/>
        <v>0</v>
      </c>
      <c r="AK111" s="16">
        <f t="shared" si="100"/>
        <v>0</v>
      </c>
      <c r="AL111" s="16">
        <f t="shared" si="101"/>
        <v>0</v>
      </c>
      <c r="AN111" s="33">
        <v>21</v>
      </c>
      <c r="AO111" s="33">
        <f>H111*0.90816</f>
        <v>0</v>
      </c>
      <c r="AP111" s="33">
        <f>H111*(1-0.90816)</f>
        <v>0</v>
      </c>
      <c r="AQ111" s="27" t="s">
        <v>7</v>
      </c>
      <c r="AV111" s="33">
        <f t="shared" si="102"/>
        <v>0</v>
      </c>
      <c r="AW111" s="33">
        <f t="shared" si="103"/>
        <v>0</v>
      </c>
      <c r="AX111" s="33">
        <f t="shared" si="104"/>
        <v>0</v>
      </c>
      <c r="AY111" s="34" t="s">
        <v>1717</v>
      </c>
      <c r="AZ111" s="34" t="s">
        <v>1745</v>
      </c>
      <c r="BA111" s="28" t="s">
        <v>1752</v>
      </c>
      <c r="BC111" s="33">
        <f t="shared" si="105"/>
        <v>0</v>
      </c>
      <c r="BD111" s="33">
        <f t="shared" si="106"/>
        <v>0</v>
      </c>
      <c r="BE111" s="33">
        <v>0</v>
      </c>
      <c r="BF111" s="33">
        <f>111</f>
        <v>111</v>
      </c>
      <c r="BH111" s="16">
        <f t="shared" si="107"/>
        <v>0</v>
      </c>
      <c r="BI111" s="16">
        <f t="shared" si="108"/>
        <v>0</v>
      </c>
      <c r="BJ111" s="16">
        <f t="shared" si="109"/>
        <v>0</v>
      </c>
    </row>
    <row r="112" spans="1:62" x14ac:dyDescent="0.2">
      <c r="A112" s="4" t="s">
        <v>91</v>
      </c>
      <c r="B112" s="4" t="s">
        <v>627</v>
      </c>
      <c r="C112" s="131" t="s">
        <v>1185</v>
      </c>
      <c r="D112" s="132"/>
      <c r="E112" s="132"/>
      <c r="F112" s="4" t="s">
        <v>1665</v>
      </c>
      <c r="G112" s="68">
        <v>2</v>
      </c>
      <c r="H112" s="162">
        <v>0</v>
      </c>
      <c r="I112" s="16">
        <f t="shared" si="88"/>
        <v>0</v>
      </c>
      <c r="J112" s="16">
        <f t="shared" si="89"/>
        <v>0</v>
      </c>
      <c r="K112" s="16">
        <f t="shared" si="90"/>
        <v>0</v>
      </c>
      <c r="L112" s="27" t="s">
        <v>1692</v>
      </c>
      <c r="Z112" s="33">
        <f t="shared" si="91"/>
        <v>0</v>
      </c>
      <c r="AB112" s="33">
        <f t="shared" si="92"/>
        <v>0</v>
      </c>
      <c r="AC112" s="33">
        <f t="shared" si="93"/>
        <v>0</v>
      </c>
      <c r="AD112" s="33">
        <f t="shared" si="94"/>
        <v>0</v>
      </c>
      <c r="AE112" s="33">
        <f t="shared" si="95"/>
        <v>0</v>
      </c>
      <c r="AF112" s="33">
        <f t="shared" si="96"/>
        <v>0</v>
      </c>
      <c r="AG112" s="33">
        <f t="shared" si="97"/>
        <v>0</v>
      </c>
      <c r="AH112" s="33">
        <f t="shared" si="98"/>
        <v>0</v>
      </c>
      <c r="AI112" s="28"/>
      <c r="AJ112" s="16">
        <f t="shared" si="99"/>
        <v>0</v>
      </c>
      <c r="AK112" s="16">
        <f t="shared" si="100"/>
        <v>0</v>
      </c>
      <c r="AL112" s="16">
        <f t="shared" si="101"/>
        <v>0</v>
      </c>
      <c r="AN112" s="33">
        <v>21</v>
      </c>
      <c r="AO112" s="33">
        <f>H112*0.908172222222222</f>
        <v>0</v>
      </c>
      <c r="AP112" s="33">
        <f>H112*(1-0.908172222222222)</f>
        <v>0</v>
      </c>
      <c r="AQ112" s="27" t="s">
        <v>7</v>
      </c>
      <c r="AV112" s="33">
        <f t="shared" si="102"/>
        <v>0</v>
      </c>
      <c r="AW112" s="33">
        <f t="shared" si="103"/>
        <v>0</v>
      </c>
      <c r="AX112" s="33">
        <f t="shared" si="104"/>
        <v>0</v>
      </c>
      <c r="AY112" s="34" t="s">
        <v>1717</v>
      </c>
      <c r="AZ112" s="34" t="s">
        <v>1745</v>
      </c>
      <c r="BA112" s="28" t="s">
        <v>1752</v>
      </c>
      <c r="BC112" s="33">
        <f t="shared" si="105"/>
        <v>0</v>
      </c>
      <c r="BD112" s="33">
        <f t="shared" si="106"/>
        <v>0</v>
      </c>
      <c r="BE112" s="33">
        <v>0</v>
      </c>
      <c r="BF112" s="33">
        <f>112</f>
        <v>112</v>
      </c>
      <c r="BH112" s="16">
        <f t="shared" si="107"/>
        <v>0</v>
      </c>
      <c r="BI112" s="16">
        <f t="shared" si="108"/>
        <v>0</v>
      </c>
      <c r="BJ112" s="16">
        <f t="shared" si="109"/>
        <v>0</v>
      </c>
    </row>
    <row r="113" spans="1:62" x14ac:dyDescent="0.2">
      <c r="A113" s="4" t="s">
        <v>92</v>
      </c>
      <c r="B113" s="4" t="s">
        <v>628</v>
      </c>
      <c r="C113" s="131" t="s">
        <v>1186</v>
      </c>
      <c r="D113" s="132"/>
      <c r="E113" s="132"/>
      <c r="F113" s="4" t="s">
        <v>1669</v>
      </c>
      <c r="G113" s="68">
        <v>2</v>
      </c>
      <c r="H113" s="162">
        <v>0</v>
      </c>
      <c r="I113" s="16">
        <f t="shared" si="88"/>
        <v>0</v>
      </c>
      <c r="J113" s="16">
        <f t="shared" si="89"/>
        <v>0</v>
      </c>
      <c r="K113" s="16">
        <f t="shared" si="90"/>
        <v>0</v>
      </c>
      <c r="L113" s="27" t="s">
        <v>1692</v>
      </c>
      <c r="Z113" s="33">
        <f t="shared" si="91"/>
        <v>0</v>
      </c>
      <c r="AB113" s="33">
        <f t="shared" si="92"/>
        <v>0</v>
      </c>
      <c r="AC113" s="33">
        <f t="shared" si="93"/>
        <v>0</v>
      </c>
      <c r="AD113" s="33">
        <f t="shared" si="94"/>
        <v>0</v>
      </c>
      <c r="AE113" s="33">
        <f t="shared" si="95"/>
        <v>0</v>
      </c>
      <c r="AF113" s="33">
        <f t="shared" si="96"/>
        <v>0</v>
      </c>
      <c r="AG113" s="33">
        <f t="shared" si="97"/>
        <v>0</v>
      </c>
      <c r="AH113" s="33">
        <f t="shared" si="98"/>
        <v>0</v>
      </c>
      <c r="AI113" s="28"/>
      <c r="AJ113" s="16">
        <f t="shared" si="99"/>
        <v>0</v>
      </c>
      <c r="AK113" s="16">
        <f t="shared" si="100"/>
        <v>0</v>
      </c>
      <c r="AL113" s="16">
        <f t="shared" si="101"/>
        <v>0</v>
      </c>
      <c r="AN113" s="33">
        <v>21</v>
      </c>
      <c r="AO113" s="33">
        <f>H113*0</f>
        <v>0</v>
      </c>
      <c r="AP113" s="33">
        <f>H113*(1-0)</f>
        <v>0</v>
      </c>
      <c r="AQ113" s="27" t="s">
        <v>7</v>
      </c>
      <c r="AV113" s="33">
        <f t="shared" si="102"/>
        <v>0</v>
      </c>
      <c r="AW113" s="33">
        <f t="shared" si="103"/>
        <v>0</v>
      </c>
      <c r="AX113" s="33">
        <f t="shared" si="104"/>
        <v>0</v>
      </c>
      <c r="AY113" s="34" t="s">
        <v>1717</v>
      </c>
      <c r="AZ113" s="34" t="s">
        <v>1745</v>
      </c>
      <c r="BA113" s="28" t="s">
        <v>1752</v>
      </c>
      <c r="BC113" s="33">
        <f t="shared" si="105"/>
        <v>0</v>
      </c>
      <c r="BD113" s="33">
        <f t="shared" si="106"/>
        <v>0</v>
      </c>
      <c r="BE113" s="33">
        <v>0</v>
      </c>
      <c r="BF113" s="33">
        <f>113</f>
        <v>113</v>
      </c>
      <c r="BH113" s="16">
        <f t="shared" si="107"/>
        <v>0</v>
      </c>
      <c r="BI113" s="16">
        <f t="shared" si="108"/>
        <v>0</v>
      </c>
      <c r="BJ113" s="16">
        <f t="shared" si="109"/>
        <v>0</v>
      </c>
    </row>
    <row r="114" spans="1:62" x14ac:dyDescent="0.2">
      <c r="A114" s="4" t="s">
        <v>93</v>
      </c>
      <c r="B114" s="4" t="s">
        <v>629</v>
      </c>
      <c r="C114" s="131" t="s">
        <v>1187</v>
      </c>
      <c r="D114" s="132"/>
      <c r="E114" s="132"/>
      <c r="F114" s="4" t="s">
        <v>1669</v>
      </c>
      <c r="G114" s="68">
        <v>2</v>
      </c>
      <c r="H114" s="162">
        <v>0</v>
      </c>
      <c r="I114" s="16">
        <f t="shared" si="88"/>
        <v>0</v>
      </c>
      <c r="J114" s="16">
        <f t="shared" si="89"/>
        <v>0</v>
      </c>
      <c r="K114" s="16">
        <f t="shared" si="90"/>
        <v>0</v>
      </c>
      <c r="L114" s="27" t="s">
        <v>1692</v>
      </c>
      <c r="Z114" s="33">
        <f t="shared" si="91"/>
        <v>0</v>
      </c>
      <c r="AB114" s="33">
        <f t="shared" si="92"/>
        <v>0</v>
      </c>
      <c r="AC114" s="33">
        <f t="shared" si="93"/>
        <v>0</v>
      </c>
      <c r="AD114" s="33">
        <f t="shared" si="94"/>
        <v>0</v>
      </c>
      <c r="AE114" s="33">
        <f t="shared" si="95"/>
        <v>0</v>
      </c>
      <c r="AF114" s="33">
        <f t="shared" si="96"/>
        <v>0</v>
      </c>
      <c r="AG114" s="33">
        <f t="shared" si="97"/>
        <v>0</v>
      </c>
      <c r="AH114" s="33">
        <f t="shared" si="98"/>
        <v>0</v>
      </c>
      <c r="AI114" s="28"/>
      <c r="AJ114" s="16">
        <f t="shared" si="99"/>
        <v>0</v>
      </c>
      <c r="AK114" s="16">
        <f t="shared" si="100"/>
        <v>0</v>
      </c>
      <c r="AL114" s="16">
        <f t="shared" si="101"/>
        <v>0</v>
      </c>
      <c r="AN114" s="33">
        <v>21</v>
      </c>
      <c r="AO114" s="33">
        <f>H114*0.928966319165998</f>
        <v>0</v>
      </c>
      <c r="AP114" s="33">
        <f>H114*(1-0.928966319165998)</f>
        <v>0</v>
      </c>
      <c r="AQ114" s="27" t="s">
        <v>7</v>
      </c>
      <c r="AV114" s="33">
        <f t="shared" si="102"/>
        <v>0</v>
      </c>
      <c r="AW114" s="33">
        <f t="shared" si="103"/>
        <v>0</v>
      </c>
      <c r="AX114" s="33">
        <f t="shared" si="104"/>
        <v>0</v>
      </c>
      <c r="AY114" s="34" t="s">
        <v>1717</v>
      </c>
      <c r="AZ114" s="34" t="s">
        <v>1745</v>
      </c>
      <c r="BA114" s="28" t="s">
        <v>1752</v>
      </c>
      <c r="BC114" s="33">
        <f t="shared" si="105"/>
        <v>0</v>
      </c>
      <c r="BD114" s="33">
        <f t="shared" si="106"/>
        <v>0</v>
      </c>
      <c r="BE114" s="33">
        <v>0</v>
      </c>
      <c r="BF114" s="33">
        <f>114</f>
        <v>114</v>
      </c>
      <c r="BH114" s="16">
        <f t="shared" si="107"/>
        <v>0</v>
      </c>
      <c r="BI114" s="16">
        <f t="shared" si="108"/>
        <v>0</v>
      </c>
      <c r="BJ114" s="16">
        <f t="shared" si="109"/>
        <v>0</v>
      </c>
    </row>
    <row r="115" spans="1:62" x14ac:dyDescent="0.2">
      <c r="A115" s="5"/>
      <c r="B115" s="13" t="s">
        <v>102</v>
      </c>
      <c r="C115" s="136" t="s">
        <v>1188</v>
      </c>
      <c r="D115" s="137"/>
      <c r="E115" s="137"/>
      <c r="F115" s="5" t="s">
        <v>6</v>
      </c>
      <c r="G115" s="5" t="s">
        <v>6</v>
      </c>
      <c r="H115" s="163" t="s">
        <v>6</v>
      </c>
      <c r="I115" s="36">
        <f>SUM(I116:I138)</f>
        <v>0</v>
      </c>
      <c r="J115" s="36">
        <f>SUM(J116:J138)</f>
        <v>0</v>
      </c>
      <c r="K115" s="36">
        <f>SUM(K116:K138)</f>
        <v>0</v>
      </c>
      <c r="L115" s="28"/>
      <c r="AI115" s="28"/>
      <c r="AS115" s="36">
        <f>SUM(AJ116:AJ138)</f>
        <v>0</v>
      </c>
      <c r="AT115" s="36">
        <f>SUM(AK116:AK138)</f>
        <v>0</v>
      </c>
      <c r="AU115" s="36">
        <f>SUM(AL116:AL138)</f>
        <v>0</v>
      </c>
    </row>
    <row r="116" spans="1:62" x14ac:dyDescent="0.2">
      <c r="A116" s="4" t="s">
        <v>94</v>
      </c>
      <c r="B116" s="4" t="s">
        <v>630</v>
      </c>
      <c r="C116" s="131" t="s">
        <v>1189</v>
      </c>
      <c r="D116" s="132"/>
      <c r="E116" s="132"/>
      <c r="F116" s="4" t="s">
        <v>1662</v>
      </c>
      <c r="G116" s="68">
        <v>3.6819999999999999</v>
      </c>
      <c r="H116" s="162">
        <v>0</v>
      </c>
      <c r="I116" s="16">
        <f t="shared" ref="I116:I138" si="110">G116*AO116</f>
        <v>0</v>
      </c>
      <c r="J116" s="16">
        <f t="shared" ref="J116:J138" si="111">G116*AP116</f>
        <v>0</v>
      </c>
      <c r="K116" s="16">
        <f t="shared" ref="K116:K138" si="112">G116*H116</f>
        <v>0</v>
      </c>
      <c r="L116" s="27" t="s">
        <v>1692</v>
      </c>
      <c r="Z116" s="33">
        <f t="shared" ref="Z116:Z138" si="113">IF(AQ116="5",BJ116,0)</f>
        <v>0</v>
      </c>
      <c r="AB116" s="33">
        <f t="shared" ref="AB116:AB138" si="114">IF(AQ116="1",BH116,0)</f>
        <v>0</v>
      </c>
      <c r="AC116" s="33">
        <f t="shared" ref="AC116:AC138" si="115">IF(AQ116="1",BI116,0)</f>
        <v>0</v>
      </c>
      <c r="AD116" s="33">
        <f t="shared" ref="AD116:AD138" si="116">IF(AQ116="7",BH116,0)</f>
        <v>0</v>
      </c>
      <c r="AE116" s="33">
        <f t="shared" ref="AE116:AE138" si="117">IF(AQ116="7",BI116,0)</f>
        <v>0</v>
      </c>
      <c r="AF116" s="33">
        <f t="shared" ref="AF116:AF138" si="118">IF(AQ116="2",BH116,0)</f>
        <v>0</v>
      </c>
      <c r="AG116" s="33">
        <f t="shared" ref="AG116:AG138" si="119">IF(AQ116="2",BI116,0)</f>
        <v>0</v>
      </c>
      <c r="AH116" s="33">
        <f t="shared" ref="AH116:AH138" si="120">IF(AQ116="0",BJ116,0)</f>
        <v>0</v>
      </c>
      <c r="AI116" s="28"/>
      <c r="AJ116" s="16">
        <f t="shared" ref="AJ116:AJ138" si="121">IF(AN116=0,K116,0)</f>
        <v>0</v>
      </c>
      <c r="AK116" s="16">
        <f t="shared" ref="AK116:AK138" si="122">IF(AN116=15,K116,0)</f>
        <v>0</v>
      </c>
      <c r="AL116" s="16">
        <f t="shared" ref="AL116:AL138" si="123">IF(AN116=21,K116,0)</f>
        <v>0</v>
      </c>
      <c r="AN116" s="33">
        <v>21</v>
      </c>
      <c r="AO116" s="33">
        <f>H116*0.0386895941673433</f>
        <v>0</v>
      </c>
      <c r="AP116" s="33">
        <f>H116*(1-0.0386895941673433)</f>
        <v>0</v>
      </c>
      <c r="AQ116" s="27" t="s">
        <v>7</v>
      </c>
      <c r="AV116" s="33">
        <f t="shared" ref="AV116:AV138" si="124">AW116+AX116</f>
        <v>0</v>
      </c>
      <c r="AW116" s="33">
        <f t="shared" ref="AW116:AW138" si="125">G116*AO116</f>
        <v>0</v>
      </c>
      <c r="AX116" s="33">
        <f t="shared" ref="AX116:AX138" si="126">G116*AP116</f>
        <v>0</v>
      </c>
      <c r="AY116" s="34" t="s">
        <v>1718</v>
      </c>
      <c r="AZ116" s="34" t="s">
        <v>1745</v>
      </c>
      <c r="BA116" s="28" t="s">
        <v>1752</v>
      </c>
      <c r="BC116" s="33">
        <f t="shared" ref="BC116:BC138" si="127">AW116+AX116</f>
        <v>0</v>
      </c>
      <c r="BD116" s="33">
        <f t="shared" ref="BD116:BD138" si="128">H116/(100-BE116)*100</f>
        <v>0</v>
      </c>
      <c r="BE116" s="33">
        <v>0</v>
      </c>
      <c r="BF116" s="33">
        <f>116</f>
        <v>116</v>
      </c>
      <c r="BH116" s="16">
        <f t="shared" ref="BH116:BH138" si="129">G116*AO116</f>
        <v>0</v>
      </c>
      <c r="BI116" s="16">
        <f t="shared" ref="BI116:BI138" si="130">G116*AP116</f>
        <v>0</v>
      </c>
      <c r="BJ116" s="16">
        <f t="shared" ref="BJ116:BJ138" si="131">G116*H116</f>
        <v>0</v>
      </c>
    </row>
    <row r="117" spans="1:62" x14ac:dyDescent="0.2">
      <c r="A117" s="4" t="s">
        <v>95</v>
      </c>
      <c r="B117" s="4" t="s">
        <v>631</v>
      </c>
      <c r="C117" s="131" t="s">
        <v>1190</v>
      </c>
      <c r="D117" s="132"/>
      <c r="E117" s="132"/>
      <c r="F117" s="4" t="s">
        <v>1663</v>
      </c>
      <c r="G117" s="68">
        <v>151.625</v>
      </c>
      <c r="H117" s="162">
        <v>0</v>
      </c>
      <c r="I117" s="16">
        <f t="shared" si="110"/>
        <v>0</v>
      </c>
      <c r="J117" s="16">
        <f t="shared" si="111"/>
        <v>0</v>
      </c>
      <c r="K117" s="16">
        <f t="shared" si="112"/>
        <v>0</v>
      </c>
      <c r="L117" s="27" t="s">
        <v>1692</v>
      </c>
      <c r="Z117" s="33">
        <f t="shared" si="113"/>
        <v>0</v>
      </c>
      <c r="AB117" s="33">
        <f t="shared" si="114"/>
        <v>0</v>
      </c>
      <c r="AC117" s="33">
        <f t="shared" si="115"/>
        <v>0</v>
      </c>
      <c r="AD117" s="33">
        <f t="shared" si="116"/>
        <v>0</v>
      </c>
      <c r="AE117" s="33">
        <f t="shared" si="117"/>
        <v>0</v>
      </c>
      <c r="AF117" s="33">
        <f t="shared" si="118"/>
        <v>0</v>
      </c>
      <c r="AG117" s="33">
        <f t="shared" si="119"/>
        <v>0</v>
      </c>
      <c r="AH117" s="33">
        <f t="shared" si="120"/>
        <v>0</v>
      </c>
      <c r="AI117" s="28"/>
      <c r="AJ117" s="16">
        <f t="shared" si="121"/>
        <v>0</v>
      </c>
      <c r="AK117" s="16">
        <f t="shared" si="122"/>
        <v>0</v>
      </c>
      <c r="AL117" s="16">
        <f t="shared" si="123"/>
        <v>0</v>
      </c>
      <c r="AN117" s="33">
        <v>21</v>
      </c>
      <c r="AO117" s="33">
        <f>H117*0.0679828229965328</f>
        <v>0</v>
      </c>
      <c r="AP117" s="33">
        <f>H117*(1-0.0679828229965328)</f>
        <v>0</v>
      </c>
      <c r="AQ117" s="27" t="s">
        <v>7</v>
      </c>
      <c r="AV117" s="33">
        <f t="shared" si="124"/>
        <v>0</v>
      </c>
      <c r="AW117" s="33">
        <f t="shared" si="125"/>
        <v>0</v>
      </c>
      <c r="AX117" s="33">
        <f t="shared" si="126"/>
        <v>0</v>
      </c>
      <c r="AY117" s="34" t="s">
        <v>1718</v>
      </c>
      <c r="AZ117" s="34" t="s">
        <v>1745</v>
      </c>
      <c r="BA117" s="28" t="s">
        <v>1752</v>
      </c>
      <c r="BC117" s="33">
        <f t="shared" si="127"/>
        <v>0</v>
      </c>
      <c r="BD117" s="33">
        <f t="shared" si="128"/>
        <v>0</v>
      </c>
      <c r="BE117" s="33">
        <v>0</v>
      </c>
      <c r="BF117" s="33">
        <f>117</f>
        <v>117</v>
      </c>
      <c r="BH117" s="16">
        <f t="shared" si="129"/>
        <v>0</v>
      </c>
      <c r="BI117" s="16">
        <f t="shared" si="130"/>
        <v>0</v>
      </c>
      <c r="BJ117" s="16">
        <f t="shared" si="131"/>
        <v>0</v>
      </c>
    </row>
    <row r="118" spans="1:62" x14ac:dyDescent="0.2">
      <c r="A118" s="4" t="s">
        <v>96</v>
      </c>
      <c r="B118" s="4" t="s">
        <v>632</v>
      </c>
      <c r="C118" s="131" t="s">
        <v>1191</v>
      </c>
      <c r="D118" s="132"/>
      <c r="E118" s="132"/>
      <c r="F118" s="4" t="s">
        <v>1664</v>
      </c>
      <c r="G118" s="68">
        <v>0.70599999999999996</v>
      </c>
      <c r="H118" s="162">
        <v>0</v>
      </c>
      <c r="I118" s="16">
        <f t="shared" si="110"/>
        <v>0</v>
      </c>
      <c r="J118" s="16">
        <f t="shared" si="111"/>
        <v>0</v>
      </c>
      <c r="K118" s="16">
        <f t="shared" si="112"/>
        <v>0</v>
      </c>
      <c r="L118" s="27" t="s">
        <v>1692</v>
      </c>
      <c r="Z118" s="33">
        <f t="shared" si="113"/>
        <v>0</v>
      </c>
      <c r="AB118" s="33">
        <f t="shared" si="114"/>
        <v>0</v>
      </c>
      <c r="AC118" s="33">
        <f t="shared" si="115"/>
        <v>0</v>
      </c>
      <c r="AD118" s="33">
        <f t="shared" si="116"/>
        <v>0</v>
      </c>
      <c r="AE118" s="33">
        <f t="shared" si="117"/>
        <v>0</v>
      </c>
      <c r="AF118" s="33">
        <f t="shared" si="118"/>
        <v>0</v>
      </c>
      <c r="AG118" s="33">
        <f t="shared" si="119"/>
        <v>0</v>
      </c>
      <c r="AH118" s="33">
        <f t="shared" si="120"/>
        <v>0</v>
      </c>
      <c r="AI118" s="28"/>
      <c r="AJ118" s="16">
        <f t="shared" si="121"/>
        <v>0</v>
      </c>
      <c r="AK118" s="16">
        <f t="shared" si="122"/>
        <v>0</v>
      </c>
      <c r="AL118" s="16">
        <f t="shared" si="123"/>
        <v>0</v>
      </c>
      <c r="AN118" s="33">
        <v>21</v>
      </c>
      <c r="AO118" s="33">
        <f>H118*0.10112987012987</f>
        <v>0</v>
      </c>
      <c r="AP118" s="33">
        <f>H118*(1-0.10112987012987)</f>
        <v>0</v>
      </c>
      <c r="AQ118" s="27" t="s">
        <v>7</v>
      </c>
      <c r="AV118" s="33">
        <f t="shared" si="124"/>
        <v>0</v>
      </c>
      <c r="AW118" s="33">
        <f t="shared" si="125"/>
        <v>0</v>
      </c>
      <c r="AX118" s="33">
        <f t="shared" si="126"/>
        <v>0</v>
      </c>
      <c r="AY118" s="34" t="s">
        <v>1718</v>
      </c>
      <c r="AZ118" s="34" t="s">
        <v>1745</v>
      </c>
      <c r="BA118" s="28" t="s">
        <v>1752</v>
      </c>
      <c r="BC118" s="33">
        <f t="shared" si="127"/>
        <v>0</v>
      </c>
      <c r="BD118" s="33">
        <f t="shared" si="128"/>
        <v>0</v>
      </c>
      <c r="BE118" s="33">
        <v>0</v>
      </c>
      <c r="BF118" s="33">
        <f>118</f>
        <v>118</v>
      </c>
      <c r="BH118" s="16">
        <f t="shared" si="129"/>
        <v>0</v>
      </c>
      <c r="BI118" s="16">
        <f t="shared" si="130"/>
        <v>0</v>
      </c>
      <c r="BJ118" s="16">
        <f t="shared" si="131"/>
        <v>0</v>
      </c>
    </row>
    <row r="119" spans="1:62" x14ac:dyDescent="0.2">
      <c r="A119" s="4" t="s">
        <v>97</v>
      </c>
      <c r="B119" s="4" t="s">
        <v>633</v>
      </c>
      <c r="C119" s="131" t="s">
        <v>1192</v>
      </c>
      <c r="D119" s="132"/>
      <c r="E119" s="132"/>
      <c r="F119" s="4" t="s">
        <v>1662</v>
      </c>
      <c r="G119" s="68">
        <v>20</v>
      </c>
      <c r="H119" s="162">
        <v>0</v>
      </c>
      <c r="I119" s="16">
        <f t="shared" si="110"/>
        <v>0</v>
      </c>
      <c r="J119" s="16">
        <f t="shared" si="111"/>
        <v>0</v>
      </c>
      <c r="K119" s="16">
        <f t="shared" si="112"/>
        <v>0</v>
      </c>
      <c r="L119" s="27" t="s">
        <v>1692</v>
      </c>
      <c r="Z119" s="33">
        <f t="shared" si="113"/>
        <v>0</v>
      </c>
      <c r="AB119" s="33">
        <f t="shared" si="114"/>
        <v>0</v>
      </c>
      <c r="AC119" s="33">
        <f t="shared" si="115"/>
        <v>0</v>
      </c>
      <c r="AD119" s="33">
        <f t="shared" si="116"/>
        <v>0</v>
      </c>
      <c r="AE119" s="33">
        <f t="shared" si="117"/>
        <v>0</v>
      </c>
      <c r="AF119" s="33">
        <f t="shared" si="118"/>
        <v>0</v>
      </c>
      <c r="AG119" s="33">
        <f t="shared" si="119"/>
        <v>0</v>
      </c>
      <c r="AH119" s="33">
        <f t="shared" si="120"/>
        <v>0</v>
      </c>
      <c r="AI119" s="28"/>
      <c r="AJ119" s="16">
        <f t="shared" si="121"/>
        <v>0</v>
      </c>
      <c r="AK119" s="16">
        <f t="shared" si="122"/>
        <v>0</v>
      </c>
      <c r="AL119" s="16">
        <f t="shared" si="123"/>
        <v>0</v>
      </c>
      <c r="AN119" s="33">
        <v>21</v>
      </c>
      <c r="AO119" s="33">
        <f>H119*0</f>
        <v>0</v>
      </c>
      <c r="AP119" s="33">
        <f>H119*(1-0)</f>
        <v>0</v>
      </c>
      <c r="AQ119" s="27" t="s">
        <v>7</v>
      </c>
      <c r="AV119" s="33">
        <f t="shared" si="124"/>
        <v>0</v>
      </c>
      <c r="AW119" s="33">
        <f t="shared" si="125"/>
        <v>0</v>
      </c>
      <c r="AX119" s="33">
        <f t="shared" si="126"/>
        <v>0</v>
      </c>
      <c r="AY119" s="34" t="s">
        <v>1718</v>
      </c>
      <c r="AZ119" s="34" t="s">
        <v>1745</v>
      </c>
      <c r="BA119" s="28" t="s">
        <v>1752</v>
      </c>
      <c r="BC119" s="33">
        <f t="shared" si="127"/>
        <v>0</v>
      </c>
      <c r="BD119" s="33">
        <f t="shared" si="128"/>
        <v>0</v>
      </c>
      <c r="BE119" s="33">
        <v>0</v>
      </c>
      <c r="BF119" s="33">
        <f>119</f>
        <v>119</v>
      </c>
      <c r="BH119" s="16">
        <f t="shared" si="129"/>
        <v>0</v>
      </c>
      <c r="BI119" s="16">
        <f t="shared" si="130"/>
        <v>0</v>
      </c>
      <c r="BJ119" s="16">
        <f t="shared" si="131"/>
        <v>0</v>
      </c>
    </row>
    <row r="120" spans="1:62" x14ac:dyDescent="0.2">
      <c r="A120" s="4" t="s">
        <v>98</v>
      </c>
      <c r="B120" s="4" t="s">
        <v>634</v>
      </c>
      <c r="C120" s="131" t="s">
        <v>1193</v>
      </c>
      <c r="D120" s="132"/>
      <c r="E120" s="132"/>
      <c r="F120" s="4" t="s">
        <v>1662</v>
      </c>
      <c r="G120" s="68">
        <v>20</v>
      </c>
      <c r="H120" s="162">
        <v>0</v>
      </c>
      <c r="I120" s="16">
        <f t="shared" si="110"/>
        <v>0</v>
      </c>
      <c r="J120" s="16">
        <f t="shared" si="111"/>
        <v>0</v>
      </c>
      <c r="K120" s="16">
        <f t="shared" si="112"/>
        <v>0</v>
      </c>
      <c r="L120" s="27" t="s">
        <v>1692</v>
      </c>
      <c r="Z120" s="33">
        <f t="shared" si="113"/>
        <v>0</v>
      </c>
      <c r="AB120" s="33">
        <f t="shared" si="114"/>
        <v>0</v>
      </c>
      <c r="AC120" s="33">
        <f t="shared" si="115"/>
        <v>0</v>
      </c>
      <c r="AD120" s="33">
        <f t="shared" si="116"/>
        <v>0</v>
      </c>
      <c r="AE120" s="33">
        <f t="shared" si="117"/>
        <v>0</v>
      </c>
      <c r="AF120" s="33">
        <f t="shared" si="118"/>
        <v>0</v>
      </c>
      <c r="AG120" s="33">
        <f t="shared" si="119"/>
        <v>0</v>
      </c>
      <c r="AH120" s="33">
        <f t="shared" si="120"/>
        <v>0</v>
      </c>
      <c r="AI120" s="28"/>
      <c r="AJ120" s="16">
        <f t="shared" si="121"/>
        <v>0</v>
      </c>
      <c r="AK120" s="16">
        <f t="shared" si="122"/>
        <v>0</v>
      </c>
      <c r="AL120" s="16">
        <f t="shared" si="123"/>
        <v>0</v>
      </c>
      <c r="AN120" s="33">
        <v>21</v>
      </c>
      <c r="AO120" s="33">
        <f>H120*0</f>
        <v>0</v>
      </c>
      <c r="AP120" s="33">
        <f>H120*(1-0)</f>
        <v>0</v>
      </c>
      <c r="AQ120" s="27" t="s">
        <v>7</v>
      </c>
      <c r="AV120" s="33">
        <f t="shared" si="124"/>
        <v>0</v>
      </c>
      <c r="AW120" s="33">
        <f t="shared" si="125"/>
        <v>0</v>
      </c>
      <c r="AX120" s="33">
        <f t="shared" si="126"/>
        <v>0</v>
      </c>
      <c r="AY120" s="34" t="s">
        <v>1718</v>
      </c>
      <c r="AZ120" s="34" t="s">
        <v>1745</v>
      </c>
      <c r="BA120" s="28" t="s">
        <v>1752</v>
      </c>
      <c r="BC120" s="33">
        <f t="shared" si="127"/>
        <v>0</v>
      </c>
      <c r="BD120" s="33">
        <f t="shared" si="128"/>
        <v>0</v>
      </c>
      <c r="BE120" s="33">
        <v>0</v>
      </c>
      <c r="BF120" s="33">
        <f>120</f>
        <v>120</v>
      </c>
      <c r="BH120" s="16">
        <f t="shared" si="129"/>
        <v>0</v>
      </c>
      <c r="BI120" s="16">
        <f t="shared" si="130"/>
        <v>0</v>
      </c>
      <c r="BJ120" s="16">
        <f t="shared" si="131"/>
        <v>0</v>
      </c>
    </row>
    <row r="121" spans="1:62" x14ac:dyDescent="0.2">
      <c r="A121" s="4" t="s">
        <v>99</v>
      </c>
      <c r="B121" s="4" t="s">
        <v>635</v>
      </c>
      <c r="C121" s="131" t="s">
        <v>1194</v>
      </c>
      <c r="D121" s="132"/>
      <c r="E121" s="132"/>
      <c r="F121" s="4" t="s">
        <v>1663</v>
      </c>
      <c r="G121" s="68">
        <v>70</v>
      </c>
      <c r="H121" s="162">
        <v>0</v>
      </c>
      <c r="I121" s="16">
        <f t="shared" si="110"/>
        <v>0</v>
      </c>
      <c r="J121" s="16">
        <f t="shared" si="111"/>
        <v>0</v>
      </c>
      <c r="K121" s="16">
        <f t="shared" si="112"/>
        <v>0</v>
      </c>
      <c r="L121" s="27" t="s">
        <v>1692</v>
      </c>
      <c r="Z121" s="33">
        <f t="shared" si="113"/>
        <v>0</v>
      </c>
      <c r="AB121" s="33">
        <f t="shared" si="114"/>
        <v>0</v>
      </c>
      <c r="AC121" s="33">
        <f t="shared" si="115"/>
        <v>0</v>
      </c>
      <c r="AD121" s="33">
        <f t="shared" si="116"/>
        <v>0</v>
      </c>
      <c r="AE121" s="33">
        <f t="shared" si="117"/>
        <v>0</v>
      </c>
      <c r="AF121" s="33">
        <f t="shared" si="118"/>
        <v>0</v>
      </c>
      <c r="AG121" s="33">
        <f t="shared" si="119"/>
        <v>0</v>
      </c>
      <c r="AH121" s="33">
        <f t="shared" si="120"/>
        <v>0</v>
      </c>
      <c r="AI121" s="28"/>
      <c r="AJ121" s="16">
        <f t="shared" si="121"/>
        <v>0</v>
      </c>
      <c r="AK121" s="16">
        <f t="shared" si="122"/>
        <v>0</v>
      </c>
      <c r="AL121" s="16">
        <f t="shared" si="123"/>
        <v>0</v>
      </c>
      <c r="AN121" s="33">
        <v>21</v>
      </c>
      <c r="AO121" s="33">
        <f>H121*0</f>
        <v>0</v>
      </c>
      <c r="AP121" s="33">
        <f>H121*(1-0)</f>
        <v>0</v>
      </c>
      <c r="AQ121" s="27" t="s">
        <v>7</v>
      </c>
      <c r="AV121" s="33">
        <f t="shared" si="124"/>
        <v>0</v>
      </c>
      <c r="AW121" s="33">
        <f t="shared" si="125"/>
        <v>0</v>
      </c>
      <c r="AX121" s="33">
        <f t="shared" si="126"/>
        <v>0</v>
      </c>
      <c r="AY121" s="34" t="s">
        <v>1718</v>
      </c>
      <c r="AZ121" s="34" t="s">
        <v>1745</v>
      </c>
      <c r="BA121" s="28" t="s">
        <v>1752</v>
      </c>
      <c r="BC121" s="33">
        <f t="shared" si="127"/>
        <v>0</v>
      </c>
      <c r="BD121" s="33">
        <f t="shared" si="128"/>
        <v>0</v>
      </c>
      <c r="BE121" s="33">
        <v>0</v>
      </c>
      <c r="BF121" s="33">
        <f>121</f>
        <v>121</v>
      </c>
      <c r="BH121" s="16">
        <f t="shared" si="129"/>
        <v>0</v>
      </c>
      <c r="BI121" s="16">
        <f t="shared" si="130"/>
        <v>0</v>
      </c>
      <c r="BJ121" s="16">
        <f t="shared" si="131"/>
        <v>0</v>
      </c>
    </row>
    <row r="122" spans="1:62" x14ac:dyDescent="0.2">
      <c r="A122" s="4" t="s">
        <v>100</v>
      </c>
      <c r="B122" s="4" t="s">
        <v>636</v>
      </c>
      <c r="C122" s="131" t="s">
        <v>1195</v>
      </c>
      <c r="D122" s="132"/>
      <c r="E122" s="132"/>
      <c r="F122" s="4" t="s">
        <v>1665</v>
      </c>
      <c r="G122" s="68">
        <v>1</v>
      </c>
      <c r="H122" s="162">
        <v>0</v>
      </c>
      <c r="I122" s="16">
        <f t="shared" si="110"/>
        <v>0</v>
      </c>
      <c r="J122" s="16">
        <f t="shared" si="111"/>
        <v>0</v>
      </c>
      <c r="K122" s="16">
        <f t="shared" si="112"/>
        <v>0</v>
      </c>
      <c r="L122" s="27" t="s">
        <v>1692</v>
      </c>
      <c r="Z122" s="33">
        <f t="shared" si="113"/>
        <v>0</v>
      </c>
      <c r="AB122" s="33">
        <f t="shared" si="114"/>
        <v>0</v>
      </c>
      <c r="AC122" s="33">
        <f t="shared" si="115"/>
        <v>0</v>
      </c>
      <c r="AD122" s="33">
        <f t="shared" si="116"/>
        <v>0</v>
      </c>
      <c r="AE122" s="33">
        <f t="shared" si="117"/>
        <v>0</v>
      </c>
      <c r="AF122" s="33">
        <f t="shared" si="118"/>
        <v>0</v>
      </c>
      <c r="AG122" s="33">
        <f t="shared" si="119"/>
        <v>0</v>
      </c>
      <c r="AH122" s="33">
        <f t="shared" si="120"/>
        <v>0</v>
      </c>
      <c r="AI122" s="28"/>
      <c r="AJ122" s="16">
        <f t="shared" si="121"/>
        <v>0</v>
      </c>
      <c r="AK122" s="16">
        <f t="shared" si="122"/>
        <v>0</v>
      </c>
      <c r="AL122" s="16">
        <f t="shared" si="123"/>
        <v>0</v>
      </c>
      <c r="AN122" s="33">
        <v>21</v>
      </c>
      <c r="AO122" s="33">
        <f>H122*0.00008</f>
        <v>0</v>
      </c>
      <c r="AP122" s="33">
        <f>H122*(1-0.00008)</f>
        <v>0</v>
      </c>
      <c r="AQ122" s="27" t="s">
        <v>7</v>
      </c>
      <c r="AV122" s="33">
        <f t="shared" si="124"/>
        <v>0</v>
      </c>
      <c r="AW122" s="33">
        <f t="shared" si="125"/>
        <v>0</v>
      </c>
      <c r="AX122" s="33">
        <f t="shared" si="126"/>
        <v>0</v>
      </c>
      <c r="AY122" s="34" t="s">
        <v>1718</v>
      </c>
      <c r="AZ122" s="34" t="s">
        <v>1745</v>
      </c>
      <c r="BA122" s="28" t="s">
        <v>1752</v>
      </c>
      <c r="BC122" s="33">
        <f t="shared" si="127"/>
        <v>0</v>
      </c>
      <c r="BD122" s="33">
        <f t="shared" si="128"/>
        <v>0</v>
      </c>
      <c r="BE122" s="33">
        <v>0</v>
      </c>
      <c r="BF122" s="33">
        <f>122</f>
        <v>122</v>
      </c>
      <c r="BH122" s="16">
        <f t="shared" si="129"/>
        <v>0</v>
      </c>
      <c r="BI122" s="16">
        <f t="shared" si="130"/>
        <v>0</v>
      </c>
      <c r="BJ122" s="16">
        <f t="shared" si="131"/>
        <v>0</v>
      </c>
    </row>
    <row r="123" spans="1:62" x14ac:dyDescent="0.2">
      <c r="A123" s="4" t="s">
        <v>101</v>
      </c>
      <c r="B123" s="4" t="s">
        <v>637</v>
      </c>
      <c r="C123" s="131" t="s">
        <v>1196</v>
      </c>
      <c r="D123" s="132"/>
      <c r="E123" s="132"/>
      <c r="F123" s="4" t="s">
        <v>1665</v>
      </c>
      <c r="G123" s="68">
        <v>2</v>
      </c>
      <c r="H123" s="162">
        <v>0</v>
      </c>
      <c r="I123" s="16">
        <f t="shared" si="110"/>
        <v>0</v>
      </c>
      <c r="J123" s="16">
        <f t="shared" si="111"/>
        <v>0</v>
      </c>
      <c r="K123" s="16">
        <f t="shared" si="112"/>
        <v>0</v>
      </c>
      <c r="L123" s="27" t="s">
        <v>1692</v>
      </c>
      <c r="Z123" s="33">
        <f t="shared" si="113"/>
        <v>0</v>
      </c>
      <c r="AB123" s="33">
        <f t="shared" si="114"/>
        <v>0</v>
      </c>
      <c r="AC123" s="33">
        <f t="shared" si="115"/>
        <v>0</v>
      </c>
      <c r="AD123" s="33">
        <f t="shared" si="116"/>
        <v>0</v>
      </c>
      <c r="AE123" s="33">
        <f t="shared" si="117"/>
        <v>0</v>
      </c>
      <c r="AF123" s="33">
        <f t="shared" si="118"/>
        <v>0</v>
      </c>
      <c r="AG123" s="33">
        <f t="shared" si="119"/>
        <v>0</v>
      </c>
      <c r="AH123" s="33">
        <f t="shared" si="120"/>
        <v>0</v>
      </c>
      <c r="AI123" s="28"/>
      <c r="AJ123" s="16">
        <f t="shared" si="121"/>
        <v>0</v>
      </c>
      <c r="AK123" s="16">
        <f t="shared" si="122"/>
        <v>0</v>
      </c>
      <c r="AL123" s="16">
        <f t="shared" si="123"/>
        <v>0</v>
      </c>
      <c r="AN123" s="33">
        <v>21</v>
      </c>
      <c r="AO123" s="33">
        <f>H123*0.0000857142857142857</f>
        <v>0</v>
      </c>
      <c r="AP123" s="33">
        <f>H123*(1-0.0000857142857142857)</f>
        <v>0</v>
      </c>
      <c r="AQ123" s="27" t="s">
        <v>7</v>
      </c>
      <c r="AV123" s="33">
        <f t="shared" si="124"/>
        <v>0</v>
      </c>
      <c r="AW123" s="33">
        <f t="shared" si="125"/>
        <v>0</v>
      </c>
      <c r="AX123" s="33">
        <f t="shared" si="126"/>
        <v>0</v>
      </c>
      <c r="AY123" s="34" t="s">
        <v>1718</v>
      </c>
      <c r="AZ123" s="34" t="s">
        <v>1745</v>
      </c>
      <c r="BA123" s="28" t="s">
        <v>1752</v>
      </c>
      <c r="BC123" s="33">
        <f t="shared" si="127"/>
        <v>0</v>
      </c>
      <c r="BD123" s="33">
        <f t="shared" si="128"/>
        <v>0</v>
      </c>
      <c r="BE123" s="33">
        <v>0</v>
      </c>
      <c r="BF123" s="33">
        <f>123</f>
        <v>123</v>
      </c>
      <c r="BH123" s="16">
        <f t="shared" si="129"/>
        <v>0</v>
      </c>
      <c r="BI123" s="16">
        <f t="shared" si="130"/>
        <v>0</v>
      </c>
      <c r="BJ123" s="16">
        <f t="shared" si="131"/>
        <v>0</v>
      </c>
    </row>
    <row r="124" spans="1:62" x14ac:dyDescent="0.2">
      <c r="A124" s="4" t="s">
        <v>102</v>
      </c>
      <c r="B124" s="4" t="s">
        <v>638</v>
      </c>
      <c r="C124" s="131" t="s">
        <v>1197</v>
      </c>
      <c r="D124" s="132"/>
      <c r="E124" s="132"/>
      <c r="F124" s="4" t="s">
        <v>1665</v>
      </c>
      <c r="G124" s="68">
        <v>1</v>
      </c>
      <c r="H124" s="162">
        <v>0</v>
      </c>
      <c r="I124" s="16">
        <f t="shared" si="110"/>
        <v>0</v>
      </c>
      <c r="J124" s="16">
        <f t="shared" si="111"/>
        <v>0</v>
      </c>
      <c r="K124" s="16">
        <f t="shared" si="112"/>
        <v>0</v>
      </c>
      <c r="L124" s="27" t="s">
        <v>1692</v>
      </c>
      <c r="Z124" s="33">
        <f t="shared" si="113"/>
        <v>0</v>
      </c>
      <c r="AB124" s="33">
        <f t="shared" si="114"/>
        <v>0</v>
      </c>
      <c r="AC124" s="33">
        <f t="shared" si="115"/>
        <v>0</v>
      </c>
      <c r="AD124" s="33">
        <f t="shared" si="116"/>
        <v>0</v>
      </c>
      <c r="AE124" s="33">
        <f t="shared" si="117"/>
        <v>0</v>
      </c>
      <c r="AF124" s="33">
        <f t="shared" si="118"/>
        <v>0</v>
      </c>
      <c r="AG124" s="33">
        <f t="shared" si="119"/>
        <v>0</v>
      </c>
      <c r="AH124" s="33">
        <f t="shared" si="120"/>
        <v>0</v>
      </c>
      <c r="AI124" s="28"/>
      <c r="AJ124" s="16">
        <f t="shared" si="121"/>
        <v>0</v>
      </c>
      <c r="AK124" s="16">
        <f t="shared" si="122"/>
        <v>0</v>
      </c>
      <c r="AL124" s="16">
        <f t="shared" si="123"/>
        <v>0</v>
      </c>
      <c r="AN124" s="33">
        <v>21</v>
      </c>
      <c r="AO124" s="33">
        <f>H124*0</f>
        <v>0</v>
      </c>
      <c r="AP124" s="33">
        <f>H124*(1-0)</f>
        <v>0</v>
      </c>
      <c r="AQ124" s="27" t="s">
        <v>7</v>
      </c>
      <c r="AV124" s="33">
        <f t="shared" si="124"/>
        <v>0</v>
      </c>
      <c r="AW124" s="33">
        <f t="shared" si="125"/>
        <v>0</v>
      </c>
      <c r="AX124" s="33">
        <f t="shared" si="126"/>
        <v>0</v>
      </c>
      <c r="AY124" s="34" t="s">
        <v>1718</v>
      </c>
      <c r="AZ124" s="34" t="s">
        <v>1745</v>
      </c>
      <c r="BA124" s="28" t="s">
        <v>1752</v>
      </c>
      <c r="BC124" s="33">
        <f t="shared" si="127"/>
        <v>0</v>
      </c>
      <c r="BD124" s="33">
        <f t="shared" si="128"/>
        <v>0</v>
      </c>
      <c r="BE124" s="33">
        <v>0</v>
      </c>
      <c r="BF124" s="33">
        <f>124</f>
        <v>124</v>
      </c>
      <c r="BH124" s="16">
        <f t="shared" si="129"/>
        <v>0</v>
      </c>
      <c r="BI124" s="16">
        <f t="shared" si="130"/>
        <v>0</v>
      </c>
      <c r="BJ124" s="16">
        <f t="shared" si="131"/>
        <v>0</v>
      </c>
    </row>
    <row r="125" spans="1:62" x14ac:dyDescent="0.2">
      <c r="A125" s="4" t="s">
        <v>103</v>
      </c>
      <c r="B125" s="4" t="s">
        <v>639</v>
      </c>
      <c r="C125" s="131" t="s">
        <v>1198</v>
      </c>
      <c r="D125" s="132"/>
      <c r="E125" s="132"/>
      <c r="F125" s="4" t="s">
        <v>1663</v>
      </c>
      <c r="G125" s="68">
        <v>14.728999999999999</v>
      </c>
      <c r="H125" s="162">
        <v>0</v>
      </c>
      <c r="I125" s="16">
        <f t="shared" si="110"/>
        <v>0</v>
      </c>
      <c r="J125" s="16">
        <f t="shared" si="111"/>
        <v>0</v>
      </c>
      <c r="K125" s="16">
        <f t="shared" si="112"/>
        <v>0</v>
      </c>
      <c r="L125" s="27" t="s">
        <v>1692</v>
      </c>
      <c r="Z125" s="33">
        <f t="shared" si="113"/>
        <v>0</v>
      </c>
      <c r="AB125" s="33">
        <f t="shared" si="114"/>
        <v>0</v>
      </c>
      <c r="AC125" s="33">
        <f t="shared" si="115"/>
        <v>0</v>
      </c>
      <c r="AD125" s="33">
        <f t="shared" si="116"/>
        <v>0</v>
      </c>
      <c r="AE125" s="33">
        <f t="shared" si="117"/>
        <v>0</v>
      </c>
      <c r="AF125" s="33">
        <f t="shared" si="118"/>
        <v>0</v>
      </c>
      <c r="AG125" s="33">
        <f t="shared" si="119"/>
        <v>0</v>
      </c>
      <c r="AH125" s="33">
        <f t="shared" si="120"/>
        <v>0</v>
      </c>
      <c r="AI125" s="28"/>
      <c r="AJ125" s="16">
        <f t="shared" si="121"/>
        <v>0</v>
      </c>
      <c r="AK125" s="16">
        <f t="shared" si="122"/>
        <v>0</v>
      </c>
      <c r="AL125" s="16">
        <f t="shared" si="123"/>
        <v>0</v>
      </c>
      <c r="AN125" s="33">
        <v>21</v>
      </c>
      <c r="AO125" s="33">
        <f>H125*0.0158134835426259</f>
        <v>0</v>
      </c>
      <c r="AP125" s="33">
        <f>H125*(1-0.0158134835426259)</f>
        <v>0</v>
      </c>
      <c r="AQ125" s="27" t="s">
        <v>7</v>
      </c>
      <c r="AV125" s="33">
        <f t="shared" si="124"/>
        <v>0</v>
      </c>
      <c r="AW125" s="33">
        <f t="shared" si="125"/>
        <v>0</v>
      </c>
      <c r="AX125" s="33">
        <f t="shared" si="126"/>
        <v>0</v>
      </c>
      <c r="AY125" s="34" t="s">
        <v>1718</v>
      </c>
      <c r="AZ125" s="34" t="s">
        <v>1745</v>
      </c>
      <c r="BA125" s="28" t="s">
        <v>1752</v>
      </c>
      <c r="BC125" s="33">
        <f t="shared" si="127"/>
        <v>0</v>
      </c>
      <c r="BD125" s="33">
        <f t="shared" si="128"/>
        <v>0</v>
      </c>
      <c r="BE125" s="33">
        <v>0</v>
      </c>
      <c r="BF125" s="33">
        <f>125</f>
        <v>125</v>
      </c>
      <c r="BH125" s="16">
        <f t="shared" si="129"/>
        <v>0</v>
      </c>
      <c r="BI125" s="16">
        <f t="shared" si="130"/>
        <v>0</v>
      </c>
      <c r="BJ125" s="16">
        <f t="shared" si="131"/>
        <v>0</v>
      </c>
    </row>
    <row r="126" spans="1:62" x14ac:dyDescent="0.2">
      <c r="A126" s="4" t="s">
        <v>104</v>
      </c>
      <c r="B126" s="4" t="s">
        <v>640</v>
      </c>
      <c r="C126" s="131" t="s">
        <v>1199</v>
      </c>
      <c r="D126" s="132"/>
      <c r="E126" s="132"/>
      <c r="F126" s="4" t="s">
        <v>1663</v>
      </c>
      <c r="G126" s="68">
        <v>56.920999999999999</v>
      </c>
      <c r="H126" s="162">
        <v>0</v>
      </c>
      <c r="I126" s="16">
        <f t="shared" si="110"/>
        <v>0</v>
      </c>
      <c r="J126" s="16">
        <f t="shared" si="111"/>
        <v>0</v>
      </c>
      <c r="K126" s="16">
        <f t="shared" si="112"/>
        <v>0</v>
      </c>
      <c r="L126" s="27" t="s">
        <v>1692</v>
      </c>
      <c r="Z126" s="33">
        <f t="shared" si="113"/>
        <v>0</v>
      </c>
      <c r="AB126" s="33">
        <f t="shared" si="114"/>
        <v>0</v>
      </c>
      <c r="AC126" s="33">
        <f t="shared" si="115"/>
        <v>0</v>
      </c>
      <c r="AD126" s="33">
        <f t="shared" si="116"/>
        <v>0</v>
      </c>
      <c r="AE126" s="33">
        <f t="shared" si="117"/>
        <v>0</v>
      </c>
      <c r="AF126" s="33">
        <f t="shared" si="118"/>
        <v>0</v>
      </c>
      <c r="AG126" s="33">
        <f t="shared" si="119"/>
        <v>0</v>
      </c>
      <c r="AH126" s="33">
        <f t="shared" si="120"/>
        <v>0</v>
      </c>
      <c r="AI126" s="28"/>
      <c r="AJ126" s="16">
        <f t="shared" si="121"/>
        <v>0</v>
      </c>
      <c r="AK126" s="16">
        <f t="shared" si="122"/>
        <v>0</v>
      </c>
      <c r="AL126" s="16">
        <f t="shared" si="123"/>
        <v>0</v>
      </c>
      <c r="AN126" s="33">
        <v>21</v>
      </c>
      <c r="AO126" s="33">
        <f>H126*0.0107393162393162</f>
        <v>0</v>
      </c>
      <c r="AP126" s="33">
        <f>H126*(1-0.0107393162393162)</f>
        <v>0</v>
      </c>
      <c r="AQ126" s="27" t="s">
        <v>7</v>
      </c>
      <c r="AV126" s="33">
        <f t="shared" si="124"/>
        <v>0</v>
      </c>
      <c r="AW126" s="33">
        <f t="shared" si="125"/>
        <v>0</v>
      </c>
      <c r="AX126" s="33">
        <f t="shared" si="126"/>
        <v>0</v>
      </c>
      <c r="AY126" s="34" t="s">
        <v>1718</v>
      </c>
      <c r="AZ126" s="34" t="s">
        <v>1745</v>
      </c>
      <c r="BA126" s="28" t="s">
        <v>1752</v>
      </c>
      <c r="BC126" s="33">
        <f t="shared" si="127"/>
        <v>0</v>
      </c>
      <c r="BD126" s="33">
        <f t="shared" si="128"/>
        <v>0</v>
      </c>
      <c r="BE126" s="33">
        <v>0</v>
      </c>
      <c r="BF126" s="33">
        <f>126</f>
        <v>126</v>
      </c>
      <c r="BH126" s="16">
        <f t="shared" si="129"/>
        <v>0</v>
      </c>
      <c r="BI126" s="16">
        <f t="shared" si="130"/>
        <v>0</v>
      </c>
      <c r="BJ126" s="16">
        <f t="shared" si="131"/>
        <v>0</v>
      </c>
    </row>
    <row r="127" spans="1:62" x14ac:dyDescent="0.2">
      <c r="A127" s="4" t="s">
        <v>105</v>
      </c>
      <c r="B127" s="4" t="s">
        <v>641</v>
      </c>
      <c r="C127" s="131" t="s">
        <v>1200</v>
      </c>
      <c r="D127" s="132"/>
      <c r="E127" s="132"/>
      <c r="F127" s="4" t="s">
        <v>1665</v>
      </c>
      <c r="G127" s="68">
        <v>137</v>
      </c>
      <c r="H127" s="162">
        <v>0</v>
      </c>
      <c r="I127" s="16">
        <f t="shared" si="110"/>
        <v>0</v>
      </c>
      <c r="J127" s="16">
        <f t="shared" si="111"/>
        <v>0</v>
      </c>
      <c r="K127" s="16">
        <f t="shared" si="112"/>
        <v>0</v>
      </c>
      <c r="L127" s="27" t="s">
        <v>1692</v>
      </c>
      <c r="Z127" s="33">
        <f t="shared" si="113"/>
        <v>0</v>
      </c>
      <c r="AB127" s="33">
        <f t="shared" si="114"/>
        <v>0</v>
      </c>
      <c r="AC127" s="33">
        <f t="shared" si="115"/>
        <v>0</v>
      </c>
      <c r="AD127" s="33">
        <f t="shared" si="116"/>
        <v>0</v>
      </c>
      <c r="AE127" s="33">
        <f t="shared" si="117"/>
        <v>0</v>
      </c>
      <c r="AF127" s="33">
        <f t="shared" si="118"/>
        <v>0</v>
      </c>
      <c r="AG127" s="33">
        <f t="shared" si="119"/>
        <v>0</v>
      </c>
      <c r="AH127" s="33">
        <f t="shared" si="120"/>
        <v>0</v>
      </c>
      <c r="AI127" s="28"/>
      <c r="AJ127" s="16">
        <f t="shared" si="121"/>
        <v>0</v>
      </c>
      <c r="AK127" s="16">
        <f t="shared" si="122"/>
        <v>0</v>
      </c>
      <c r="AL127" s="16">
        <f t="shared" si="123"/>
        <v>0</v>
      </c>
      <c r="AN127" s="33">
        <v>21</v>
      </c>
      <c r="AO127" s="33">
        <f>H127*0</f>
        <v>0</v>
      </c>
      <c r="AP127" s="33">
        <f>H127*(1-0)</f>
        <v>0</v>
      </c>
      <c r="AQ127" s="27" t="s">
        <v>7</v>
      </c>
      <c r="AV127" s="33">
        <f t="shared" si="124"/>
        <v>0</v>
      </c>
      <c r="AW127" s="33">
        <f t="shared" si="125"/>
        <v>0</v>
      </c>
      <c r="AX127" s="33">
        <f t="shared" si="126"/>
        <v>0</v>
      </c>
      <c r="AY127" s="34" t="s">
        <v>1718</v>
      </c>
      <c r="AZ127" s="34" t="s">
        <v>1745</v>
      </c>
      <c r="BA127" s="28" t="s">
        <v>1752</v>
      </c>
      <c r="BC127" s="33">
        <f t="shared" si="127"/>
        <v>0</v>
      </c>
      <c r="BD127" s="33">
        <f t="shared" si="128"/>
        <v>0</v>
      </c>
      <c r="BE127" s="33">
        <v>0</v>
      </c>
      <c r="BF127" s="33">
        <f>127</f>
        <v>127</v>
      </c>
      <c r="BH127" s="16">
        <f t="shared" si="129"/>
        <v>0</v>
      </c>
      <c r="BI127" s="16">
        <f t="shared" si="130"/>
        <v>0</v>
      </c>
      <c r="BJ127" s="16">
        <f t="shared" si="131"/>
        <v>0</v>
      </c>
    </row>
    <row r="128" spans="1:62" x14ac:dyDescent="0.2">
      <c r="A128" s="4" t="s">
        <v>106</v>
      </c>
      <c r="B128" s="4" t="s">
        <v>642</v>
      </c>
      <c r="C128" s="131" t="s">
        <v>1201</v>
      </c>
      <c r="D128" s="132"/>
      <c r="E128" s="132"/>
      <c r="F128" s="4" t="s">
        <v>1665</v>
      </c>
      <c r="G128" s="68">
        <v>12</v>
      </c>
      <c r="H128" s="162">
        <v>0</v>
      </c>
      <c r="I128" s="16">
        <f t="shared" si="110"/>
        <v>0</v>
      </c>
      <c r="J128" s="16">
        <f t="shared" si="111"/>
        <v>0</v>
      </c>
      <c r="K128" s="16">
        <f t="shared" si="112"/>
        <v>0</v>
      </c>
      <c r="L128" s="27" t="s">
        <v>1692</v>
      </c>
      <c r="Z128" s="33">
        <f t="shared" si="113"/>
        <v>0</v>
      </c>
      <c r="AB128" s="33">
        <f t="shared" si="114"/>
        <v>0</v>
      </c>
      <c r="AC128" s="33">
        <f t="shared" si="115"/>
        <v>0</v>
      </c>
      <c r="AD128" s="33">
        <f t="shared" si="116"/>
        <v>0</v>
      </c>
      <c r="AE128" s="33">
        <f t="shared" si="117"/>
        <v>0</v>
      </c>
      <c r="AF128" s="33">
        <f t="shared" si="118"/>
        <v>0</v>
      </c>
      <c r="AG128" s="33">
        <f t="shared" si="119"/>
        <v>0</v>
      </c>
      <c r="AH128" s="33">
        <f t="shared" si="120"/>
        <v>0</v>
      </c>
      <c r="AI128" s="28"/>
      <c r="AJ128" s="16">
        <f t="shared" si="121"/>
        <v>0</v>
      </c>
      <c r="AK128" s="16">
        <f t="shared" si="122"/>
        <v>0</v>
      </c>
      <c r="AL128" s="16">
        <f t="shared" si="123"/>
        <v>0</v>
      </c>
      <c r="AN128" s="33">
        <v>21</v>
      </c>
      <c r="AO128" s="33">
        <f>H128*0</f>
        <v>0</v>
      </c>
      <c r="AP128" s="33">
        <f>H128*(1-0)</f>
        <v>0</v>
      </c>
      <c r="AQ128" s="27" t="s">
        <v>7</v>
      </c>
      <c r="AV128" s="33">
        <f t="shared" si="124"/>
        <v>0</v>
      </c>
      <c r="AW128" s="33">
        <f t="shared" si="125"/>
        <v>0</v>
      </c>
      <c r="AX128" s="33">
        <f t="shared" si="126"/>
        <v>0</v>
      </c>
      <c r="AY128" s="34" t="s">
        <v>1718</v>
      </c>
      <c r="AZ128" s="34" t="s">
        <v>1745</v>
      </c>
      <c r="BA128" s="28" t="s">
        <v>1752</v>
      </c>
      <c r="BC128" s="33">
        <f t="shared" si="127"/>
        <v>0</v>
      </c>
      <c r="BD128" s="33">
        <f t="shared" si="128"/>
        <v>0</v>
      </c>
      <c r="BE128" s="33">
        <v>0</v>
      </c>
      <c r="BF128" s="33">
        <f>128</f>
        <v>128</v>
      </c>
      <c r="BH128" s="16">
        <f t="shared" si="129"/>
        <v>0</v>
      </c>
      <c r="BI128" s="16">
        <f t="shared" si="130"/>
        <v>0</v>
      </c>
      <c r="BJ128" s="16">
        <f t="shared" si="131"/>
        <v>0</v>
      </c>
    </row>
    <row r="129" spans="1:62" x14ac:dyDescent="0.2">
      <c r="A129" s="4" t="s">
        <v>107</v>
      </c>
      <c r="B129" s="4" t="s">
        <v>643</v>
      </c>
      <c r="C129" s="131" t="s">
        <v>1202</v>
      </c>
      <c r="D129" s="132"/>
      <c r="E129" s="132"/>
      <c r="F129" s="4" t="s">
        <v>1663</v>
      </c>
      <c r="G129" s="68">
        <v>43.863</v>
      </c>
      <c r="H129" s="162">
        <v>0</v>
      </c>
      <c r="I129" s="16">
        <f t="shared" si="110"/>
        <v>0</v>
      </c>
      <c r="J129" s="16">
        <f t="shared" si="111"/>
        <v>0</v>
      </c>
      <c r="K129" s="16">
        <f t="shared" si="112"/>
        <v>0</v>
      </c>
      <c r="L129" s="27" t="s">
        <v>1692</v>
      </c>
      <c r="Z129" s="33">
        <f t="shared" si="113"/>
        <v>0</v>
      </c>
      <c r="AB129" s="33">
        <f t="shared" si="114"/>
        <v>0</v>
      </c>
      <c r="AC129" s="33">
        <f t="shared" si="115"/>
        <v>0</v>
      </c>
      <c r="AD129" s="33">
        <f t="shared" si="116"/>
        <v>0</v>
      </c>
      <c r="AE129" s="33">
        <f t="shared" si="117"/>
        <v>0</v>
      </c>
      <c r="AF129" s="33">
        <f t="shared" si="118"/>
        <v>0</v>
      </c>
      <c r="AG129" s="33">
        <f t="shared" si="119"/>
        <v>0</v>
      </c>
      <c r="AH129" s="33">
        <f t="shared" si="120"/>
        <v>0</v>
      </c>
      <c r="AI129" s="28"/>
      <c r="AJ129" s="16">
        <f t="shared" si="121"/>
        <v>0</v>
      </c>
      <c r="AK129" s="16">
        <f t="shared" si="122"/>
        <v>0</v>
      </c>
      <c r="AL129" s="16">
        <f t="shared" si="123"/>
        <v>0</v>
      </c>
      <c r="AN129" s="33">
        <v>21</v>
      </c>
      <c r="AO129" s="33">
        <f>H129*0.18326354588172</f>
        <v>0</v>
      </c>
      <c r="AP129" s="33">
        <f>H129*(1-0.18326354588172)</f>
        <v>0</v>
      </c>
      <c r="AQ129" s="27" t="s">
        <v>7</v>
      </c>
      <c r="AV129" s="33">
        <f t="shared" si="124"/>
        <v>0</v>
      </c>
      <c r="AW129" s="33">
        <f t="shared" si="125"/>
        <v>0</v>
      </c>
      <c r="AX129" s="33">
        <f t="shared" si="126"/>
        <v>0</v>
      </c>
      <c r="AY129" s="34" t="s">
        <v>1718</v>
      </c>
      <c r="AZ129" s="34" t="s">
        <v>1745</v>
      </c>
      <c r="BA129" s="28" t="s">
        <v>1752</v>
      </c>
      <c r="BC129" s="33">
        <f t="shared" si="127"/>
        <v>0</v>
      </c>
      <c r="BD129" s="33">
        <f t="shared" si="128"/>
        <v>0</v>
      </c>
      <c r="BE129" s="33">
        <v>0</v>
      </c>
      <c r="BF129" s="33">
        <f>129</f>
        <v>129</v>
      </c>
      <c r="BH129" s="16">
        <f t="shared" si="129"/>
        <v>0</v>
      </c>
      <c r="BI129" s="16">
        <f t="shared" si="130"/>
        <v>0</v>
      </c>
      <c r="BJ129" s="16">
        <f t="shared" si="131"/>
        <v>0</v>
      </c>
    </row>
    <row r="130" spans="1:62" x14ac:dyDescent="0.2">
      <c r="A130" s="4" t="s">
        <v>108</v>
      </c>
      <c r="B130" s="4" t="s">
        <v>644</v>
      </c>
      <c r="C130" s="131" t="s">
        <v>1203</v>
      </c>
      <c r="D130" s="132"/>
      <c r="E130" s="132"/>
      <c r="F130" s="4" t="s">
        <v>1663</v>
      </c>
      <c r="G130" s="68">
        <v>5.04</v>
      </c>
      <c r="H130" s="162">
        <v>0</v>
      </c>
      <c r="I130" s="16">
        <f t="shared" si="110"/>
        <v>0</v>
      </c>
      <c r="J130" s="16">
        <f t="shared" si="111"/>
        <v>0</v>
      </c>
      <c r="K130" s="16">
        <f t="shared" si="112"/>
        <v>0</v>
      </c>
      <c r="L130" s="27" t="s">
        <v>1692</v>
      </c>
      <c r="Z130" s="33">
        <f t="shared" si="113"/>
        <v>0</v>
      </c>
      <c r="AB130" s="33">
        <f t="shared" si="114"/>
        <v>0</v>
      </c>
      <c r="AC130" s="33">
        <f t="shared" si="115"/>
        <v>0</v>
      </c>
      <c r="AD130" s="33">
        <f t="shared" si="116"/>
        <v>0</v>
      </c>
      <c r="AE130" s="33">
        <f t="shared" si="117"/>
        <v>0</v>
      </c>
      <c r="AF130" s="33">
        <f t="shared" si="118"/>
        <v>0</v>
      </c>
      <c r="AG130" s="33">
        <f t="shared" si="119"/>
        <v>0</v>
      </c>
      <c r="AH130" s="33">
        <f t="shared" si="120"/>
        <v>0</v>
      </c>
      <c r="AI130" s="28"/>
      <c r="AJ130" s="16">
        <f t="shared" si="121"/>
        <v>0</v>
      </c>
      <c r="AK130" s="16">
        <f t="shared" si="122"/>
        <v>0</v>
      </c>
      <c r="AL130" s="16">
        <f t="shared" si="123"/>
        <v>0</v>
      </c>
      <c r="AN130" s="33">
        <v>21</v>
      </c>
      <c r="AO130" s="33">
        <f>H130*0.129689440993789</f>
        <v>0</v>
      </c>
      <c r="AP130" s="33">
        <f>H130*(1-0.129689440993789)</f>
        <v>0</v>
      </c>
      <c r="AQ130" s="27" t="s">
        <v>7</v>
      </c>
      <c r="AV130" s="33">
        <f t="shared" si="124"/>
        <v>0</v>
      </c>
      <c r="AW130" s="33">
        <f t="shared" si="125"/>
        <v>0</v>
      </c>
      <c r="AX130" s="33">
        <f t="shared" si="126"/>
        <v>0</v>
      </c>
      <c r="AY130" s="34" t="s">
        <v>1718</v>
      </c>
      <c r="AZ130" s="34" t="s">
        <v>1745</v>
      </c>
      <c r="BA130" s="28" t="s">
        <v>1752</v>
      </c>
      <c r="BC130" s="33">
        <f t="shared" si="127"/>
        <v>0</v>
      </c>
      <c r="BD130" s="33">
        <f t="shared" si="128"/>
        <v>0</v>
      </c>
      <c r="BE130" s="33">
        <v>0</v>
      </c>
      <c r="BF130" s="33">
        <f>130</f>
        <v>130</v>
      </c>
      <c r="BH130" s="16">
        <f t="shared" si="129"/>
        <v>0</v>
      </c>
      <c r="BI130" s="16">
        <f t="shared" si="130"/>
        <v>0</v>
      </c>
      <c r="BJ130" s="16">
        <f t="shared" si="131"/>
        <v>0</v>
      </c>
    </row>
    <row r="131" spans="1:62" x14ac:dyDescent="0.2">
      <c r="A131" s="4" t="s">
        <v>109</v>
      </c>
      <c r="B131" s="4" t="s">
        <v>645</v>
      </c>
      <c r="C131" s="131" t="s">
        <v>1204</v>
      </c>
      <c r="D131" s="132"/>
      <c r="E131" s="132"/>
      <c r="F131" s="4" t="s">
        <v>1663</v>
      </c>
      <c r="G131" s="68">
        <v>79.2</v>
      </c>
      <c r="H131" s="162">
        <v>0</v>
      </c>
      <c r="I131" s="16">
        <f t="shared" si="110"/>
        <v>0</v>
      </c>
      <c r="J131" s="16">
        <f t="shared" si="111"/>
        <v>0</v>
      </c>
      <c r="K131" s="16">
        <f t="shared" si="112"/>
        <v>0</v>
      </c>
      <c r="L131" s="27" t="s">
        <v>1692</v>
      </c>
      <c r="Z131" s="33">
        <f t="shared" si="113"/>
        <v>0</v>
      </c>
      <c r="AB131" s="33">
        <f t="shared" si="114"/>
        <v>0</v>
      </c>
      <c r="AC131" s="33">
        <f t="shared" si="115"/>
        <v>0</v>
      </c>
      <c r="AD131" s="33">
        <f t="shared" si="116"/>
        <v>0</v>
      </c>
      <c r="AE131" s="33">
        <f t="shared" si="117"/>
        <v>0</v>
      </c>
      <c r="AF131" s="33">
        <f t="shared" si="118"/>
        <v>0</v>
      </c>
      <c r="AG131" s="33">
        <f t="shared" si="119"/>
        <v>0</v>
      </c>
      <c r="AH131" s="33">
        <f t="shared" si="120"/>
        <v>0</v>
      </c>
      <c r="AI131" s="28"/>
      <c r="AJ131" s="16">
        <f t="shared" si="121"/>
        <v>0</v>
      </c>
      <c r="AK131" s="16">
        <f t="shared" si="122"/>
        <v>0</v>
      </c>
      <c r="AL131" s="16">
        <f t="shared" si="123"/>
        <v>0</v>
      </c>
      <c r="AN131" s="33">
        <v>21</v>
      </c>
      <c r="AO131" s="33">
        <f>H131*0.0965922920892495</f>
        <v>0</v>
      </c>
      <c r="AP131" s="33">
        <f>H131*(1-0.0965922920892495)</f>
        <v>0</v>
      </c>
      <c r="AQ131" s="27" t="s">
        <v>7</v>
      </c>
      <c r="AV131" s="33">
        <f t="shared" si="124"/>
        <v>0</v>
      </c>
      <c r="AW131" s="33">
        <f t="shared" si="125"/>
        <v>0</v>
      </c>
      <c r="AX131" s="33">
        <f t="shared" si="126"/>
        <v>0</v>
      </c>
      <c r="AY131" s="34" t="s">
        <v>1718</v>
      </c>
      <c r="AZ131" s="34" t="s">
        <v>1745</v>
      </c>
      <c r="BA131" s="28" t="s">
        <v>1752</v>
      </c>
      <c r="BC131" s="33">
        <f t="shared" si="127"/>
        <v>0</v>
      </c>
      <c r="BD131" s="33">
        <f t="shared" si="128"/>
        <v>0</v>
      </c>
      <c r="BE131" s="33">
        <v>0</v>
      </c>
      <c r="BF131" s="33">
        <f>131</f>
        <v>131</v>
      </c>
      <c r="BH131" s="16">
        <f t="shared" si="129"/>
        <v>0</v>
      </c>
      <c r="BI131" s="16">
        <f t="shared" si="130"/>
        <v>0</v>
      </c>
      <c r="BJ131" s="16">
        <f t="shared" si="131"/>
        <v>0</v>
      </c>
    </row>
    <row r="132" spans="1:62" x14ac:dyDescent="0.2">
      <c r="A132" s="4" t="s">
        <v>110</v>
      </c>
      <c r="B132" s="4" t="s">
        <v>646</v>
      </c>
      <c r="C132" s="131" t="s">
        <v>1205</v>
      </c>
      <c r="D132" s="132"/>
      <c r="E132" s="132"/>
      <c r="F132" s="4" t="s">
        <v>1663</v>
      </c>
      <c r="G132" s="68">
        <v>37.725000000000001</v>
      </c>
      <c r="H132" s="162">
        <v>0</v>
      </c>
      <c r="I132" s="16">
        <f t="shared" si="110"/>
        <v>0</v>
      </c>
      <c r="J132" s="16">
        <f t="shared" si="111"/>
        <v>0</v>
      </c>
      <c r="K132" s="16">
        <f t="shared" si="112"/>
        <v>0</v>
      </c>
      <c r="L132" s="27" t="s">
        <v>1692</v>
      </c>
      <c r="Z132" s="33">
        <f t="shared" si="113"/>
        <v>0</v>
      </c>
      <c r="AB132" s="33">
        <f t="shared" si="114"/>
        <v>0</v>
      </c>
      <c r="AC132" s="33">
        <f t="shared" si="115"/>
        <v>0</v>
      </c>
      <c r="AD132" s="33">
        <f t="shared" si="116"/>
        <v>0</v>
      </c>
      <c r="AE132" s="33">
        <f t="shared" si="117"/>
        <v>0</v>
      </c>
      <c r="AF132" s="33">
        <f t="shared" si="118"/>
        <v>0</v>
      </c>
      <c r="AG132" s="33">
        <f t="shared" si="119"/>
        <v>0</v>
      </c>
      <c r="AH132" s="33">
        <f t="shared" si="120"/>
        <v>0</v>
      </c>
      <c r="AI132" s="28"/>
      <c r="AJ132" s="16">
        <f t="shared" si="121"/>
        <v>0</v>
      </c>
      <c r="AK132" s="16">
        <f t="shared" si="122"/>
        <v>0</v>
      </c>
      <c r="AL132" s="16">
        <f t="shared" si="123"/>
        <v>0</v>
      </c>
      <c r="AN132" s="33">
        <v>21</v>
      </c>
      <c r="AO132" s="33">
        <f>H132*0.1140625</f>
        <v>0</v>
      </c>
      <c r="AP132" s="33">
        <f>H132*(1-0.1140625)</f>
        <v>0</v>
      </c>
      <c r="AQ132" s="27" t="s">
        <v>7</v>
      </c>
      <c r="AV132" s="33">
        <f t="shared" si="124"/>
        <v>0</v>
      </c>
      <c r="AW132" s="33">
        <f t="shared" si="125"/>
        <v>0</v>
      </c>
      <c r="AX132" s="33">
        <f t="shared" si="126"/>
        <v>0</v>
      </c>
      <c r="AY132" s="34" t="s">
        <v>1718</v>
      </c>
      <c r="AZ132" s="34" t="s">
        <v>1745</v>
      </c>
      <c r="BA132" s="28" t="s">
        <v>1752</v>
      </c>
      <c r="BC132" s="33">
        <f t="shared" si="127"/>
        <v>0</v>
      </c>
      <c r="BD132" s="33">
        <f t="shared" si="128"/>
        <v>0</v>
      </c>
      <c r="BE132" s="33">
        <v>0</v>
      </c>
      <c r="BF132" s="33">
        <f>132</f>
        <v>132</v>
      </c>
      <c r="BH132" s="16">
        <f t="shared" si="129"/>
        <v>0</v>
      </c>
      <c r="BI132" s="16">
        <f t="shared" si="130"/>
        <v>0</v>
      </c>
      <c r="BJ132" s="16">
        <f t="shared" si="131"/>
        <v>0</v>
      </c>
    </row>
    <row r="133" spans="1:62" x14ac:dyDescent="0.2">
      <c r="A133" s="4" t="s">
        <v>111</v>
      </c>
      <c r="B133" s="4" t="s">
        <v>647</v>
      </c>
      <c r="C133" s="131" t="s">
        <v>1206</v>
      </c>
      <c r="D133" s="132"/>
      <c r="E133" s="132"/>
      <c r="F133" s="4" t="s">
        <v>1663</v>
      </c>
      <c r="G133" s="68">
        <v>1.8180000000000001</v>
      </c>
      <c r="H133" s="162">
        <v>0</v>
      </c>
      <c r="I133" s="16">
        <f t="shared" si="110"/>
        <v>0</v>
      </c>
      <c r="J133" s="16">
        <f t="shared" si="111"/>
        <v>0</v>
      </c>
      <c r="K133" s="16">
        <f t="shared" si="112"/>
        <v>0</v>
      </c>
      <c r="L133" s="27" t="s">
        <v>1692</v>
      </c>
      <c r="Z133" s="33">
        <f t="shared" si="113"/>
        <v>0</v>
      </c>
      <c r="AB133" s="33">
        <f t="shared" si="114"/>
        <v>0</v>
      </c>
      <c r="AC133" s="33">
        <f t="shared" si="115"/>
        <v>0</v>
      </c>
      <c r="AD133" s="33">
        <f t="shared" si="116"/>
        <v>0</v>
      </c>
      <c r="AE133" s="33">
        <f t="shared" si="117"/>
        <v>0</v>
      </c>
      <c r="AF133" s="33">
        <f t="shared" si="118"/>
        <v>0</v>
      </c>
      <c r="AG133" s="33">
        <f t="shared" si="119"/>
        <v>0</v>
      </c>
      <c r="AH133" s="33">
        <f t="shared" si="120"/>
        <v>0</v>
      </c>
      <c r="AI133" s="28"/>
      <c r="AJ133" s="16">
        <f t="shared" si="121"/>
        <v>0</v>
      </c>
      <c r="AK133" s="16">
        <f t="shared" si="122"/>
        <v>0</v>
      </c>
      <c r="AL133" s="16">
        <f t="shared" si="123"/>
        <v>0</v>
      </c>
      <c r="AN133" s="33">
        <v>21</v>
      </c>
      <c r="AO133" s="33">
        <f>H133*0.120301518283555</f>
        <v>0</v>
      </c>
      <c r="AP133" s="33">
        <f>H133*(1-0.120301518283555)</f>
        <v>0</v>
      </c>
      <c r="AQ133" s="27" t="s">
        <v>7</v>
      </c>
      <c r="AV133" s="33">
        <f t="shared" si="124"/>
        <v>0</v>
      </c>
      <c r="AW133" s="33">
        <f t="shared" si="125"/>
        <v>0</v>
      </c>
      <c r="AX133" s="33">
        <f t="shared" si="126"/>
        <v>0</v>
      </c>
      <c r="AY133" s="34" t="s">
        <v>1718</v>
      </c>
      <c r="AZ133" s="34" t="s">
        <v>1745</v>
      </c>
      <c r="BA133" s="28" t="s">
        <v>1752</v>
      </c>
      <c r="BC133" s="33">
        <f t="shared" si="127"/>
        <v>0</v>
      </c>
      <c r="BD133" s="33">
        <f t="shared" si="128"/>
        <v>0</v>
      </c>
      <c r="BE133" s="33">
        <v>0</v>
      </c>
      <c r="BF133" s="33">
        <f>133</f>
        <v>133</v>
      </c>
      <c r="BH133" s="16">
        <f t="shared" si="129"/>
        <v>0</v>
      </c>
      <c r="BI133" s="16">
        <f t="shared" si="130"/>
        <v>0</v>
      </c>
      <c r="BJ133" s="16">
        <f t="shared" si="131"/>
        <v>0</v>
      </c>
    </row>
    <row r="134" spans="1:62" x14ac:dyDescent="0.2">
      <c r="A134" s="4" t="s">
        <v>112</v>
      </c>
      <c r="B134" s="4" t="s">
        <v>648</v>
      </c>
      <c r="C134" s="131" t="s">
        <v>1207</v>
      </c>
      <c r="D134" s="132"/>
      <c r="E134" s="132"/>
      <c r="F134" s="4" t="s">
        <v>1663</v>
      </c>
      <c r="G134" s="68">
        <v>33.130000000000003</v>
      </c>
      <c r="H134" s="162">
        <v>0</v>
      </c>
      <c r="I134" s="16">
        <f t="shared" si="110"/>
        <v>0</v>
      </c>
      <c r="J134" s="16">
        <f t="shared" si="111"/>
        <v>0</v>
      </c>
      <c r="K134" s="16">
        <f t="shared" si="112"/>
        <v>0</v>
      </c>
      <c r="L134" s="27" t="s">
        <v>1692</v>
      </c>
      <c r="Z134" s="33">
        <f t="shared" si="113"/>
        <v>0</v>
      </c>
      <c r="AB134" s="33">
        <f t="shared" si="114"/>
        <v>0</v>
      </c>
      <c r="AC134" s="33">
        <f t="shared" si="115"/>
        <v>0</v>
      </c>
      <c r="AD134" s="33">
        <f t="shared" si="116"/>
        <v>0</v>
      </c>
      <c r="AE134" s="33">
        <f t="shared" si="117"/>
        <v>0</v>
      </c>
      <c r="AF134" s="33">
        <f t="shared" si="118"/>
        <v>0</v>
      </c>
      <c r="AG134" s="33">
        <f t="shared" si="119"/>
        <v>0</v>
      </c>
      <c r="AH134" s="33">
        <f t="shared" si="120"/>
        <v>0</v>
      </c>
      <c r="AI134" s="28"/>
      <c r="AJ134" s="16">
        <f t="shared" si="121"/>
        <v>0</v>
      </c>
      <c r="AK134" s="16">
        <f t="shared" si="122"/>
        <v>0</v>
      </c>
      <c r="AL134" s="16">
        <f t="shared" si="123"/>
        <v>0</v>
      </c>
      <c r="AN134" s="33">
        <v>21</v>
      </c>
      <c r="AO134" s="33">
        <f>H134*0.108965209055094</f>
        <v>0</v>
      </c>
      <c r="AP134" s="33">
        <f>H134*(1-0.108965209055094)</f>
        <v>0</v>
      </c>
      <c r="AQ134" s="27" t="s">
        <v>7</v>
      </c>
      <c r="AV134" s="33">
        <f t="shared" si="124"/>
        <v>0</v>
      </c>
      <c r="AW134" s="33">
        <f t="shared" si="125"/>
        <v>0</v>
      </c>
      <c r="AX134" s="33">
        <f t="shared" si="126"/>
        <v>0</v>
      </c>
      <c r="AY134" s="34" t="s">
        <v>1718</v>
      </c>
      <c r="AZ134" s="34" t="s">
        <v>1745</v>
      </c>
      <c r="BA134" s="28" t="s">
        <v>1752</v>
      </c>
      <c r="BC134" s="33">
        <f t="shared" si="127"/>
        <v>0</v>
      </c>
      <c r="BD134" s="33">
        <f t="shared" si="128"/>
        <v>0</v>
      </c>
      <c r="BE134" s="33">
        <v>0</v>
      </c>
      <c r="BF134" s="33">
        <f>134</f>
        <v>134</v>
      </c>
      <c r="BH134" s="16">
        <f t="shared" si="129"/>
        <v>0</v>
      </c>
      <c r="BI134" s="16">
        <f t="shared" si="130"/>
        <v>0</v>
      </c>
      <c r="BJ134" s="16">
        <f t="shared" si="131"/>
        <v>0</v>
      </c>
    </row>
    <row r="135" spans="1:62" x14ac:dyDescent="0.2">
      <c r="A135" s="4" t="s">
        <v>113</v>
      </c>
      <c r="B135" s="4" t="s">
        <v>649</v>
      </c>
      <c r="C135" s="131" t="s">
        <v>1208</v>
      </c>
      <c r="D135" s="132"/>
      <c r="E135" s="132"/>
      <c r="F135" s="4" t="s">
        <v>1663</v>
      </c>
      <c r="G135" s="68">
        <v>19.440000000000001</v>
      </c>
      <c r="H135" s="162">
        <v>0</v>
      </c>
      <c r="I135" s="16">
        <f t="shared" si="110"/>
        <v>0</v>
      </c>
      <c r="J135" s="16">
        <f t="shared" si="111"/>
        <v>0</v>
      </c>
      <c r="K135" s="16">
        <f t="shared" si="112"/>
        <v>0</v>
      </c>
      <c r="L135" s="27" t="s">
        <v>1692</v>
      </c>
      <c r="Z135" s="33">
        <f t="shared" si="113"/>
        <v>0</v>
      </c>
      <c r="AB135" s="33">
        <f t="shared" si="114"/>
        <v>0</v>
      </c>
      <c r="AC135" s="33">
        <f t="shared" si="115"/>
        <v>0</v>
      </c>
      <c r="AD135" s="33">
        <f t="shared" si="116"/>
        <v>0</v>
      </c>
      <c r="AE135" s="33">
        <f t="shared" si="117"/>
        <v>0</v>
      </c>
      <c r="AF135" s="33">
        <f t="shared" si="118"/>
        <v>0</v>
      </c>
      <c r="AG135" s="33">
        <f t="shared" si="119"/>
        <v>0</v>
      </c>
      <c r="AH135" s="33">
        <f t="shared" si="120"/>
        <v>0</v>
      </c>
      <c r="AI135" s="28"/>
      <c r="AJ135" s="16">
        <f t="shared" si="121"/>
        <v>0</v>
      </c>
      <c r="AK135" s="16">
        <f t="shared" si="122"/>
        <v>0</v>
      </c>
      <c r="AL135" s="16">
        <f t="shared" si="123"/>
        <v>0</v>
      </c>
      <c r="AN135" s="33">
        <v>21</v>
      </c>
      <c r="AO135" s="33">
        <f>H135*0</f>
        <v>0</v>
      </c>
      <c r="AP135" s="33">
        <f>H135*(1-0)</f>
        <v>0</v>
      </c>
      <c r="AQ135" s="27" t="s">
        <v>7</v>
      </c>
      <c r="AV135" s="33">
        <f t="shared" si="124"/>
        <v>0</v>
      </c>
      <c r="AW135" s="33">
        <f t="shared" si="125"/>
        <v>0</v>
      </c>
      <c r="AX135" s="33">
        <f t="shared" si="126"/>
        <v>0</v>
      </c>
      <c r="AY135" s="34" t="s">
        <v>1718</v>
      </c>
      <c r="AZ135" s="34" t="s">
        <v>1745</v>
      </c>
      <c r="BA135" s="28" t="s">
        <v>1752</v>
      </c>
      <c r="BC135" s="33">
        <f t="shared" si="127"/>
        <v>0</v>
      </c>
      <c r="BD135" s="33">
        <f t="shared" si="128"/>
        <v>0</v>
      </c>
      <c r="BE135" s="33">
        <v>0</v>
      </c>
      <c r="BF135" s="33">
        <f>135</f>
        <v>135</v>
      </c>
      <c r="BH135" s="16">
        <f t="shared" si="129"/>
        <v>0</v>
      </c>
      <c r="BI135" s="16">
        <f t="shared" si="130"/>
        <v>0</v>
      </c>
      <c r="BJ135" s="16">
        <f t="shared" si="131"/>
        <v>0</v>
      </c>
    </row>
    <row r="136" spans="1:62" x14ac:dyDescent="0.2">
      <c r="A136" s="4" t="s">
        <v>114</v>
      </c>
      <c r="B136" s="4" t="s">
        <v>650</v>
      </c>
      <c r="C136" s="131" t="s">
        <v>1209</v>
      </c>
      <c r="D136" s="132"/>
      <c r="E136" s="132"/>
      <c r="F136" s="4" t="s">
        <v>1663</v>
      </c>
      <c r="G136" s="68">
        <v>1</v>
      </c>
      <c r="H136" s="162">
        <v>0</v>
      </c>
      <c r="I136" s="16">
        <f t="shared" si="110"/>
        <v>0</v>
      </c>
      <c r="J136" s="16">
        <f t="shared" si="111"/>
        <v>0</v>
      </c>
      <c r="K136" s="16">
        <f t="shared" si="112"/>
        <v>0</v>
      </c>
      <c r="L136" s="27" t="s">
        <v>1692</v>
      </c>
      <c r="Z136" s="33">
        <f t="shared" si="113"/>
        <v>0</v>
      </c>
      <c r="AB136" s="33">
        <f t="shared" si="114"/>
        <v>0</v>
      </c>
      <c r="AC136" s="33">
        <f t="shared" si="115"/>
        <v>0</v>
      </c>
      <c r="AD136" s="33">
        <f t="shared" si="116"/>
        <v>0</v>
      </c>
      <c r="AE136" s="33">
        <f t="shared" si="117"/>
        <v>0</v>
      </c>
      <c r="AF136" s="33">
        <f t="shared" si="118"/>
        <v>0</v>
      </c>
      <c r="AG136" s="33">
        <f t="shared" si="119"/>
        <v>0</v>
      </c>
      <c r="AH136" s="33">
        <f t="shared" si="120"/>
        <v>0</v>
      </c>
      <c r="AI136" s="28"/>
      <c r="AJ136" s="16">
        <f t="shared" si="121"/>
        <v>0</v>
      </c>
      <c r="AK136" s="16">
        <f t="shared" si="122"/>
        <v>0</v>
      </c>
      <c r="AL136" s="16">
        <f t="shared" si="123"/>
        <v>0</v>
      </c>
      <c r="AN136" s="33">
        <v>21</v>
      </c>
      <c r="AO136" s="33">
        <f>H136*0.119648847907752</f>
        <v>0</v>
      </c>
      <c r="AP136" s="33">
        <f>H136*(1-0.119648847907752)</f>
        <v>0</v>
      </c>
      <c r="AQ136" s="27" t="s">
        <v>7</v>
      </c>
      <c r="AV136" s="33">
        <f t="shared" si="124"/>
        <v>0</v>
      </c>
      <c r="AW136" s="33">
        <f t="shared" si="125"/>
        <v>0</v>
      </c>
      <c r="AX136" s="33">
        <f t="shared" si="126"/>
        <v>0</v>
      </c>
      <c r="AY136" s="34" t="s">
        <v>1718</v>
      </c>
      <c r="AZ136" s="34" t="s">
        <v>1745</v>
      </c>
      <c r="BA136" s="28" t="s">
        <v>1752</v>
      </c>
      <c r="BC136" s="33">
        <f t="shared" si="127"/>
        <v>0</v>
      </c>
      <c r="BD136" s="33">
        <f t="shared" si="128"/>
        <v>0</v>
      </c>
      <c r="BE136" s="33">
        <v>0</v>
      </c>
      <c r="BF136" s="33">
        <f>136</f>
        <v>136</v>
      </c>
      <c r="BH136" s="16">
        <f t="shared" si="129"/>
        <v>0</v>
      </c>
      <c r="BI136" s="16">
        <f t="shared" si="130"/>
        <v>0</v>
      </c>
      <c r="BJ136" s="16">
        <f t="shared" si="131"/>
        <v>0</v>
      </c>
    </row>
    <row r="137" spans="1:62" x14ac:dyDescent="0.2">
      <c r="A137" s="4" t="s">
        <v>115</v>
      </c>
      <c r="B137" s="4" t="s">
        <v>651</v>
      </c>
      <c r="C137" s="131" t="s">
        <v>1210</v>
      </c>
      <c r="D137" s="132"/>
      <c r="E137" s="132"/>
      <c r="F137" s="4" t="s">
        <v>1666</v>
      </c>
      <c r="G137" s="68">
        <v>87.55</v>
      </c>
      <c r="H137" s="162">
        <v>0</v>
      </c>
      <c r="I137" s="16">
        <f t="shared" si="110"/>
        <v>0</v>
      </c>
      <c r="J137" s="16">
        <f t="shared" si="111"/>
        <v>0</v>
      </c>
      <c r="K137" s="16">
        <f t="shared" si="112"/>
        <v>0</v>
      </c>
      <c r="L137" s="27" t="s">
        <v>1692</v>
      </c>
      <c r="Z137" s="33">
        <f t="shared" si="113"/>
        <v>0</v>
      </c>
      <c r="AB137" s="33">
        <f t="shared" si="114"/>
        <v>0</v>
      </c>
      <c r="AC137" s="33">
        <f t="shared" si="115"/>
        <v>0</v>
      </c>
      <c r="AD137" s="33">
        <f t="shared" si="116"/>
        <v>0</v>
      </c>
      <c r="AE137" s="33">
        <f t="shared" si="117"/>
        <v>0</v>
      </c>
      <c r="AF137" s="33">
        <f t="shared" si="118"/>
        <v>0</v>
      </c>
      <c r="AG137" s="33">
        <f t="shared" si="119"/>
        <v>0</v>
      </c>
      <c r="AH137" s="33">
        <f t="shared" si="120"/>
        <v>0</v>
      </c>
      <c r="AI137" s="28"/>
      <c r="AJ137" s="16">
        <f t="shared" si="121"/>
        <v>0</v>
      </c>
      <c r="AK137" s="16">
        <f t="shared" si="122"/>
        <v>0</v>
      </c>
      <c r="AL137" s="16">
        <f t="shared" si="123"/>
        <v>0</v>
      </c>
      <c r="AN137" s="33">
        <v>21</v>
      </c>
      <c r="AO137" s="33">
        <f>H137*0</f>
        <v>0</v>
      </c>
      <c r="AP137" s="33">
        <f>H137*(1-0)</f>
        <v>0</v>
      </c>
      <c r="AQ137" s="27" t="s">
        <v>7</v>
      </c>
      <c r="AV137" s="33">
        <f t="shared" si="124"/>
        <v>0</v>
      </c>
      <c r="AW137" s="33">
        <f t="shared" si="125"/>
        <v>0</v>
      </c>
      <c r="AX137" s="33">
        <f t="shared" si="126"/>
        <v>0</v>
      </c>
      <c r="AY137" s="34" t="s">
        <v>1718</v>
      </c>
      <c r="AZ137" s="34" t="s">
        <v>1745</v>
      </c>
      <c r="BA137" s="28" t="s">
        <v>1752</v>
      </c>
      <c r="BC137" s="33">
        <f t="shared" si="127"/>
        <v>0</v>
      </c>
      <c r="BD137" s="33">
        <f t="shared" si="128"/>
        <v>0</v>
      </c>
      <c r="BE137" s="33">
        <v>0</v>
      </c>
      <c r="BF137" s="33">
        <f>137</f>
        <v>137</v>
      </c>
      <c r="BH137" s="16">
        <f t="shared" si="129"/>
        <v>0</v>
      </c>
      <c r="BI137" s="16">
        <f t="shared" si="130"/>
        <v>0</v>
      </c>
      <c r="BJ137" s="16">
        <f t="shared" si="131"/>
        <v>0</v>
      </c>
    </row>
    <row r="138" spans="1:62" x14ac:dyDescent="0.2">
      <c r="A138" s="4" t="s">
        <v>116</v>
      </c>
      <c r="B138" s="4" t="s">
        <v>652</v>
      </c>
      <c r="C138" s="131" t="s">
        <v>1211</v>
      </c>
      <c r="D138" s="132"/>
      <c r="E138" s="132"/>
      <c r="F138" s="4" t="s">
        <v>1665</v>
      </c>
      <c r="G138" s="68">
        <v>6</v>
      </c>
      <c r="H138" s="162">
        <v>0</v>
      </c>
      <c r="I138" s="16">
        <f t="shared" si="110"/>
        <v>0</v>
      </c>
      <c r="J138" s="16">
        <f t="shared" si="111"/>
        <v>0</v>
      </c>
      <c r="K138" s="16">
        <f t="shared" si="112"/>
        <v>0</v>
      </c>
      <c r="L138" s="27" t="s">
        <v>1692</v>
      </c>
      <c r="Z138" s="33">
        <f t="shared" si="113"/>
        <v>0</v>
      </c>
      <c r="AB138" s="33">
        <f t="shared" si="114"/>
        <v>0</v>
      </c>
      <c r="AC138" s="33">
        <f t="shared" si="115"/>
        <v>0</v>
      </c>
      <c r="AD138" s="33">
        <f t="shared" si="116"/>
        <v>0</v>
      </c>
      <c r="AE138" s="33">
        <f t="shared" si="117"/>
        <v>0</v>
      </c>
      <c r="AF138" s="33">
        <f t="shared" si="118"/>
        <v>0</v>
      </c>
      <c r="AG138" s="33">
        <f t="shared" si="119"/>
        <v>0</v>
      </c>
      <c r="AH138" s="33">
        <f t="shared" si="120"/>
        <v>0</v>
      </c>
      <c r="AI138" s="28"/>
      <c r="AJ138" s="16">
        <f t="shared" si="121"/>
        <v>0</v>
      </c>
      <c r="AK138" s="16">
        <f t="shared" si="122"/>
        <v>0</v>
      </c>
      <c r="AL138" s="16">
        <f t="shared" si="123"/>
        <v>0</v>
      </c>
      <c r="AN138" s="33">
        <v>21</v>
      </c>
      <c r="AO138" s="33">
        <f>H138*0.196636363636364</f>
        <v>0</v>
      </c>
      <c r="AP138" s="33">
        <f>H138*(1-0.196636363636364)</f>
        <v>0</v>
      </c>
      <c r="AQ138" s="27" t="s">
        <v>7</v>
      </c>
      <c r="AV138" s="33">
        <f t="shared" si="124"/>
        <v>0</v>
      </c>
      <c r="AW138" s="33">
        <f t="shared" si="125"/>
        <v>0</v>
      </c>
      <c r="AX138" s="33">
        <f t="shared" si="126"/>
        <v>0</v>
      </c>
      <c r="AY138" s="34" t="s">
        <v>1718</v>
      </c>
      <c r="AZ138" s="34" t="s">
        <v>1745</v>
      </c>
      <c r="BA138" s="28" t="s">
        <v>1752</v>
      </c>
      <c r="BC138" s="33">
        <f t="shared" si="127"/>
        <v>0</v>
      </c>
      <c r="BD138" s="33">
        <f t="shared" si="128"/>
        <v>0</v>
      </c>
      <c r="BE138" s="33">
        <v>0</v>
      </c>
      <c r="BF138" s="33">
        <f>138</f>
        <v>138</v>
      </c>
      <c r="BH138" s="16">
        <f t="shared" si="129"/>
        <v>0</v>
      </c>
      <c r="BI138" s="16">
        <f t="shared" si="130"/>
        <v>0</v>
      </c>
      <c r="BJ138" s="16">
        <f t="shared" si="131"/>
        <v>0</v>
      </c>
    </row>
    <row r="139" spans="1:62" x14ac:dyDescent="0.2">
      <c r="A139" s="5"/>
      <c r="B139" s="13" t="s">
        <v>103</v>
      </c>
      <c r="C139" s="136" t="s">
        <v>1212</v>
      </c>
      <c r="D139" s="137"/>
      <c r="E139" s="137"/>
      <c r="F139" s="5" t="s">
        <v>6</v>
      </c>
      <c r="G139" s="5" t="s">
        <v>6</v>
      </c>
      <c r="H139" s="163" t="s">
        <v>6</v>
      </c>
      <c r="I139" s="36">
        <f>SUM(I140:I148)</f>
        <v>0</v>
      </c>
      <c r="J139" s="36">
        <f>SUM(J140:J148)</f>
        <v>0</v>
      </c>
      <c r="K139" s="36">
        <f>SUM(K140:K148)</f>
        <v>0</v>
      </c>
      <c r="L139" s="28"/>
      <c r="AI139" s="28"/>
      <c r="AS139" s="36">
        <f>SUM(AJ140:AJ148)</f>
        <v>0</v>
      </c>
      <c r="AT139" s="36">
        <f>SUM(AK140:AK148)</f>
        <v>0</v>
      </c>
      <c r="AU139" s="36">
        <f>SUM(AL140:AL148)</f>
        <v>0</v>
      </c>
    </row>
    <row r="140" spans="1:62" x14ac:dyDescent="0.2">
      <c r="A140" s="4" t="s">
        <v>117</v>
      </c>
      <c r="B140" s="4" t="s">
        <v>653</v>
      </c>
      <c r="C140" s="131" t="s">
        <v>1213</v>
      </c>
      <c r="D140" s="132"/>
      <c r="E140" s="132"/>
      <c r="F140" s="4" t="s">
        <v>1663</v>
      </c>
      <c r="G140" s="68">
        <v>850.20500000000004</v>
      </c>
      <c r="H140" s="162">
        <v>0</v>
      </c>
      <c r="I140" s="16">
        <f t="shared" ref="I140:I148" si="132">G140*AO140</f>
        <v>0</v>
      </c>
      <c r="J140" s="16">
        <f t="shared" ref="J140:J148" si="133">G140*AP140</f>
        <v>0</v>
      </c>
      <c r="K140" s="16">
        <f t="shared" ref="K140:K148" si="134">G140*H140</f>
        <v>0</v>
      </c>
      <c r="L140" s="27" t="s">
        <v>1692</v>
      </c>
      <c r="Z140" s="33">
        <f t="shared" ref="Z140:Z148" si="135">IF(AQ140="5",BJ140,0)</f>
        <v>0</v>
      </c>
      <c r="AB140" s="33">
        <f t="shared" ref="AB140:AB148" si="136">IF(AQ140="1",BH140,0)</f>
        <v>0</v>
      </c>
      <c r="AC140" s="33">
        <f t="shared" ref="AC140:AC148" si="137">IF(AQ140="1",BI140,0)</f>
        <v>0</v>
      </c>
      <c r="AD140" s="33">
        <f t="shared" ref="AD140:AD148" si="138">IF(AQ140="7",BH140,0)</f>
        <v>0</v>
      </c>
      <c r="AE140" s="33">
        <f t="shared" ref="AE140:AE148" si="139">IF(AQ140="7",BI140,0)</f>
        <v>0</v>
      </c>
      <c r="AF140" s="33">
        <f t="shared" ref="AF140:AF148" si="140">IF(AQ140="2",BH140,0)</f>
        <v>0</v>
      </c>
      <c r="AG140" s="33">
        <f t="shared" ref="AG140:AG148" si="141">IF(AQ140="2",BI140,0)</f>
        <v>0</v>
      </c>
      <c r="AH140" s="33">
        <f t="shared" ref="AH140:AH148" si="142">IF(AQ140="0",BJ140,0)</f>
        <v>0</v>
      </c>
      <c r="AI140" s="28"/>
      <c r="AJ140" s="16">
        <f t="shared" ref="AJ140:AJ148" si="143">IF(AN140=0,K140,0)</f>
        <v>0</v>
      </c>
      <c r="AK140" s="16">
        <f t="shared" ref="AK140:AK148" si="144">IF(AN140=15,K140,0)</f>
        <v>0</v>
      </c>
      <c r="AL140" s="16">
        <f t="shared" ref="AL140:AL148" si="145">IF(AN140=21,K140,0)</f>
        <v>0</v>
      </c>
      <c r="AN140" s="33">
        <v>21</v>
      </c>
      <c r="AO140" s="33">
        <f>H140*0</f>
        <v>0</v>
      </c>
      <c r="AP140" s="33">
        <f>H140*(1-0)</f>
        <v>0</v>
      </c>
      <c r="AQ140" s="27" t="s">
        <v>7</v>
      </c>
      <c r="AV140" s="33">
        <f t="shared" ref="AV140:AV148" si="146">AW140+AX140</f>
        <v>0</v>
      </c>
      <c r="AW140" s="33">
        <f t="shared" ref="AW140:AW148" si="147">G140*AO140</f>
        <v>0</v>
      </c>
      <c r="AX140" s="33">
        <f t="shared" ref="AX140:AX148" si="148">G140*AP140</f>
        <v>0</v>
      </c>
      <c r="AY140" s="34" t="s">
        <v>1719</v>
      </c>
      <c r="AZ140" s="34" t="s">
        <v>1745</v>
      </c>
      <c r="BA140" s="28" t="s">
        <v>1752</v>
      </c>
      <c r="BC140" s="33">
        <f t="shared" ref="BC140:BC148" si="149">AW140+AX140</f>
        <v>0</v>
      </c>
      <c r="BD140" s="33">
        <f t="shared" ref="BD140:BD148" si="150">H140/(100-BE140)*100</f>
        <v>0</v>
      </c>
      <c r="BE140" s="33">
        <v>0</v>
      </c>
      <c r="BF140" s="33">
        <f>140</f>
        <v>140</v>
      </c>
      <c r="BH140" s="16">
        <f t="shared" ref="BH140:BH148" si="151">G140*AO140</f>
        <v>0</v>
      </c>
      <c r="BI140" s="16">
        <f t="shared" ref="BI140:BI148" si="152">G140*AP140</f>
        <v>0</v>
      </c>
      <c r="BJ140" s="16">
        <f t="shared" ref="BJ140:BJ148" si="153">G140*H140</f>
        <v>0</v>
      </c>
    </row>
    <row r="141" spans="1:62" x14ac:dyDescent="0.2">
      <c r="A141" s="4" t="s">
        <v>118</v>
      </c>
      <c r="B141" s="4" t="s">
        <v>653</v>
      </c>
      <c r="C141" s="131" t="s">
        <v>1214</v>
      </c>
      <c r="D141" s="132"/>
      <c r="E141" s="132"/>
      <c r="F141" s="4" t="s">
        <v>1663</v>
      </c>
      <c r="G141" s="68">
        <v>79.632999999999996</v>
      </c>
      <c r="H141" s="162">
        <v>0</v>
      </c>
      <c r="I141" s="16">
        <f t="shared" si="132"/>
        <v>0</v>
      </c>
      <c r="J141" s="16">
        <f t="shared" si="133"/>
        <v>0</v>
      </c>
      <c r="K141" s="16">
        <f t="shared" si="134"/>
        <v>0</v>
      </c>
      <c r="L141" s="27" t="s">
        <v>1692</v>
      </c>
      <c r="Z141" s="33">
        <f t="shared" si="135"/>
        <v>0</v>
      </c>
      <c r="AB141" s="33">
        <f t="shared" si="136"/>
        <v>0</v>
      </c>
      <c r="AC141" s="33">
        <f t="shared" si="137"/>
        <v>0</v>
      </c>
      <c r="AD141" s="33">
        <f t="shared" si="138"/>
        <v>0</v>
      </c>
      <c r="AE141" s="33">
        <f t="shared" si="139"/>
        <v>0</v>
      </c>
      <c r="AF141" s="33">
        <f t="shared" si="140"/>
        <v>0</v>
      </c>
      <c r="AG141" s="33">
        <f t="shared" si="141"/>
        <v>0</v>
      </c>
      <c r="AH141" s="33">
        <f t="shared" si="142"/>
        <v>0</v>
      </c>
      <c r="AI141" s="28"/>
      <c r="AJ141" s="16">
        <f t="shared" si="143"/>
        <v>0</v>
      </c>
      <c r="AK141" s="16">
        <f t="shared" si="144"/>
        <v>0</v>
      </c>
      <c r="AL141" s="16">
        <f t="shared" si="145"/>
        <v>0</v>
      </c>
      <c r="AN141" s="33">
        <v>21</v>
      </c>
      <c r="AO141" s="33">
        <f>H141*0</f>
        <v>0</v>
      </c>
      <c r="AP141" s="33">
        <f>H141*(1-0)</f>
        <v>0</v>
      </c>
      <c r="AQ141" s="27" t="s">
        <v>7</v>
      </c>
      <c r="AV141" s="33">
        <f t="shared" si="146"/>
        <v>0</v>
      </c>
      <c r="AW141" s="33">
        <f t="shared" si="147"/>
        <v>0</v>
      </c>
      <c r="AX141" s="33">
        <f t="shared" si="148"/>
        <v>0</v>
      </c>
      <c r="AY141" s="34" t="s">
        <v>1719</v>
      </c>
      <c r="AZ141" s="34" t="s">
        <v>1745</v>
      </c>
      <c r="BA141" s="28" t="s">
        <v>1752</v>
      </c>
      <c r="BC141" s="33">
        <f t="shared" si="149"/>
        <v>0</v>
      </c>
      <c r="BD141" s="33">
        <f t="shared" si="150"/>
        <v>0</v>
      </c>
      <c r="BE141" s="33">
        <v>0</v>
      </c>
      <c r="BF141" s="33">
        <f>141</f>
        <v>141</v>
      </c>
      <c r="BH141" s="16">
        <f t="shared" si="151"/>
        <v>0</v>
      </c>
      <c r="BI141" s="16">
        <f t="shared" si="152"/>
        <v>0</v>
      </c>
      <c r="BJ141" s="16">
        <f t="shared" si="153"/>
        <v>0</v>
      </c>
    </row>
    <row r="142" spans="1:62" x14ac:dyDescent="0.2">
      <c r="A142" s="4" t="s">
        <v>119</v>
      </c>
      <c r="B142" s="4" t="s">
        <v>654</v>
      </c>
      <c r="C142" s="131" t="s">
        <v>1215</v>
      </c>
      <c r="D142" s="132"/>
      <c r="E142" s="132"/>
      <c r="F142" s="4" t="s">
        <v>1666</v>
      </c>
      <c r="G142" s="68">
        <v>1.8</v>
      </c>
      <c r="H142" s="162">
        <v>0</v>
      </c>
      <c r="I142" s="16">
        <f t="shared" si="132"/>
        <v>0</v>
      </c>
      <c r="J142" s="16">
        <f t="shared" si="133"/>
        <v>0</v>
      </c>
      <c r="K142" s="16">
        <f t="shared" si="134"/>
        <v>0</v>
      </c>
      <c r="L142" s="27" t="s">
        <v>1692</v>
      </c>
      <c r="Z142" s="33">
        <f t="shared" si="135"/>
        <v>0</v>
      </c>
      <c r="AB142" s="33">
        <f t="shared" si="136"/>
        <v>0</v>
      </c>
      <c r="AC142" s="33">
        <f t="shared" si="137"/>
        <v>0</v>
      </c>
      <c r="AD142" s="33">
        <f t="shared" si="138"/>
        <v>0</v>
      </c>
      <c r="AE142" s="33">
        <f t="shared" si="139"/>
        <v>0</v>
      </c>
      <c r="AF142" s="33">
        <f t="shared" si="140"/>
        <v>0</v>
      </c>
      <c r="AG142" s="33">
        <f t="shared" si="141"/>
        <v>0</v>
      </c>
      <c r="AH142" s="33">
        <f t="shared" si="142"/>
        <v>0</v>
      </c>
      <c r="AI142" s="28"/>
      <c r="AJ142" s="16">
        <f t="shared" si="143"/>
        <v>0</v>
      </c>
      <c r="AK142" s="16">
        <f t="shared" si="144"/>
        <v>0</v>
      </c>
      <c r="AL142" s="16">
        <f t="shared" si="145"/>
        <v>0</v>
      </c>
      <c r="AN142" s="33">
        <v>21</v>
      </c>
      <c r="AO142" s="33">
        <f>H142*0.368742382271468</f>
        <v>0</v>
      </c>
      <c r="AP142" s="33">
        <f>H142*(1-0.368742382271468)</f>
        <v>0</v>
      </c>
      <c r="AQ142" s="27" t="s">
        <v>7</v>
      </c>
      <c r="AV142" s="33">
        <f t="shared" si="146"/>
        <v>0</v>
      </c>
      <c r="AW142" s="33">
        <f t="shared" si="147"/>
        <v>0</v>
      </c>
      <c r="AX142" s="33">
        <f t="shared" si="148"/>
        <v>0</v>
      </c>
      <c r="AY142" s="34" t="s">
        <v>1719</v>
      </c>
      <c r="AZ142" s="34" t="s">
        <v>1745</v>
      </c>
      <c r="BA142" s="28" t="s">
        <v>1752</v>
      </c>
      <c r="BC142" s="33">
        <f t="shared" si="149"/>
        <v>0</v>
      </c>
      <c r="BD142" s="33">
        <f t="shared" si="150"/>
        <v>0</v>
      </c>
      <c r="BE142" s="33">
        <v>0</v>
      </c>
      <c r="BF142" s="33">
        <f>142</f>
        <v>142</v>
      </c>
      <c r="BH142" s="16">
        <f t="shared" si="151"/>
        <v>0</v>
      </c>
      <c r="BI142" s="16">
        <f t="shared" si="152"/>
        <v>0</v>
      </c>
      <c r="BJ142" s="16">
        <f t="shared" si="153"/>
        <v>0</v>
      </c>
    </row>
    <row r="143" spans="1:62" x14ac:dyDescent="0.2">
      <c r="A143" s="4" t="s">
        <v>120</v>
      </c>
      <c r="B143" s="4" t="s">
        <v>655</v>
      </c>
      <c r="C143" s="131" t="s">
        <v>1216</v>
      </c>
      <c r="D143" s="132"/>
      <c r="E143" s="132"/>
      <c r="F143" s="4" t="s">
        <v>1666</v>
      </c>
      <c r="G143" s="68">
        <v>0.3</v>
      </c>
      <c r="H143" s="162">
        <v>0</v>
      </c>
      <c r="I143" s="16">
        <f t="shared" si="132"/>
        <v>0</v>
      </c>
      <c r="J143" s="16">
        <f t="shared" si="133"/>
        <v>0</v>
      </c>
      <c r="K143" s="16">
        <f t="shared" si="134"/>
        <v>0</v>
      </c>
      <c r="L143" s="27" t="s">
        <v>1692</v>
      </c>
      <c r="Z143" s="33">
        <f t="shared" si="135"/>
        <v>0</v>
      </c>
      <c r="AB143" s="33">
        <f t="shared" si="136"/>
        <v>0</v>
      </c>
      <c r="AC143" s="33">
        <f t="shared" si="137"/>
        <v>0</v>
      </c>
      <c r="AD143" s="33">
        <f t="shared" si="138"/>
        <v>0</v>
      </c>
      <c r="AE143" s="33">
        <f t="shared" si="139"/>
        <v>0</v>
      </c>
      <c r="AF143" s="33">
        <f t="shared" si="140"/>
        <v>0</v>
      </c>
      <c r="AG143" s="33">
        <f t="shared" si="141"/>
        <v>0</v>
      </c>
      <c r="AH143" s="33">
        <f t="shared" si="142"/>
        <v>0</v>
      </c>
      <c r="AI143" s="28"/>
      <c r="AJ143" s="16">
        <f t="shared" si="143"/>
        <v>0</v>
      </c>
      <c r="AK143" s="16">
        <f t="shared" si="144"/>
        <v>0</v>
      </c>
      <c r="AL143" s="16">
        <f t="shared" si="145"/>
        <v>0</v>
      </c>
      <c r="AN143" s="33">
        <v>21</v>
      </c>
      <c r="AO143" s="33">
        <f>H143*0.395389004149378</f>
        <v>0</v>
      </c>
      <c r="AP143" s="33">
        <f>H143*(1-0.395389004149378)</f>
        <v>0</v>
      </c>
      <c r="AQ143" s="27" t="s">
        <v>7</v>
      </c>
      <c r="AV143" s="33">
        <f t="shared" si="146"/>
        <v>0</v>
      </c>
      <c r="AW143" s="33">
        <f t="shared" si="147"/>
        <v>0</v>
      </c>
      <c r="AX143" s="33">
        <f t="shared" si="148"/>
        <v>0</v>
      </c>
      <c r="AY143" s="34" t="s">
        <v>1719</v>
      </c>
      <c r="AZ143" s="34" t="s">
        <v>1745</v>
      </c>
      <c r="BA143" s="28" t="s">
        <v>1752</v>
      </c>
      <c r="BC143" s="33">
        <f t="shared" si="149"/>
        <v>0</v>
      </c>
      <c r="BD143" s="33">
        <f t="shared" si="150"/>
        <v>0</v>
      </c>
      <c r="BE143" s="33">
        <v>0</v>
      </c>
      <c r="BF143" s="33">
        <f>143</f>
        <v>143</v>
      </c>
      <c r="BH143" s="16">
        <f t="shared" si="151"/>
        <v>0</v>
      </c>
      <c r="BI143" s="16">
        <f t="shared" si="152"/>
        <v>0</v>
      </c>
      <c r="BJ143" s="16">
        <f t="shared" si="153"/>
        <v>0</v>
      </c>
    </row>
    <row r="144" spans="1:62" x14ac:dyDescent="0.2">
      <c r="A144" s="4" t="s">
        <v>121</v>
      </c>
      <c r="B144" s="4" t="s">
        <v>656</v>
      </c>
      <c r="C144" s="131" t="s">
        <v>1217</v>
      </c>
      <c r="D144" s="132"/>
      <c r="E144" s="132"/>
      <c r="F144" s="4" t="s">
        <v>1666</v>
      </c>
      <c r="G144" s="68">
        <v>1.8</v>
      </c>
      <c r="H144" s="162">
        <v>0</v>
      </c>
      <c r="I144" s="16">
        <f t="shared" si="132"/>
        <v>0</v>
      </c>
      <c r="J144" s="16">
        <f t="shared" si="133"/>
        <v>0</v>
      </c>
      <c r="K144" s="16">
        <f t="shared" si="134"/>
        <v>0</v>
      </c>
      <c r="L144" s="27" t="s">
        <v>1692</v>
      </c>
      <c r="Z144" s="33">
        <f t="shared" si="135"/>
        <v>0</v>
      </c>
      <c r="AB144" s="33">
        <f t="shared" si="136"/>
        <v>0</v>
      </c>
      <c r="AC144" s="33">
        <f t="shared" si="137"/>
        <v>0</v>
      </c>
      <c r="AD144" s="33">
        <f t="shared" si="138"/>
        <v>0</v>
      </c>
      <c r="AE144" s="33">
        <f t="shared" si="139"/>
        <v>0</v>
      </c>
      <c r="AF144" s="33">
        <f t="shared" si="140"/>
        <v>0</v>
      </c>
      <c r="AG144" s="33">
        <f t="shared" si="141"/>
        <v>0</v>
      </c>
      <c r="AH144" s="33">
        <f t="shared" si="142"/>
        <v>0</v>
      </c>
      <c r="AI144" s="28"/>
      <c r="AJ144" s="16">
        <f t="shared" si="143"/>
        <v>0</v>
      </c>
      <c r="AK144" s="16">
        <f t="shared" si="144"/>
        <v>0</v>
      </c>
      <c r="AL144" s="16">
        <f t="shared" si="145"/>
        <v>0</v>
      </c>
      <c r="AN144" s="33">
        <v>21</v>
      </c>
      <c r="AO144" s="33">
        <f>H144*0.145669491095439</f>
        <v>0</v>
      </c>
      <c r="AP144" s="33">
        <f>H144*(1-0.145669491095439)</f>
        <v>0</v>
      </c>
      <c r="AQ144" s="27" t="s">
        <v>7</v>
      </c>
      <c r="AV144" s="33">
        <f t="shared" si="146"/>
        <v>0</v>
      </c>
      <c r="AW144" s="33">
        <f t="shared" si="147"/>
        <v>0</v>
      </c>
      <c r="AX144" s="33">
        <f t="shared" si="148"/>
        <v>0</v>
      </c>
      <c r="AY144" s="34" t="s">
        <v>1719</v>
      </c>
      <c r="AZ144" s="34" t="s">
        <v>1745</v>
      </c>
      <c r="BA144" s="28" t="s">
        <v>1752</v>
      </c>
      <c r="BC144" s="33">
        <f t="shared" si="149"/>
        <v>0</v>
      </c>
      <c r="BD144" s="33">
        <f t="shared" si="150"/>
        <v>0</v>
      </c>
      <c r="BE144" s="33">
        <v>0</v>
      </c>
      <c r="BF144" s="33">
        <f>144</f>
        <v>144</v>
      </c>
      <c r="BH144" s="16">
        <f t="shared" si="151"/>
        <v>0</v>
      </c>
      <c r="BI144" s="16">
        <f t="shared" si="152"/>
        <v>0</v>
      </c>
      <c r="BJ144" s="16">
        <f t="shared" si="153"/>
        <v>0</v>
      </c>
    </row>
    <row r="145" spans="1:62" x14ac:dyDescent="0.2">
      <c r="A145" s="4" t="s">
        <v>122</v>
      </c>
      <c r="B145" s="4" t="s">
        <v>657</v>
      </c>
      <c r="C145" s="131" t="s">
        <v>1218</v>
      </c>
      <c r="D145" s="132"/>
      <c r="E145" s="132"/>
      <c r="F145" s="4" t="s">
        <v>1666</v>
      </c>
      <c r="G145" s="68">
        <v>0.3</v>
      </c>
      <c r="H145" s="162">
        <v>0</v>
      </c>
      <c r="I145" s="16">
        <f t="shared" si="132"/>
        <v>0</v>
      </c>
      <c r="J145" s="16">
        <f t="shared" si="133"/>
        <v>0</v>
      </c>
      <c r="K145" s="16">
        <f t="shared" si="134"/>
        <v>0</v>
      </c>
      <c r="L145" s="27" t="s">
        <v>1692</v>
      </c>
      <c r="Z145" s="33">
        <f t="shared" si="135"/>
        <v>0</v>
      </c>
      <c r="AB145" s="33">
        <f t="shared" si="136"/>
        <v>0</v>
      </c>
      <c r="AC145" s="33">
        <f t="shared" si="137"/>
        <v>0</v>
      </c>
      <c r="AD145" s="33">
        <f t="shared" si="138"/>
        <v>0</v>
      </c>
      <c r="AE145" s="33">
        <f t="shared" si="139"/>
        <v>0</v>
      </c>
      <c r="AF145" s="33">
        <f t="shared" si="140"/>
        <v>0</v>
      </c>
      <c r="AG145" s="33">
        <f t="shared" si="141"/>
        <v>0</v>
      </c>
      <c r="AH145" s="33">
        <f t="shared" si="142"/>
        <v>0</v>
      </c>
      <c r="AI145" s="28"/>
      <c r="AJ145" s="16">
        <f t="shared" si="143"/>
        <v>0</v>
      </c>
      <c r="AK145" s="16">
        <f t="shared" si="144"/>
        <v>0</v>
      </c>
      <c r="AL145" s="16">
        <f t="shared" si="145"/>
        <v>0</v>
      </c>
      <c r="AN145" s="33">
        <v>21</v>
      </c>
      <c r="AO145" s="33">
        <f>H145*0.136324786324786</f>
        <v>0</v>
      </c>
      <c r="AP145" s="33">
        <f>H145*(1-0.136324786324786)</f>
        <v>0</v>
      </c>
      <c r="AQ145" s="27" t="s">
        <v>7</v>
      </c>
      <c r="AV145" s="33">
        <f t="shared" si="146"/>
        <v>0</v>
      </c>
      <c r="AW145" s="33">
        <f t="shared" si="147"/>
        <v>0</v>
      </c>
      <c r="AX145" s="33">
        <f t="shared" si="148"/>
        <v>0</v>
      </c>
      <c r="AY145" s="34" t="s">
        <v>1719</v>
      </c>
      <c r="AZ145" s="34" t="s">
        <v>1745</v>
      </c>
      <c r="BA145" s="28" t="s">
        <v>1752</v>
      </c>
      <c r="BC145" s="33">
        <f t="shared" si="149"/>
        <v>0</v>
      </c>
      <c r="BD145" s="33">
        <f t="shared" si="150"/>
        <v>0</v>
      </c>
      <c r="BE145" s="33">
        <v>0</v>
      </c>
      <c r="BF145" s="33">
        <f>145</f>
        <v>145</v>
      </c>
      <c r="BH145" s="16">
        <f t="shared" si="151"/>
        <v>0</v>
      </c>
      <c r="BI145" s="16">
        <f t="shared" si="152"/>
        <v>0</v>
      </c>
      <c r="BJ145" s="16">
        <f t="shared" si="153"/>
        <v>0</v>
      </c>
    </row>
    <row r="146" spans="1:62" x14ac:dyDescent="0.2">
      <c r="A146" s="4" t="s">
        <v>123</v>
      </c>
      <c r="B146" s="4" t="s">
        <v>658</v>
      </c>
      <c r="C146" s="131" t="s">
        <v>1219</v>
      </c>
      <c r="D146" s="132"/>
      <c r="E146" s="132"/>
      <c r="F146" s="4" t="s">
        <v>1662</v>
      </c>
      <c r="G146" s="68">
        <v>0.28599999999999998</v>
      </c>
      <c r="H146" s="162">
        <v>0</v>
      </c>
      <c r="I146" s="16">
        <f t="shared" si="132"/>
        <v>0</v>
      </c>
      <c r="J146" s="16">
        <f t="shared" si="133"/>
        <v>0</v>
      </c>
      <c r="K146" s="16">
        <f t="shared" si="134"/>
        <v>0</v>
      </c>
      <c r="L146" s="27" t="s">
        <v>1692</v>
      </c>
      <c r="Z146" s="33">
        <f t="shared" si="135"/>
        <v>0</v>
      </c>
      <c r="AB146" s="33">
        <f t="shared" si="136"/>
        <v>0</v>
      </c>
      <c r="AC146" s="33">
        <f t="shared" si="137"/>
        <v>0</v>
      </c>
      <c r="AD146" s="33">
        <f t="shared" si="138"/>
        <v>0</v>
      </c>
      <c r="AE146" s="33">
        <f t="shared" si="139"/>
        <v>0</v>
      </c>
      <c r="AF146" s="33">
        <f t="shared" si="140"/>
        <v>0</v>
      </c>
      <c r="AG146" s="33">
        <f t="shared" si="141"/>
        <v>0</v>
      </c>
      <c r="AH146" s="33">
        <f t="shared" si="142"/>
        <v>0</v>
      </c>
      <c r="AI146" s="28"/>
      <c r="AJ146" s="16">
        <f t="shared" si="143"/>
        <v>0</v>
      </c>
      <c r="AK146" s="16">
        <f t="shared" si="144"/>
        <v>0</v>
      </c>
      <c r="AL146" s="16">
        <f t="shared" si="145"/>
        <v>0</v>
      </c>
      <c r="AN146" s="33">
        <v>21</v>
      </c>
      <c r="AO146" s="33">
        <f>H146*0.0235121951219512</f>
        <v>0</v>
      </c>
      <c r="AP146" s="33">
        <f>H146*(1-0.0235121951219512)</f>
        <v>0</v>
      </c>
      <c r="AQ146" s="27" t="s">
        <v>7</v>
      </c>
      <c r="AV146" s="33">
        <f t="shared" si="146"/>
        <v>0</v>
      </c>
      <c r="AW146" s="33">
        <f t="shared" si="147"/>
        <v>0</v>
      </c>
      <c r="AX146" s="33">
        <f t="shared" si="148"/>
        <v>0</v>
      </c>
      <c r="AY146" s="34" t="s">
        <v>1719</v>
      </c>
      <c r="AZ146" s="34" t="s">
        <v>1745</v>
      </c>
      <c r="BA146" s="28" t="s">
        <v>1752</v>
      </c>
      <c r="BC146" s="33">
        <f t="shared" si="149"/>
        <v>0</v>
      </c>
      <c r="BD146" s="33">
        <f t="shared" si="150"/>
        <v>0</v>
      </c>
      <c r="BE146" s="33">
        <v>0</v>
      </c>
      <c r="BF146" s="33">
        <f>146</f>
        <v>146</v>
      </c>
      <c r="BH146" s="16">
        <f t="shared" si="151"/>
        <v>0</v>
      </c>
      <c r="BI146" s="16">
        <f t="shared" si="152"/>
        <v>0</v>
      </c>
      <c r="BJ146" s="16">
        <f t="shared" si="153"/>
        <v>0</v>
      </c>
    </row>
    <row r="147" spans="1:62" x14ac:dyDescent="0.2">
      <c r="A147" s="4" t="s">
        <v>124</v>
      </c>
      <c r="B147" s="4" t="s">
        <v>659</v>
      </c>
      <c r="C147" s="131" t="s">
        <v>1220</v>
      </c>
      <c r="D147" s="132"/>
      <c r="E147" s="132"/>
      <c r="F147" s="4" t="s">
        <v>1663</v>
      </c>
      <c r="G147" s="68">
        <v>80.691999999999993</v>
      </c>
      <c r="H147" s="162">
        <v>0</v>
      </c>
      <c r="I147" s="16">
        <f t="shared" si="132"/>
        <v>0</v>
      </c>
      <c r="J147" s="16">
        <f t="shared" si="133"/>
        <v>0</v>
      </c>
      <c r="K147" s="16">
        <f t="shared" si="134"/>
        <v>0</v>
      </c>
      <c r="L147" s="27" t="s">
        <v>1692</v>
      </c>
      <c r="Z147" s="33">
        <f t="shared" si="135"/>
        <v>0</v>
      </c>
      <c r="AB147" s="33">
        <f t="shared" si="136"/>
        <v>0</v>
      </c>
      <c r="AC147" s="33">
        <f t="shared" si="137"/>
        <v>0</v>
      </c>
      <c r="AD147" s="33">
        <f t="shared" si="138"/>
        <v>0</v>
      </c>
      <c r="AE147" s="33">
        <f t="shared" si="139"/>
        <v>0</v>
      </c>
      <c r="AF147" s="33">
        <f t="shared" si="140"/>
        <v>0</v>
      </c>
      <c r="AG147" s="33">
        <f t="shared" si="141"/>
        <v>0</v>
      </c>
      <c r="AH147" s="33">
        <f t="shared" si="142"/>
        <v>0</v>
      </c>
      <c r="AI147" s="28"/>
      <c r="AJ147" s="16">
        <f t="shared" si="143"/>
        <v>0</v>
      </c>
      <c r="AK147" s="16">
        <f t="shared" si="144"/>
        <v>0</v>
      </c>
      <c r="AL147" s="16">
        <f t="shared" si="145"/>
        <v>0</v>
      </c>
      <c r="AN147" s="33">
        <v>21</v>
      </c>
      <c r="AO147" s="33">
        <f>H147*0</f>
        <v>0</v>
      </c>
      <c r="AP147" s="33">
        <f>H147*(1-0)</f>
        <v>0</v>
      </c>
      <c r="AQ147" s="27" t="s">
        <v>7</v>
      </c>
      <c r="AV147" s="33">
        <f t="shared" si="146"/>
        <v>0</v>
      </c>
      <c r="AW147" s="33">
        <f t="shared" si="147"/>
        <v>0</v>
      </c>
      <c r="AX147" s="33">
        <f t="shared" si="148"/>
        <v>0</v>
      </c>
      <c r="AY147" s="34" t="s">
        <v>1719</v>
      </c>
      <c r="AZ147" s="34" t="s">
        <v>1745</v>
      </c>
      <c r="BA147" s="28" t="s">
        <v>1752</v>
      </c>
      <c r="BC147" s="33">
        <f t="shared" si="149"/>
        <v>0</v>
      </c>
      <c r="BD147" s="33">
        <f t="shared" si="150"/>
        <v>0</v>
      </c>
      <c r="BE147" s="33">
        <v>0</v>
      </c>
      <c r="BF147" s="33">
        <f>147</f>
        <v>147</v>
      </c>
      <c r="BH147" s="16">
        <f t="shared" si="151"/>
        <v>0</v>
      </c>
      <c r="BI147" s="16">
        <f t="shared" si="152"/>
        <v>0</v>
      </c>
      <c r="BJ147" s="16">
        <f t="shared" si="153"/>
        <v>0</v>
      </c>
    </row>
    <row r="148" spans="1:62" x14ac:dyDescent="0.2">
      <c r="A148" s="4" t="s">
        <v>125</v>
      </c>
      <c r="B148" s="4" t="s">
        <v>660</v>
      </c>
      <c r="C148" s="131" t="s">
        <v>1221</v>
      </c>
      <c r="D148" s="132"/>
      <c r="E148" s="132"/>
      <c r="F148" s="4" t="s">
        <v>1663</v>
      </c>
      <c r="G148" s="68">
        <v>3.5529999999999999</v>
      </c>
      <c r="H148" s="162">
        <v>0</v>
      </c>
      <c r="I148" s="16">
        <f t="shared" si="132"/>
        <v>0</v>
      </c>
      <c r="J148" s="16">
        <f t="shared" si="133"/>
        <v>0</v>
      </c>
      <c r="K148" s="16">
        <f t="shared" si="134"/>
        <v>0</v>
      </c>
      <c r="L148" s="27" t="s">
        <v>1692</v>
      </c>
      <c r="Z148" s="33">
        <f t="shared" si="135"/>
        <v>0</v>
      </c>
      <c r="AB148" s="33">
        <f t="shared" si="136"/>
        <v>0</v>
      </c>
      <c r="AC148" s="33">
        <f t="shared" si="137"/>
        <v>0</v>
      </c>
      <c r="AD148" s="33">
        <f t="shared" si="138"/>
        <v>0</v>
      </c>
      <c r="AE148" s="33">
        <f t="shared" si="139"/>
        <v>0</v>
      </c>
      <c r="AF148" s="33">
        <f t="shared" si="140"/>
        <v>0</v>
      </c>
      <c r="AG148" s="33">
        <f t="shared" si="141"/>
        <v>0</v>
      </c>
      <c r="AH148" s="33">
        <f t="shared" si="142"/>
        <v>0</v>
      </c>
      <c r="AI148" s="28"/>
      <c r="AJ148" s="16">
        <f t="shared" si="143"/>
        <v>0</v>
      </c>
      <c r="AK148" s="16">
        <f t="shared" si="144"/>
        <v>0</v>
      </c>
      <c r="AL148" s="16">
        <f t="shared" si="145"/>
        <v>0</v>
      </c>
      <c r="AN148" s="33">
        <v>21</v>
      </c>
      <c r="AO148" s="33">
        <f>H148*0</f>
        <v>0</v>
      </c>
      <c r="AP148" s="33">
        <f>H148*(1-0)</f>
        <v>0</v>
      </c>
      <c r="AQ148" s="27" t="s">
        <v>7</v>
      </c>
      <c r="AV148" s="33">
        <f t="shared" si="146"/>
        <v>0</v>
      </c>
      <c r="AW148" s="33">
        <f t="shared" si="147"/>
        <v>0</v>
      </c>
      <c r="AX148" s="33">
        <f t="shared" si="148"/>
        <v>0</v>
      </c>
      <c r="AY148" s="34" t="s">
        <v>1719</v>
      </c>
      <c r="AZ148" s="34" t="s">
        <v>1745</v>
      </c>
      <c r="BA148" s="28" t="s">
        <v>1752</v>
      </c>
      <c r="BC148" s="33">
        <f t="shared" si="149"/>
        <v>0</v>
      </c>
      <c r="BD148" s="33">
        <f t="shared" si="150"/>
        <v>0</v>
      </c>
      <c r="BE148" s="33">
        <v>0</v>
      </c>
      <c r="BF148" s="33">
        <f>148</f>
        <v>148</v>
      </c>
      <c r="BH148" s="16">
        <f t="shared" si="151"/>
        <v>0</v>
      </c>
      <c r="BI148" s="16">
        <f t="shared" si="152"/>
        <v>0</v>
      </c>
      <c r="BJ148" s="16">
        <f t="shared" si="153"/>
        <v>0</v>
      </c>
    </row>
    <row r="149" spans="1:62" x14ac:dyDescent="0.2">
      <c r="A149" s="5"/>
      <c r="B149" s="13" t="s">
        <v>104</v>
      </c>
      <c r="C149" s="136" t="s">
        <v>1222</v>
      </c>
      <c r="D149" s="137"/>
      <c r="E149" s="137"/>
      <c r="F149" s="5" t="s">
        <v>6</v>
      </c>
      <c r="G149" s="5" t="s">
        <v>6</v>
      </c>
      <c r="H149" s="163" t="s">
        <v>6</v>
      </c>
      <c r="I149" s="36">
        <f>SUM(I150:I150)</f>
        <v>0</v>
      </c>
      <c r="J149" s="36">
        <f>SUM(J150:J150)</f>
        <v>0</v>
      </c>
      <c r="K149" s="36">
        <f>SUM(K150:K150)</f>
        <v>0</v>
      </c>
      <c r="L149" s="28"/>
      <c r="AI149" s="28"/>
      <c r="AS149" s="36">
        <f>SUM(AJ150:AJ150)</f>
        <v>0</v>
      </c>
      <c r="AT149" s="36">
        <f>SUM(AK150:AK150)</f>
        <v>0</v>
      </c>
      <c r="AU149" s="36">
        <f>SUM(AL150:AL150)</f>
        <v>0</v>
      </c>
    </row>
    <row r="150" spans="1:62" x14ac:dyDescent="0.2">
      <c r="A150" s="4" t="s">
        <v>126</v>
      </c>
      <c r="B150" s="4" t="s">
        <v>661</v>
      </c>
      <c r="C150" s="131" t="s">
        <v>1223</v>
      </c>
      <c r="D150" s="132"/>
      <c r="E150" s="132"/>
      <c r="F150" s="4" t="s">
        <v>1662</v>
      </c>
      <c r="G150" s="68">
        <v>16.021999999999998</v>
      </c>
      <c r="H150" s="162">
        <v>0</v>
      </c>
      <c r="I150" s="16">
        <f>G150*AO150</f>
        <v>0</v>
      </c>
      <c r="J150" s="16">
        <f>G150*AP150</f>
        <v>0</v>
      </c>
      <c r="K150" s="16">
        <f>G150*H150</f>
        <v>0</v>
      </c>
      <c r="L150" s="27" t="s">
        <v>1692</v>
      </c>
      <c r="Z150" s="33">
        <f>IF(AQ150="5",BJ150,0)</f>
        <v>0</v>
      </c>
      <c r="AB150" s="33">
        <f>IF(AQ150="1",BH150,0)</f>
        <v>0</v>
      </c>
      <c r="AC150" s="33">
        <f>IF(AQ150="1",BI150,0)</f>
        <v>0</v>
      </c>
      <c r="AD150" s="33">
        <f>IF(AQ150="7",BH150,0)</f>
        <v>0</v>
      </c>
      <c r="AE150" s="33">
        <f>IF(AQ150="7",BI150,0)</f>
        <v>0</v>
      </c>
      <c r="AF150" s="33">
        <f>IF(AQ150="2",BH150,0)</f>
        <v>0</v>
      </c>
      <c r="AG150" s="33">
        <f>IF(AQ150="2",BI150,0)</f>
        <v>0</v>
      </c>
      <c r="AH150" s="33">
        <f>IF(AQ150="0",BJ150,0)</f>
        <v>0</v>
      </c>
      <c r="AI150" s="28"/>
      <c r="AJ150" s="16">
        <f>IF(AN150=0,K150,0)</f>
        <v>0</v>
      </c>
      <c r="AK150" s="16">
        <f>IF(AN150=15,K150,0)</f>
        <v>0</v>
      </c>
      <c r="AL150" s="16">
        <f>IF(AN150=21,K150,0)</f>
        <v>0</v>
      </c>
      <c r="AN150" s="33">
        <v>21</v>
      </c>
      <c r="AO150" s="33">
        <f>H150*0.0418857950569718</f>
        <v>0</v>
      </c>
      <c r="AP150" s="33">
        <f>H150*(1-0.0418857950569718)</f>
        <v>0</v>
      </c>
      <c r="AQ150" s="27" t="s">
        <v>7</v>
      </c>
      <c r="AV150" s="33">
        <f>AW150+AX150</f>
        <v>0</v>
      </c>
      <c r="AW150" s="33">
        <f>G150*AO150</f>
        <v>0</v>
      </c>
      <c r="AX150" s="33">
        <f>G150*AP150</f>
        <v>0</v>
      </c>
      <c r="AY150" s="34" t="s">
        <v>1720</v>
      </c>
      <c r="AZ150" s="34" t="s">
        <v>1745</v>
      </c>
      <c r="BA150" s="28" t="s">
        <v>1752</v>
      </c>
      <c r="BC150" s="33">
        <f>AW150+AX150</f>
        <v>0</v>
      </c>
      <c r="BD150" s="33">
        <f>H150/(100-BE150)*100</f>
        <v>0</v>
      </c>
      <c r="BE150" s="33">
        <v>0</v>
      </c>
      <c r="BF150" s="33">
        <f>150</f>
        <v>150</v>
      </c>
      <c r="BH150" s="16">
        <f>G150*AO150</f>
        <v>0</v>
      </c>
      <c r="BI150" s="16">
        <f>G150*AP150</f>
        <v>0</v>
      </c>
      <c r="BJ150" s="16">
        <f>G150*H150</f>
        <v>0</v>
      </c>
    </row>
    <row r="151" spans="1:62" x14ac:dyDescent="0.2">
      <c r="A151" s="5"/>
      <c r="B151" s="13" t="s">
        <v>662</v>
      </c>
      <c r="C151" s="136" t="s">
        <v>1224</v>
      </c>
      <c r="D151" s="137"/>
      <c r="E151" s="137"/>
      <c r="F151" s="5" t="s">
        <v>6</v>
      </c>
      <c r="G151" s="5" t="s">
        <v>6</v>
      </c>
      <c r="H151" s="163" t="s">
        <v>6</v>
      </c>
      <c r="I151" s="36">
        <f>SUM(I152:I171)</f>
        <v>0</v>
      </c>
      <c r="J151" s="36">
        <f>SUM(J152:J171)</f>
        <v>0</v>
      </c>
      <c r="K151" s="36">
        <f>SUM(K152:K171)</f>
        <v>0</v>
      </c>
      <c r="L151" s="28"/>
      <c r="AI151" s="28"/>
      <c r="AS151" s="36">
        <f>SUM(AJ152:AJ171)</f>
        <v>0</v>
      </c>
      <c r="AT151" s="36">
        <f>SUM(AK152:AK171)</f>
        <v>0</v>
      </c>
      <c r="AU151" s="36">
        <f>SUM(AL152:AL171)</f>
        <v>0</v>
      </c>
    </row>
    <row r="152" spans="1:62" x14ac:dyDescent="0.2">
      <c r="A152" s="4" t="s">
        <v>127</v>
      </c>
      <c r="B152" s="4" t="s">
        <v>663</v>
      </c>
      <c r="C152" s="131" t="s">
        <v>1225</v>
      </c>
      <c r="D152" s="132"/>
      <c r="E152" s="132"/>
      <c r="F152" s="4" t="s">
        <v>1664</v>
      </c>
      <c r="G152" s="68">
        <v>43.255000000000003</v>
      </c>
      <c r="H152" s="162">
        <v>0</v>
      </c>
      <c r="I152" s="16">
        <f t="shared" ref="I152:I171" si="154">G152*AO152</f>
        <v>0</v>
      </c>
      <c r="J152" s="16">
        <f t="shared" ref="J152:J171" si="155">G152*AP152</f>
        <v>0</v>
      </c>
      <c r="K152" s="16">
        <f t="shared" ref="K152:K171" si="156">G152*H152</f>
        <v>0</v>
      </c>
      <c r="L152" s="27" t="s">
        <v>1692</v>
      </c>
      <c r="Z152" s="33">
        <f t="shared" ref="Z152:Z171" si="157">IF(AQ152="5",BJ152,0)</f>
        <v>0</v>
      </c>
      <c r="AB152" s="33">
        <f t="shared" ref="AB152:AB171" si="158">IF(AQ152="1",BH152,0)</f>
        <v>0</v>
      </c>
      <c r="AC152" s="33">
        <f t="shared" ref="AC152:AC171" si="159">IF(AQ152="1",BI152,0)</f>
        <v>0</v>
      </c>
      <c r="AD152" s="33">
        <f t="shared" ref="AD152:AD171" si="160">IF(AQ152="7",BH152,0)</f>
        <v>0</v>
      </c>
      <c r="AE152" s="33">
        <f t="shared" ref="AE152:AE171" si="161">IF(AQ152="7",BI152,0)</f>
        <v>0</v>
      </c>
      <c r="AF152" s="33">
        <f t="shared" ref="AF152:AF171" si="162">IF(AQ152="2",BH152,0)</f>
        <v>0</v>
      </c>
      <c r="AG152" s="33">
        <f t="shared" ref="AG152:AG171" si="163">IF(AQ152="2",BI152,0)</f>
        <v>0</v>
      </c>
      <c r="AH152" s="33">
        <f t="shared" ref="AH152:AH171" si="164">IF(AQ152="0",BJ152,0)</f>
        <v>0</v>
      </c>
      <c r="AI152" s="28"/>
      <c r="AJ152" s="16">
        <f t="shared" ref="AJ152:AJ171" si="165">IF(AN152=0,K152,0)</f>
        <v>0</v>
      </c>
      <c r="AK152" s="16">
        <f t="shared" ref="AK152:AK171" si="166">IF(AN152=15,K152,0)</f>
        <v>0</v>
      </c>
      <c r="AL152" s="16">
        <f t="shared" ref="AL152:AL171" si="167">IF(AN152=21,K152,0)</f>
        <v>0</v>
      </c>
      <c r="AN152" s="33">
        <v>21</v>
      </c>
      <c r="AO152" s="33">
        <f t="shared" ref="AO152:AO171" si="168">H152*0</f>
        <v>0</v>
      </c>
      <c r="AP152" s="33">
        <f t="shared" ref="AP152:AP171" si="169">H152*(1-0)</f>
        <v>0</v>
      </c>
      <c r="AQ152" s="27" t="s">
        <v>11</v>
      </c>
      <c r="AV152" s="33">
        <f t="shared" ref="AV152:AV171" si="170">AW152+AX152</f>
        <v>0</v>
      </c>
      <c r="AW152" s="33">
        <f t="shared" ref="AW152:AW171" si="171">G152*AO152</f>
        <v>0</v>
      </c>
      <c r="AX152" s="33">
        <f t="shared" ref="AX152:AX171" si="172">G152*AP152</f>
        <v>0</v>
      </c>
      <c r="AY152" s="34" t="s">
        <v>1721</v>
      </c>
      <c r="AZ152" s="34" t="s">
        <v>1745</v>
      </c>
      <c r="BA152" s="28" t="s">
        <v>1752</v>
      </c>
      <c r="BC152" s="33">
        <f t="shared" ref="BC152:BC171" si="173">AW152+AX152</f>
        <v>0</v>
      </c>
      <c r="BD152" s="33">
        <f t="shared" ref="BD152:BD171" si="174">H152/(100-BE152)*100</f>
        <v>0</v>
      </c>
      <c r="BE152" s="33">
        <v>0</v>
      </c>
      <c r="BF152" s="33">
        <f>152</f>
        <v>152</v>
      </c>
      <c r="BH152" s="16">
        <f t="shared" ref="BH152:BH171" si="175">G152*AO152</f>
        <v>0</v>
      </c>
      <c r="BI152" s="16">
        <f t="shared" ref="BI152:BI171" si="176">G152*AP152</f>
        <v>0</v>
      </c>
      <c r="BJ152" s="16">
        <f t="shared" ref="BJ152:BJ171" si="177">G152*H152</f>
        <v>0</v>
      </c>
    </row>
    <row r="153" spans="1:62" x14ac:dyDescent="0.2">
      <c r="A153" s="4" t="s">
        <v>128</v>
      </c>
      <c r="B153" s="4" t="s">
        <v>664</v>
      </c>
      <c r="C153" s="131" t="s">
        <v>1226</v>
      </c>
      <c r="D153" s="132"/>
      <c r="E153" s="132"/>
      <c r="F153" s="4" t="s">
        <v>1664</v>
      </c>
      <c r="G153" s="68">
        <v>216.274</v>
      </c>
      <c r="H153" s="162">
        <v>0</v>
      </c>
      <c r="I153" s="16">
        <f t="shared" si="154"/>
        <v>0</v>
      </c>
      <c r="J153" s="16">
        <f t="shared" si="155"/>
        <v>0</v>
      </c>
      <c r="K153" s="16">
        <f t="shared" si="156"/>
        <v>0</v>
      </c>
      <c r="L153" s="27" t="s">
        <v>1692</v>
      </c>
      <c r="Z153" s="33">
        <f t="shared" si="157"/>
        <v>0</v>
      </c>
      <c r="AB153" s="33">
        <f t="shared" si="158"/>
        <v>0</v>
      </c>
      <c r="AC153" s="33">
        <f t="shared" si="159"/>
        <v>0</v>
      </c>
      <c r="AD153" s="33">
        <f t="shared" si="160"/>
        <v>0</v>
      </c>
      <c r="AE153" s="33">
        <f t="shared" si="161"/>
        <v>0</v>
      </c>
      <c r="AF153" s="33">
        <f t="shared" si="162"/>
        <v>0</v>
      </c>
      <c r="AG153" s="33">
        <f t="shared" si="163"/>
        <v>0</v>
      </c>
      <c r="AH153" s="33">
        <f t="shared" si="164"/>
        <v>0</v>
      </c>
      <c r="AI153" s="28"/>
      <c r="AJ153" s="16">
        <f t="shared" si="165"/>
        <v>0</v>
      </c>
      <c r="AK153" s="16">
        <f t="shared" si="166"/>
        <v>0</v>
      </c>
      <c r="AL153" s="16">
        <f t="shared" si="167"/>
        <v>0</v>
      </c>
      <c r="AN153" s="33">
        <v>21</v>
      </c>
      <c r="AO153" s="33">
        <f t="shared" si="168"/>
        <v>0</v>
      </c>
      <c r="AP153" s="33">
        <f t="shared" si="169"/>
        <v>0</v>
      </c>
      <c r="AQ153" s="27" t="s">
        <v>11</v>
      </c>
      <c r="AV153" s="33">
        <f t="shared" si="170"/>
        <v>0</v>
      </c>
      <c r="AW153" s="33">
        <f t="shared" si="171"/>
        <v>0</v>
      </c>
      <c r="AX153" s="33">
        <f t="shared" si="172"/>
        <v>0</v>
      </c>
      <c r="AY153" s="34" t="s">
        <v>1721</v>
      </c>
      <c r="AZ153" s="34" t="s">
        <v>1745</v>
      </c>
      <c r="BA153" s="28" t="s">
        <v>1752</v>
      </c>
      <c r="BC153" s="33">
        <f t="shared" si="173"/>
        <v>0</v>
      </c>
      <c r="BD153" s="33">
        <f t="shared" si="174"/>
        <v>0</v>
      </c>
      <c r="BE153" s="33">
        <v>0</v>
      </c>
      <c r="BF153" s="33">
        <f>153</f>
        <v>153</v>
      </c>
      <c r="BH153" s="16">
        <f t="shared" si="175"/>
        <v>0</v>
      </c>
      <c r="BI153" s="16">
        <f t="shared" si="176"/>
        <v>0</v>
      </c>
      <c r="BJ153" s="16">
        <f t="shared" si="177"/>
        <v>0</v>
      </c>
    </row>
    <row r="154" spans="1:62" x14ac:dyDescent="0.2">
      <c r="A154" s="4" t="s">
        <v>129</v>
      </c>
      <c r="B154" s="4" t="s">
        <v>665</v>
      </c>
      <c r="C154" s="131" t="s">
        <v>1227</v>
      </c>
      <c r="D154" s="132"/>
      <c r="E154" s="132"/>
      <c r="F154" s="4" t="s">
        <v>1664</v>
      </c>
      <c r="G154" s="68">
        <v>33284.328000000001</v>
      </c>
      <c r="H154" s="162">
        <v>0</v>
      </c>
      <c r="I154" s="16">
        <f t="shared" si="154"/>
        <v>0</v>
      </c>
      <c r="J154" s="16">
        <f t="shared" si="155"/>
        <v>0</v>
      </c>
      <c r="K154" s="16">
        <f t="shared" si="156"/>
        <v>0</v>
      </c>
      <c r="L154" s="27" t="s">
        <v>1692</v>
      </c>
      <c r="Z154" s="33">
        <f t="shared" si="157"/>
        <v>0</v>
      </c>
      <c r="AB154" s="33">
        <f t="shared" si="158"/>
        <v>0</v>
      </c>
      <c r="AC154" s="33">
        <f t="shared" si="159"/>
        <v>0</v>
      </c>
      <c r="AD154" s="33">
        <f t="shared" si="160"/>
        <v>0</v>
      </c>
      <c r="AE154" s="33">
        <f t="shared" si="161"/>
        <v>0</v>
      </c>
      <c r="AF154" s="33">
        <f t="shared" si="162"/>
        <v>0</v>
      </c>
      <c r="AG154" s="33">
        <f t="shared" si="163"/>
        <v>0</v>
      </c>
      <c r="AH154" s="33">
        <f t="shared" si="164"/>
        <v>0</v>
      </c>
      <c r="AI154" s="28"/>
      <c r="AJ154" s="16">
        <f t="shared" si="165"/>
        <v>0</v>
      </c>
      <c r="AK154" s="16">
        <f t="shared" si="166"/>
        <v>0</v>
      </c>
      <c r="AL154" s="16">
        <f t="shared" si="167"/>
        <v>0</v>
      </c>
      <c r="AN154" s="33">
        <v>21</v>
      </c>
      <c r="AO154" s="33">
        <f t="shared" si="168"/>
        <v>0</v>
      </c>
      <c r="AP154" s="33">
        <f t="shared" si="169"/>
        <v>0</v>
      </c>
      <c r="AQ154" s="27" t="s">
        <v>11</v>
      </c>
      <c r="AV154" s="33">
        <f t="shared" si="170"/>
        <v>0</v>
      </c>
      <c r="AW154" s="33">
        <f t="shared" si="171"/>
        <v>0</v>
      </c>
      <c r="AX154" s="33">
        <f t="shared" si="172"/>
        <v>0</v>
      </c>
      <c r="AY154" s="34" t="s">
        <v>1721</v>
      </c>
      <c r="AZ154" s="34" t="s">
        <v>1745</v>
      </c>
      <c r="BA154" s="28" t="s">
        <v>1752</v>
      </c>
      <c r="BC154" s="33">
        <f t="shared" si="173"/>
        <v>0</v>
      </c>
      <c r="BD154" s="33">
        <f t="shared" si="174"/>
        <v>0</v>
      </c>
      <c r="BE154" s="33">
        <v>0</v>
      </c>
      <c r="BF154" s="33">
        <f>154</f>
        <v>154</v>
      </c>
      <c r="BH154" s="16">
        <f t="shared" si="175"/>
        <v>0</v>
      </c>
      <c r="BI154" s="16">
        <f t="shared" si="176"/>
        <v>0</v>
      </c>
      <c r="BJ154" s="16">
        <f t="shared" si="177"/>
        <v>0</v>
      </c>
    </row>
    <row r="155" spans="1:62" x14ac:dyDescent="0.2">
      <c r="A155" s="4" t="s">
        <v>130</v>
      </c>
      <c r="B155" s="4" t="s">
        <v>666</v>
      </c>
      <c r="C155" s="131" t="s">
        <v>1228</v>
      </c>
      <c r="D155" s="132"/>
      <c r="E155" s="132"/>
      <c r="F155" s="4" t="s">
        <v>1664</v>
      </c>
      <c r="G155" s="68">
        <v>216.274</v>
      </c>
      <c r="H155" s="162">
        <v>0</v>
      </c>
      <c r="I155" s="16">
        <f t="shared" si="154"/>
        <v>0</v>
      </c>
      <c r="J155" s="16">
        <f t="shared" si="155"/>
        <v>0</v>
      </c>
      <c r="K155" s="16">
        <f t="shared" si="156"/>
        <v>0</v>
      </c>
      <c r="L155" s="27" t="s">
        <v>1692</v>
      </c>
      <c r="Z155" s="33">
        <f t="shared" si="157"/>
        <v>0</v>
      </c>
      <c r="AB155" s="33">
        <f t="shared" si="158"/>
        <v>0</v>
      </c>
      <c r="AC155" s="33">
        <f t="shared" si="159"/>
        <v>0</v>
      </c>
      <c r="AD155" s="33">
        <f t="shared" si="160"/>
        <v>0</v>
      </c>
      <c r="AE155" s="33">
        <f t="shared" si="161"/>
        <v>0</v>
      </c>
      <c r="AF155" s="33">
        <f t="shared" si="162"/>
        <v>0</v>
      </c>
      <c r="AG155" s="33">
        <f t="shared" si="163"/>
        <v>0</v>
      </c>
      <c r="AH155" s="33">
        <f t="shared" si="164"/>
        <v>0</v>
      </c>
      <c r="AI155" s="28"/>
      <c r="AJ155" s="16">
        <f t="shared" si="165"/>
        <v>0</v>
      </c>
      <c r="AK155" s="16">
        <f t="shared" si="166"/>
        <v>0</v>
      </c>
      <c r="AL155" s="16">
        <f t="shared" si="167"/>
        <v>0</v>
      </c>
      <c r="AN155" s="33">
        <v>21</v>
      </c>
      <c r="AO155" s="33">
        <f t="shared" si="168"/>
        <v>0</v>
      </c>
      <c r="AP155" s="33">
        <f t="shared" si="169"/>
        <v>0</v>
      </c>
      <c r="AQ155" s="27" t="s">
        <v>11</v>
      </c>
      <c r="AV155" s="33">
        <f t="shared" si="170"/>
        <v>0</v>
      </c>
      <c r="AW155" s="33">
        <f t="shared" si="171"/>
        <v>0</v>
      </c>
      <c r="AX155" s="33">
        <f t="shared" si="172"/>
        <v>0</v>
      </c>
      <c r="AY155" s="34" t="s">
        <v>1721</v>
      </c>
      <c r="AZ155" s="34" t="s">
        <v>1745</v>
      </c>
      <c r="BA155" s="28" t="s">
        <v>1752</v>
      </c>
      <c r="BC155" s="33">
        <f t="shared" si="173"/>
        <v>0</v>
      </c>
      <c r="BD155" s="33">
        <f t="shared" si="174"/>
        <v>0</v>
      </c>
      <c r="BE155" s="33">
        <v>0</v>
      </c>
      <c r="BF155" s="33">
        <f>155</f>
        <v>155</v>
      </c>
      <c r="BH155" s="16">
        <f t="shared" si="175"/>
        <v>0</v>
      </c>
      <c r="BI155" s="16">
        <f t="shared" si="176"/>
        <v>0</v>
      </c>
      <c r="BJ155" s="16">
        <f t="shared" si="177"/>
        <v>0</v>
      </c>
    </row>
    <row r="156" spans="1:62" x14ac:dyDescent="0.2">
      <c r="A156" s="4" t="s">
        <v>131</v>
      </c>
      <c r="B156" s="4" t="s">
        <v>667</v>
      </c>
      <c r="C156" s="131" t="s">
        <v>1229</v>
      </c>
      <c r="D156" s="132"/>
      <c r="E156" s="132"/>
      <c r="F156" s="4" t="s">
        <v>1664</v>
      </c>
      <c r="G156" s="68">
        <v>1081.3699999999999</v>
      </c>
      <c r="H156" s="162">
        <v>0</v>
      </c>
      <c r="I156" s="16">
        <f t="shared" si="154"/>
        <v>0</v>
      </c>
      <c r="J156" s="16">
        <f t="shared" si="155"/>
        <v>0</v>
      </c>
      <c r="K156" s="16">
        <f t="shared" si="156"/>
        <v>0</v>
      </c>
      <c r="L156" s="27" t="s">
        <v>1692</v>
      </c>
      <c r="Z156" s="33">
        <f t="shared" si="157"/>
        <v>0</v>
      </c>
      <c r="AB156" s="33">
        <f t="shared" si="158"/>
        <v>0</v>
      </c>
      <c r="AC156" s="33">
        <f t="shared" si="159"/>
        <v>0</v>
      </c>
      <c r="AD156" s="33">
        <f t="shared" si="160"/>
        <v>0</v>
      </c>
      <c r="AE156" s="33">
        <f t="shared" si="161"/>
        <v>0</v>
      </c>
      <c r="AF156" s="33">
        <f t="shared" si="162"/>
        <v>0</v>
      </c>
      <c r="AG156" s="33">
        <f t="shared" si="163"/>
        <v>0</v>
      </c>
      <c r="AH156" s="33">
        <f t="shared" si="164"/>
        <v>0</v>
      </c>
      <c r="AI156" s="28"/>
      <c r="AJ156" s="16">
        <f t="shared" si="165"/>
        <v>0</v>
      </c>
      <c r="AK156" s="16">
        <f t="shared" si="166"/>
        <v>0</v>
      </c>
      <c r="AL156" s="16">
        <f t="shared" si="167"/>
        <v>0</v>
      </c>
      <c r="AN156" s="33">
        <v>21</v>
      </c>
      <c r="AO156" s="33">
        <f t="shared" si="168"/>
        <v>0</v>
      </c>
      <c r="AP156" s="33">
        <f t="shared" si="169"/>
        <v>0</v>
      </c>
      <c r="AQ156" s="27" t="s">
        <v>11</v>
      </c>
      <c r="AV156" s="33">
        <f t="shared" si="170"/>
        <v>0</v>
      </c>
      <c r="AW156" s="33">
        <f t="shared" si="171"/>
        <v>0</v>
      </c>
      <c r="AX156" s="33">
        <f t="shared" si="172"/>
        <v>0</v>
      </c>
      <c r="AY156" s="34" t="s">
        <v>1721</v>
      </c>
      <c r="AZ156" s="34" t="s">
        <v>1745</v>
      </c>
      <c r="BA156" s="28" t="s">
        <v>1752</v>
      </c>
      <c r="BC156" s="33">
        <f t="shared" si="173"/>
        <v>0</v>
      </c>
      <c r="BD156" s="33">
        <f t="shared" si="174"/>
        <v>0</v>
      </c>
      <c r="BE156" s="33">
        <v>0</v>
      </c>
      <c r="BF156" s="33">
        <f>156</f>
        <v>156</v>
      </c>
      <c r="BH156" s="16">
        <f t="shared" si="175"/>
        <v>0</v>
      </c>
      <c r="BI156" s="16">
        <f t="shared" si="176"/>
        <v>0</v>
      </c>
      <c r="BJ156" s="16">
        <f t="shared" si="177"/>
        <v>0</v>
      </c>
    </row>
    <row r="157" spans="1:62" x14ac:dyDescent="0.2">
      <c r="A157" s="4" t="s">
        <v>132</v>
      </c>
      <c r="B157" s="4" t="s">
        <v>668</v>
      </c>
      <c r="C157" s="131" t="s">
        <v>1230</v>
      </c>
      <c r="D157" s="132"/>
      <c r="E157" s="132"/>
      <c r="F157" s="4" t="s">
        <v>1664</v>
      </c>
      <c r="G157" s="68">
        <v>216.274</v>
      </c>
      <c r="H157" s="162">
        <v>0</v>
      </c>
      <c r="I157" s="16">
        <f t="shared" si="154"/>
        <v>0</v>
      </c>
      <c r="J157" s="16">
        <f t="shared" si="155"/>
        <v>0</v>
      </c>
      <c r="K157" s="16">
        <f t="shared" si="156"/>
        <v>0</v>
      </c>
      <c r="L157" s="27" t="s">
        <v>1692</v>
      </c>
      <c r="Z157" s="33">
        <f t="shared" si="157"/>
        <v>0</v>
      </c>
      <c r="AB157" s="33">
        <f t="shared" si="158"/>
        <v>0</v>
      </c>
      <c r="AC157" s="33">
        <f t="shared" si="159"/>
        <v>0</v>
      </c>
      <c r="AD157" s="33">
        <f t="shared" si="160"/>
        <v>0</v>
      </c>
      <c r="AE157" s="33">
        <f t="shared" si="161"/>
        <v>0</v>
      </c>
      <c r="AF157" s="33">
        <f t="shared" si="162"/>
        <v>0</v>
      </c>
      <c r="AG157" s="33">
        <f t="shared" si="163"/>
        <v>0</v>
      </c>
      <c r="AH157" s="33">
        <f t="shared" si="164"/>
        <v>0</v>
      </c>
      <c r="AI157" s="28"/>
      <c r="AJ157" s="16">
        <f t="shared" si="165"/>
        <v>0</v>
      </c>
      <c r="AK157" s="16">
        <f t="shared" si="166"/>
        <v>0</v>
      </c>
      <c r="AL157" s="16">
        <f t="shared" si="167"/>
        <v>0</v>
      </c>
      <c r="AN157" s="33">
        <v>21</v>
      </c>
      <c r="AO157" s="33">
        <f t="shared" si="168"/>
        <v>0</v>
      </c>
      <c r="AP157" s="33">
        <f t="shared" si="169"/>
        <v>0</v>
      </c>
      <c r="AQ157" s="27" t="s">
        <v>11</v>
      </c>
      <c r="AV157" s="33">
        <f t="shared" si="170"/>
        <v>0</v>
      </c>
      <c r="AW157" s="33">
        <f t="shared" si="171"/>
        <v>0</v>
      </c>
      <c r="AX157" s="33">
        <f t="shared" si="172"/>
        <v>0</v>
      </c>
      <c r="AY157" s="34" t="s">
        <v>1721</v>
      </c>
      <c r="AZ157" s="34" t="s">
        <v>1745</v>
      </c>
      <c r="BA157" s="28" t="s">
        <v>1752</v>
      </c>
      <c r="BC157" s="33">
        <f t="shared" si="173"/>
        <v>0</v>
      </c>
      <c r="BD157" s="33">
        <f t="shared" si="174"/>
        <v>0</v>
      </c>
      <c r="BE157" s="33">
        <v>0</v>
      </c>
      <c r="BF157" s="33">
        <f>157</f>
        <v>157</v>
      </c>
      <c r="BH157" s="16">
        <f t="shared" si="175"/>
        <v>0</v>
      </c>
      <c r="BI157" s="16">
        <f t="shared" si="176"/>
        <v>0</v>
      </c>
      <c r="BJ157" s="16">
        <f t="shared" si="177"/>
        <v>0</v>
      </c>
    </row>
    <row r="158" spans="1:62" x14ac:dyDescent="0.2">
      <c r="A158" s="4" t="s">
        <v>133</v>
      </c>
      <c r="B158" s="4" t="s">
        <v>669</v>
      </c>
      <c r="C158" s="131" t="s">
        <v>1231</v>
      </c>
      <c r="D158" s="132"/>
      <c r="E158" s="132"/>
      <c r="F158" s="4" t="s">
        <v>1664</v>
      </c>
      <c r="G158" s="68">
        <v>216.274</v>
      </c>
      <c r="H158" s="162">
        <v>0</v>
      </c>
      <c r="I158" s="16">
        <f t="shared" si="154"/>
        <v>0</v>
      </c>
      <c r="J158" s="16">
        <f t="shared" si="155"/>
        <v>0</v>
      </c>
      <c r="K158" s="16">
        <f t="shared" si="156"/>
        <v>0</v>
      </c>
      <c r="L158" s="27" t="s">
        <v>1692</v>
      </c>
      <c r="Z158" s="33">
        <f t="shared" si="157"/>
        <v>0</v>
      </c>
      <c r="AB158" s="33">
        <f t="shared" si="158"/>
        <v>0</v>
      </c>
      <c r="AC158" s="33">
        <f t="shared" si="159"/>
        <v>0</v>
      </c>
      <c r="AD158" s="33">
        <f t="shared" si="160"/>
        <v>0</v>
      </c>
      <c r="AE158" s="33">
        <f t="shared" si="161"/>
        <v>0</v>
      </c>
      <c r="AF158" s="33">
        <f t="shared" si="162"/>
        <v>0</v>
      </c>
      <c r="AG158" s="33">
        <f t="shared" si="163"/>
        <v>0</v>
      </c>
      <c r="AH158" s="33">
        <f t="shared" si="164"/>
        <v>0</v>
      </c>
      <c r="AI158" s="28"/>
      <c r="AJ158" s="16">
        <f t="shared" si="165"/>
        <v>0</v>
      </c>
      <c r="AK158" s="16">
        <f t="shared" si="166"/>
        <v>0</v>
      </c>
      <c r="AL158" s="16">
        <f t="shared" si="167"/>
        <v>0</v>
      </c>
      <c r="AN158" s="33">
        <v>21</v>
      </c>
      <c r="AO158" s="33">
        <f t="shared" si="168"/>
        <v>0</v>
      </c>
      <c r="AP158" s="33">
        <f t="shared" si="169"/>
        <v>0</v>
      </c>
      <c r="AQ158" s="27" t="s">
        <v>11</v>
      </c>
      <c r="AV158" s="33">
        <f t="shared" si="170"/>
        <v>0</v>
      </c>
      <c r="AW158" s="33">
        <f t="shared" si="171"/>
        <v>0</v>
      </c>
      <c r="AX158" s="33">
        <f t="shared" si="172"/>
        <v>0</v>
      </c>
      <c r="AY158" s="34" t="s">
        <v>1721</v>
      </c>
      <c r="AZ158" s="34" t="s">
        <v>1745</v>
      </c>
      <c r="BA158" s="28" t="s">
        <v>1752</v>
      </c>
      <c r="BC158" s="33">
        <f t="shared" si="173"/>
        <v>0</v>
      </c>
      <c r="BD158" s="33">
        <f t="shared" si="174"/>
        <v>0</v>
      </c>
      <c r="BE158" s="33">
        <v>0</v>
      </c>
      <c r="BF158" s="33">
        <f>158</f>
        <v>158</v>
      </c>
      <c r="BH158" s="16">
        <f t="shared" si="175"/>
        <v>0</v>
      </c>
      <c r="BI158" s="16">
        <f t="shared" si="176"/>
        <v>0</v>
      </c>
      <c r="BJ158" s="16">
        <f t="shared" si="177"/>
        <v>0</v>
      </c>
    </row>
    <row r="159" spans="1:62" x14ac:dyDescent="0.2">
      <c r="A159" s="4" t="s">
        <v>134</v>
      </c>
      <c r="B159" s="4" t="s">
        <v>670</v>
      </c>
      <c r="C159" s="131" t="s">
        <v>1232</v>
      </c>
      <c r="D159" s="132"/>
      <c r="E159" s="132"/>
      <c r="F159" s="4" t="s">
        <v>1664</v>
      </c>
      <c r="G159" s="68">
        <v>54.86</v>
      </c>
      <c r="H159" s="162">
        <v>0</v>
      </c>
      <c r="I159" s="16">
        <f t="shared" si="154"/>
        <v>0</v>
      </c>
      <c r="J159" s="16">
        <f t="shared" si="155"/>
        <v>0</v>
      </c>
      <c r="K159" s="16">
        <f t="shared" si="156"/>
        <v>0</v>
      </c>
      <c r="L159" s="27" t="s">
        <v>1692</v>
      </c>
      <c r="Z159" s="33">
        <f t="shared" si="157"/>
        <v>0</v>
      </c>
      <c r="AB159" s="33">
        <f t="shared" si="158"/>
        <v>0</v>
      </c>
      <c r="AC159" s="33">
        <f t="shared" si="159"/>
        <v>0</v>
      </c>
      <c r="AD159" s="33">
        <f t="shared" si="160"/>
        <v>0</v>
      </c>
      <c r="AE159" s="33">
        <f t="shared" si="161"/>
        <v>0</v>
      </c>
      <c r="AF159" s="33">
        <f t="shared" si="162"/>
        <v>0</v>
      </c>
      <c r="AG159" s="33">
        <f t="shared" si="163"/>
        <v>0</v>
      </c>
      <c r="AH159" s="33">
        <f t="shared" si="164"/>
        <v>0</v>
      </c>
      <c r="AI159" s="28"/>
      <c r="AJ159" s="16">
        <f t="shared" si="165"/>
        <v>0</v>
      </c>
      <c r="AK159" s="16">
        <f t="shared" si="166"/>
        <v>0</v>
      </c>
      <c r="AL159" s="16">
        <f t="shared" si="167"/>
        <v>0</v>
      </c>
      <c r="AN159" s="33">
        <v>21</v>
      </c>
      <c r="AO159" s="33">
        <f t="shared" si="168"/>
        <v>0</v>
      </c>
      <c r="AP159" s="33">
        <f t="shared" si="169"/>
        <v>0</v>
      </c>
      <c r="AQ159" s="27" t="s">
        <v>11</v>
      </c>
      <c r="AV159" s="33">
        <f t="shared" si="170"/>
        <v>0</v>
      </c>
      <c r="AW159" s="33">
        <f t="shared" si="171"/>
        <v>0</v>
      </c>
      <c r="AX159" s="33">
        <f t="shared" si="172"/>
        <v>0</v>
      </c>
      <c r="AY159" s="34" t="s">
        <v>1721</v>
      </c>
      <c r="AZ159" s="34" t="s">
        <v>1745</v>
      </c>
      <c r="BA159" s="28" t="s">
        <v>1752</v>
      </c>
      <c r="BC159" s="33">
        <f t="shared" si="173"/>
        <v>0</v>
      </c>
      <c r="BD159" s="33">
        <f t="shared" si="174"/>
        <v>0</v>
      </c>
      <c r="BE159" s="33">
        <v>0</v>
      </c>
      <c r="BF159" s="33">
        <f>159</f>
        <v>159</v>
      </c>
      <c r="BH159" s="16">
        <f t="shared" si="175"/>
        <v>0</v>
      </c>
      <c r="BI159" s="16">
        <f t="shared" si="176"/>
        <v>0</v>
      </c>
      <c r="BJ159" s="16">
        <f t="shared" si="177"/>
        <v>0</v>
      </c>
    </row>
    <row r="160" spans="1:62" x14ac:dyDescent="0.2">
      <c r="A160" s="4" t="s">
        <v>135</v>
      </c>
      <c r="B160" s="4" t="s">
        <v>671</v>
      </c>
      <c r="C160" s="131" t="s">
        <v>1233</v>
      </c>
      <c r="D160" s="132"/>
      <c r="E160" s="132"/>
      <c r="F160" s="4" t="s">
        <v>1664</v>
      </c>
      <c r="G160" s="68">
        <v>71.554000000000002</v>
      </c>
      <c r="H160" s="162">
        <v>0</v>
      </c>
      <c r="I160" s="16">
        <f t="shared" si="154"/>
        <v>0</v>
      </c>
      <c r="J160" s="16">
        <f t="shared" si="155"/>
        <v>0</v>
      </c>
      <c r="K160" s="16">
        <f t="shared" si="156"/>
        <v>0</v>
      </c>
      <c r="L160" s="27" t="s">
        <v>1692</v>
      </c>
      <c r="Z160" s="33">
        <f t="shared" si="157"/>
        <v>0</v>
      </c>
      <c r="AB160" s="33">
        <f t="shared" si="158"/>
        <v>0</v>
      </c>
      <c r="AC160" s="33">
        <f t="shared" si="159"/>
        <v>0</v>
      </c>
      <c r="AD160" s="33">
        <f t="shared" si="160"/>
        <v>0</v>
      </c>
      <c r="AE160" s="33">
        <f t="shared" si="161"/>
        <v>0</v>
      </c>
      <c r="AF160" s="33">
        <f t="shared" si="162"/>
        <v>0</v>
      </c>
      <c r="AG160" s="33">
        <f t="shared" si="163"/>
        <v>0</v>
      </c>
      <c r="AH160" s="33">
        <f t="shared" si="164"/>
        <v>0</v>
      </c>
      <c r="AI160" s="28"/>
      <c r="AJ160" s="16">
        <f t="shared" si="165"/>
        <v>0</v>
      </c>
      <c r="AK160" s="16">
        <f t="shared" si="166"/>
        <v>0</v>
      </c>
      <c r="AL160" s="16">
        <f t="shared" si="167"/>
        <v>0</v>
      </c>
      <c r="AN160" s="33">
        <v>21</v>
      </c>
      <c r="AO160" s="33">
        <f t="shared" si="168"/>
        <v>0</v>
      </c>
      <c r="AP160" s="33">
        <f t="shared" si="169"/>
        <v>0</v>
      </c>
      <c r="AQ160" s="27" t="s">
        <v>11</v>
      </c>
      <c r="AV160" s="33">
        <f t="shared" si="170"/>
        <v>0</v>
      </c>
      <c r="AW160" s="33">
        <f t="shared" si="171"/>
        <v>0</v>
      </c>
      <c r="AX160" s="33">
        <f t="shared" si="172"/>
        <v>0</v>
      </c>
      <c r="AY160" s="34" t="s">
        <v>1721</v>
      </c>
      <c r="AZ160" s="34" t="s">
        <v>1745</v>
      </c>
      <c r="BA160" s="28" t="s">
        <v>1752</v>
      </c>
      <c r="BC160" s="33">
        <f t="shared" si="173"/>
        <v>0</v>
      </c>
      <c r="BD160" s="33">
        <f t="shared" si="174"/>
        <v>0</v>
      </c>
      <c r="BE160" s="33">
        <v>0</v>
      </c>
      <c r="BF160" s="33">
        <f>160</f>
        <v>160</v>
      </c>
      <c r="BH160" s="16">
        <f t="shared" si="175"/>
        <v>0</v>
      </c>
      <c r="BI160" s="16">
        <f t="shared" si="176"/>
        <v>0</v>
      </c>
      <c r="BJ160" s="16">
        <f t="shared" si="177"/>
        <v>0</v>
      </c>
    </row>
    <row r="161" spans="1:62" x14ac:dyDescent="0.2">
      <c r="A161" s="4" t="s">
        <v>136</v>
      </c>
      <c r="B161" s="4" t="s">
        <v>672</v>
      </c>
      <c r="C161" s="131" t="s">
        <v>1234</v>
      </c>
      <c r="D161" s="132"/>
      <c r="E161" s="132"/>
      <c r="F161" s="4" t="s">
        <v>1664</v>
      </c>
      <c r="G161" s="68">
        <v>15.183999999999999</v>
      </c>
      <c r="H161" s="162">
        <v>0</v>
      </c>
      <c r="I161" s="16">
        <f t="shared" si="154"/>
        <v>0</v>
      </c>
      <c r="J161" s="16">
        <f t="shared" si="155"/>
        <v>0</v>
      </c>
      <c r="K161" s="16">
        <f t="shared" si="156"/>
        <v>0</v>
      </c>
      <c r="L161" s="27" t="s">
        <v>1692</v>
      </c>
      <c r="Z161" s="33">
        <f t="shared" si="157"/>
        <v>0</v>
      </c>
      <c r="AB161" s="33">
        <f t="shared" si="158"/>
        <v>0</v>
      </c>
      <c r="AC161" s="33">
        <f t="shared" si="159"/>
        <v>0</v>
      </c>
      <c r="AD161" s="33">
        <f t="shared" si="160"/>
        <v>0</v>
      </c>
      <c r="AE161" s="33">
        <f t="shared" si="161"/>
        <v>0</v>
      </c>
      <c r="AF161" s="33">
        <f t="shared" si="162"/>
        <v>0</v>
      </c>
      <c r="AG161" s="33">
        <f t="shared" si="163"/>
        <v>0</v>
      </c>
      <c r="AH161" s="33">
        <f t="shared" si="164"/>
        <v>0</v>
      </c>
      <c r="AI161" s="28"/>
      <c r="AJ161" s="16">
        <f t="shared" si="165"/>
        <v>0</v>
      </c>
      <c r="AK161" s="16">
        <f t="shared" si="166"/>
        <v>0</v>
      </c>
      <c r="AL161" s="16">
        <f t="shared" si="167"/>
        <v>0</v>
      </c>
      <c r="AN161" s="33">
        <v>21</v>
      </c>
      <c r="AO161" s="33">
        <f t="shared" si="168"/>
        <v>0</v>
      </c>
      <c r="AP161" s="33">
        <f t="shared" si="169"/>
        <v>0</v>
      </c>
      <c r="AQ161" s="27" t="s">
        <v>11</v>
      </c>
      <c r="AV161" s="33">
        <f t="shared" si="170"/>
        <v>0</v>
      </c>
      <c r="AW161" s="33">
        <f t="shared" si="171"/>
        <v>0</v>
      </c>
      <c r="AX161" s="33">
        <f t="shared" si="172"/>
        <v>0</v>
      </c>
      <c r="AY161" s="34" t="s">
        <v>1721</v>
      </c>
      <c r="AZ161" s="34" t="s">
        <v>1745</v>
      </c>
      <c r="BA161" s="28" t="s">
        <v>1752</v>
      </c>
      <c r="BC161" s="33">
        <f t="shared" si="173"/>
        <v>0</v>
      </c>
      <c r="BD161" s="33">
        <f t="shared" si="174"/>
        <v>0</v>
      </c>
      <c r="BE161" s="33">
        <v>0</v>
      </c>
      <c r="BF161" s="33">
        <f>161</f>
        <v>161</v>
      </c>
      <c r="BH161" s="16">
        <f t="shared" si="175"/>
        <v>0</v>
      </c>
      <c r="BI161" s="16">
        <f t="shared" si="176"/>
        <v>0</v>
      </c>
      <c r="BJ161" s="16">
        <f t="shared" si="177"/>
        <v>0</v>
      </c>
    </row>
    <row r="162" spans="1:62" x14ac:dyDescent="0.2">
      <c r="A162" s="4" t="s">
        <v>137</v>
      </c>
      <c r="B162" s="4" t="s">
        <v>673</v>
      </c>
      <c r="C162" s="131" t="s">
        <v>1235</v>
      </c>
      <c r="D162" s="132"/>
      <c r="E162" s="132"/>
      <c r="F162" s="4" t="s">
        <v>1664</v>
      </c>
      <c r="G162" s="68">
        <v>10.426</v>
      </c>
      <c r="H162" s="162">
        <v>0</v>
      </c>
      <c r="I162" s="16">
        <f t="shared" si="154"/>
        <v>0</v>
      </c>
      <c r="J162" s="16">
        <f t="shared" si="155"/>
        <v>0</v>
      </c>
      <c r="K162" s="16">
        <f t="shared" si="156"/>
        <v>0</v>
      </c>
      <c r="L162" s="27" t="s">
        <v>1692</v>
      </c>
      <c r="Z162" s="33">
        <f t="shared" si="157"/>
        <v>0</v>
      </c>
      <c r="AB162" s="33">
        <f t="shared" si="158"/>
        <v>0</v>
      </c>
      <c r="AC162" s="33">
        <f t="shared" si="159"/>
        <v>0</v>
      </c>
      <c r="AD162" s="33">
        <f t="shared" si="160"/>
        <v>0</v>
      </c>
      <c r="AE162" s="33">
        <f t="shared" si="161"/>
        <v>0</v>
      </c>
      <c r="AF162" s="33">
        <f t="shared" si="162"/>
        <v>0</v>
      </c>
      <c r="AG162" s="33">
        <f t="shared" si="163"/>
        <v>0</v>
      </c>
      <c r="AH162" s="33">
        <f t="shared" si="164"/>
        <v>0</v>
      </c>
      <c r="AI162" s="28"/>
      <c r="AJ162" s="16">
        <f t="shared" si="165"/>
        <v>0</v>
      </c>
      <c r="AK162" s="16">
        <f t="shared" si="166"/>
        <v>0</v>
      </c>
      <c r="AL162" s="16">
        <f t="shared" si="167"/>
        <v>0</v>
      </c>
      <c r="AN162" s="33">
        <v>21</v>
      </c>
      <c r="AO162" s="33">
        <f t="shared" si="168"/>
        <v>0</v>
      </c>
      <c r="AP162" s="33">
        <f t="shared" si="169"/>
        <v>0</v>
      </c>
      <c r="AQ162" s="27" t="s">
        <v>11</v>
      </c>
      <c r="AV162" s="33">
        <f t="shared" si="170"/>
        <v>0</v>
      </c>
      <c r="AW162" s="33">
        <f t="shared" si="171"/>
        <v>0</v>
      </c>
      <c r="AX162" s="33">
        <f t="shared" si="172"/>
        <v>0</v>
      </c>
      <c r="AY162" s="34" t="s">
        <v>1721</v>
      </c>
      <c r="AZ162" s="34" t="s">
        <v>1745</v>
      </c>
      <c r="BA162" s="28" t="s">
        <v>1752</v>
      </c>
      <c r="BC162" s="33">
        <f t="shared" si="173"/>
        <v>0</v>
      </c>
      <c r="BD162" s="33">
        <f t="shared" si="174"/>
        <v>0</v>
      </c>
      <c r="BE162" s="33">
        <v>0</v>
      </c>
      <c r="BF162" s="33">
        <f>162</f>
        <v>162</v>
      </c>
      <c r="BH162" s="16">
        <f t="shared" si="175"/>
        <v>0</v>
      </c>
      <c r="BI162" s="16">
        <f t="shared" si="176"/>
        <v>0</v>
      </c>
      <c r="BJ162" s="16">
        <f t="shared" si="177"/>
        <v>0</v>
      </c>
    </row>
    <row r="163" spans="1:62" x14ac:dyDescent="0.2">
      <c r="A163" s="4" t="s">
        <v>138</v>
      </c>
      <c r="B163" s="4" t="s">
        <v>674</v>
      </c>
      <c r="C163" s="131" t="s">
        <v>1236</v>
      </c>
      <c r="D163" s="132"/>
      <c r="E163" s="132"/>
      <c r="F163" s="4" t="s">
        <v>1664</v>
      </c>
      <c r="G163" s="68">
        <v>12.535</v>
      </c>
      <c r="H163" s="162">
        <v>0</v>
      </c>
      <c r="I163" s="16">
        <f t="shared" si="154"/>
        <v>0</v>
      </c>
      <c r="J163" s="16">
        <f t="shared" si="155"/>
        <v>0</v>
      </c>
      <c r="K163" s="16">
        <f t="shared" si="156"/>
        <v>0</v>
      </c>
      <c r="L163" s="27" t="s">
        <v>1692</v>
      </c>
      <c r="Z163" s="33">
        <f t="shared" si="157"/>
        <v>0</v>
      </c>
      <c r="AB163" s="33">
        <f t="shared" si="158"/>
        <v>0</v>
      </c>
      <c r="AC163" s="33">
        <f t="shared" si="159"/>
        <v>0</v>
      </c>
      <c r="AD163" s="33">
        <f t="shared" si="160"/>
        <v>0</v>
      </c>
      <c r="AE163" s="33">
        <f t="shared" si="161"/>
        <v>0</v>
      </c>
      <c r="AF163" s="33">
        <f t="shared" si="162"/>
        <v>0</v>
      </c>
      <c r="AG163" s="33">
        <f t="shared" si="163"/>
        <v>0</v>
      </c>
      <c r="AH163" s="33">
        <f t="shared" si="164"/>
        <v>0</v>
      </c>
      <c r="AI163" s="28"/>
      <c r="AJ163" s="16">
        <f t="shared" si="165"/>
        <v>0</v>
      </c>
      <c r="AK163" s="16">
        <f t="shared" si="166"/>
        <v>0</v>
      </c>
      <c r="AL163" s="16">
        <f t="shared" si="167"/>
        <v>0</v>
      </c>
      <c r="AN163" s="33">
        <v>21</v>
      </c>
      <c r="AO163" s="33">
        <f t="shared" si="168"/>
        <v>0</v>
      </c>
      <c r="AP163" s="33">
        <f t="shared" si="169"/>
        <v>0</v>
      </c>
      <c r="AQ163" s="27" t="s">
        <v>11</v>
      </c>
      <c r="AV163" s="33">
        <f t="shared" si="170"/>
        <v>0</v>
      </c>
      <c r="AW163" s="33">
        <f t="shared" si="171"/>
        <v>0</v>
      </c>
      <c r="AX163" s="33">
        <f t="shared" si="172"/>
        <v>0</v>
      </c>
      <c r="AY163" s="34" t="s">
        <v>1721</v>
      </c>
      <c r="AZ163" s="34" t="s">
        <v>1745</v>
      </c>
      <c r="BA163" s="28" t="s">
        <v>1752</v>
      </c>
      <c r="BC163" s="33">
        <f t="shared" si="173"/>
        <v>0</v>
      </c>
      <c r="BD163" s="33">
        <f t="shared" si="174"/>
        <v>0</v>
      </c>
      <c r="BE163" s="33">
        <v>0</v>
      </c>
      <c r="BF163" s="33">
        <f>163</f>
        <v>163</v>
      </c>
      <c r="BH163" s="16">
        <f t="shared" si="175"/>
        <v>0</v>
      </c>
      <c r="BI163" s="16">
        <f t="shared" si="176"/>
        <v>0</v>
      </c>
      <c r="BJ163" s="16">
        <f t="shared" si="177"/>
        <v>0</v>
      </c>
    </row>
    <row r="164" spans="1:62" x14ac:dyDescent="0.2">
      <c r="A164" s="4" t="s">
        <v>139</v>
      </c>
      <c r="B164" s="4" t="s">
        <v>675</v>
      </c>
      <c r="C164" s="131" t="s">
        <v>1237</v>
      </c>
      <c r="D164" s="132"/>
      <c r="E164" s="132"/>
      <c r="F164" s="4" t="s">
        <v>1664</v>
      </c>
      <c r="G164" s="68">
        <v>0.316</v>
      </c>
      <c r="H164" s="162">
        <v>0</v>
      </c>
      <c r="I164" s="16">
        <f t="shared" si="154"/>
        <v>0</v>
      </c>
      <c r="J164" s="16">
        <f t="shared" si="155"/>
        <v>0</v>
      </c>
      <c r="K164" s="16">
        <f t="shared" si="156"/>
        <v>0</v>
      </c>
      <c r="L164" s="27" t="s">
        <v>1692</v>
      </c>
      <c r="Z164" s="33">
        <f t="shared" si="157"/>
        <v>0</v>
      </c>
      <c r="AB164" s="33">
        <f t="shared" si="158"/>
        <v>0</v>
      </c>
      <c r="AC164" s="33">
        <f t="shared" si="159"/>
        <v>0</v>
      </c>
      <c r="AD164" s="33">
        <f t="shared" si="160"/>
        <v>0</v>
      </c>
      <c r="AE164" s="33">
        <f t="shared" si="161"/>
        <v>0</v>
      </c>
      <c r="AF164" s="33">
        <f t="shared" si="162"/>
        <v>0</v>
      </c>
      <c r="AG164" s="33">
        <f t="shared" si="163"/>
        <v>0</v>
      </c>
      <c r="AH164" s="33">
        <f t="shared" si="164"/>
        <v>0</v>
      </c>
      <c r="AI164" s="28"/>
      <c r="AJ164" s="16">
        <f t="shared" si="165"/>
        <v>0</v>
      </c>
      <c r="AK164" s="16">
        <f t="shared" si="166"/>
        <v>0</v>
      </c>
      <c r="AL164" s="16">
        <f t="shared" si="167"/>
        <v>0</v>
      </c>
      <c r="AN164" s="33">
        <v>21</v>
      </c>
      <c r="AO164" s="33">
        <f t="shared" si="168"/>
        <v>0</v>
      </c>
      <c r="AP164" s="33">
        <f t="shared" si="169"/>
        <v>0</v>
      </c>
      <c r="AQ164" s="27" t="s">
        <v>11</v>
      </c>
      <c r="AV164" s="33">
        <f t="shared" si="170"/>
        <v>0</v>
      </c>
      <c r="AW164" s="33">
        <f t="shared" si="171"/>
        <v>0</v>
      </c>
      <c r="AX164" s="33">
        <f t="shared" si="172"/>
        <v>0</v>
      </c>
      <c r="AY164" s="34" t="s">
        <v>1721</v>
      </c>
      <c r="AZ164" s="34" t="s">
        <v>1745</v>
      </c>
      <c r="BA164" s="28" t="s">
        <v>1752</v>
      </c>
      <c r="BC164" s="33">
        <f t="shared" si="173"/>
        <v>0</v>
      </c>
      <c r="BD164" s="33">
        <f t="shared" si="174"/>
        <v>0</v>
      </c>
      <c r="BE164" s="33">
        <v>0</v>
      </c>
      <c r="BF164" s="33">
        <f>164</f>
        <v>164</v>
      </c>
      <c r="BH164" s="16">
        <f t="shared" si="175"/>
        <v>0</v>
      </c>
      <c r="BI164" s="16">
        <f t="shared" si="176"/>
        <v>0</v>
      </c>
      <c r="BJ164" s="16">
        <f t="shared" si="177"/>
        <v>0</v>
      </c>
    </row>
    <row r="165" spans="1:62" x14ac:dyDescent="0.2">
      <c r="A165" s="4" t="s">
        <v>140</v>
      </c>
      <c r="B165" s="4" t="s">
        <v>676</v>
      </c>
      <c r="C165" s="131" t="s">
        <v>1238</v>
      </c>
      <c r="D165" s="132"/>
      <c r="E165" s="132"/>
      <c r="F165" s="4" t="s">
        <v>1664</v>
      </c>
      <c r="G165" s="68">
        <v>21.346</v>
      </c>
      <c r="H165" s="162">
        <v>0</v>
      </c>
      <c r="I165" s="16">
        <f t="shared" si="154"/>
        <v>0</v>
      </c>
      <c r="J165" s="16">
        <f t="shared" si="155"/>
        <v>0</v>
      </c>
      <c r="K165" s="16">
        <f t="shared" si="156"/>
        <v>0</v>
      </c>
      <c r="L165" s="27" t="s">
        <v>1692</v>
      </c>
      <c r="Z165" s="33">
        <f t="shared" si="157"/>
        <v>0</v>
      </c>
      <c r="AB165" s="33">
        <f t="shared" si="158"/>
        <v>0</v>
      </c>
      <c r="AC165" s="33">
        <f t="shared" si="159"/>
        <v>0</v>
      </c>
      <c r="AD165" s="33">
        <f t="shared" si="160"/>
        <v>0</v>
      </c>
      <c r="AE165" s="33">
        <f t="shared" si="161"/>
        <v>0</v>
      </c>
      <c r="AF165" s="33">
        <f t="shared" si="162"/>
        <v>0</v>
      </c>
      <c r="AG165" s="33">
        <f t="shared" si="163"/>
        <v>0</v>
      </c>
      <c r="AH165" s="33">
        <f t="shared" si="164"/>
        <v>0</v>
      </c>
      <c r="AI165" s="28"/>
      <c r="AJ165" s="16">
        <f t="shared" si="165"/>
        <v>0</v>
      </c>
      <c r="AK165" s="16">
        <f t="shared" si="166"/>
        <v>0</v>
      </c>
      <c r="AL165" s="16">
        <f t="shared" si="167"/>
        <v>0</v>
      </c>
      <c r="AN165" s="33">
        <v>21</v>
      </c>
      <c r="AO165" s="33">
        <f t="shared" si="168"/>
        <v>0</v>
      </c>
      <c r="AP165" s="33">
        <f t="shared" si="169"/>
        <v>0</v>
      </c>
      <c r="AQ165" s="27" t="s">
        <v>11</v>
      </c>
      <c r="AV165" s="33">
        <f t="shared" si="170"/>
        <v>0</v>
      </c>
      <c r="AW165" s="33">
        <f t="shared" si="171"/>
        <v>0</v>
      </c>
      <c r="AX165" s="33">
        <f t="shared" si="172"/>
        <v>0</v>
      </c>
      <c r="AY165" s="34" t="s">
        <v>1721</v>
      </c>
      <c r="AZ165" s="34" t="s">
        <v>1745</v>
      </c>
      <c r="BA165" s="28" t="s">
        <v>1752</v>
      </c>
      <c r="BC165" s="33">
        <f t="shared" si="173"/>
        <v>0</v>
      </c>
      <c r="BD165" s="33">
        <f t="shared" si="174"/>
        <v>0</v>
      </c>
      <c r="BE165" s="33">
        <v>0</v>
      </c>
      <c r="BF165" s="33">
        <f>165</f>
        <v>165</v>
      </c>
      <c r="BH165" s="16">
        <f t="shared" si="175"/>
        <v>0</v>
      </c>
      <c r="BI165" s="16">
        <f t="shared" si="176"/>
        <v>0</v>
      </c>
      <c r="BJ165" s="16">
        <f t="shared" si="177"/>
        <v>0</v>
      </c>
    </row>
    <row r="166" spans="1:62" x14ac:dyDescent="0.2">
      <c r="A166" s="4" t="s">
        <v>141</v>
      </c>
      <c r="B166" s="4" t="s">
        <v>677</v>
      </c>
      <c r="C166" s="131" t="s">
        <v>1239</v>
      </c>
      <c r="D166" s="132"/>
      <c r="E166" s="132"/>
      <c r="F166" s="4" t="s">
        <v>1664</v>
      </c>
      <c r="G166" s="68">
        <v>0.67900000000000005</v>
      </c>
      <c r="H166" s="162">
        <v>0</v>
      </c>
      <c r="I166" s="16">
        <f t="shared" si="154"/>
        <v>0</v>
      </c>
      <c r="J166" s="16">
        <f t="shared" si="155"/>
        <v>0</v>
      </c>
      <c r="K166" s="16">
        <f t="shared" si="156"/>
        <v>0</v>
      </c>
      <c r="L166" s="27" t="s">
        <v>1692</v>
      </c>
      <c r="Z166" s="33">
        <f t="shared" si="157"/>
        <v>0</v>
      </c>
      <c r="AB166" s="33">
        <f t="shared" si="158"/>
        <v>0</v>
      </c>
      <c r="AC166" s="33">
        <f t="shared" si="159"/>
        <v>0</v>
      </c>
      <c r="AD166" s="33">
        <f t="shared" si="160"/>
        <v>0</v>
      </c>
      <c r="AE166" s="33">
        <f t="shared" si="161"/>
        <v>0</v>
      </c>
      <c r="AF166" s="33">
        <f t="shared" si="162"/>
        <v>0</v>
      </c>
      <c r="AG166" s="33">
        <f t="shared" si="163"/>
        <v>0</v>
      </c>
      <c r="AH166" s="33">
        <f t="shared" si="164"/>
        <v>0</v>
      </c>
      <c r="AI166" s="28"/>
      <c r="AJ166" s="16">
        <f t="shared" si="165"/>
        <v>0</v>
      </c>
      <c r="AK166" s="16">
        <f t="shared" si="166"/>
        <v>0</v>
      </c>
      <c r="AL166" s="16">
        <f t="shared" si="167"/>
        <v>0</v>
      </c>
      <c r="AN166" s="33">
        <v>21</v>
      </c>
      <c r="AO166" s="33">
        <f t="shared" si="168"/>
        <v>0</v>
      </c>
      <c r="AP166" s="33">
        <f t="shared" si="169"/>
        <v>0</v>
      </c>
      <c r="AQ166" s="27" t="s">
        <v>11</v>
      </c>
      <c r="AV166" s="33">
        <f t="shared" si="170"/>
        <v>0</v>
      </c>
      <c r="AW166" s="33">
        <f t="shared" si="171"/>
        <v>0</v>
      </c>
      <c r="AX166" s="33">
        <f t="shared" si="172"/>
        <v>0</v>
      </c>
      <c r="AY166" s="34" t="s">
        <v>1721</v>
      </c>
      <c r="AZ166" s="34" t="s">
        <v>1745</v>
      </c>
      <c r="BA166" s="28" t="s">
        <v>1752</v>
      </c>
      <c r="BC166" s="33">
        <f t="shared" si="173"/>
        <v>0</v>
      </c>
      <c r="BD166" s="33">
        <f t="shared" si="174"/>
        <v>0</v>
      </c>
      <c r="BE166" s="33">
        <v>0</v>
      </c>
      <c r="BF166" s="33">
        <f>166</f>
        <v>166</v>
      </c>
      <c r="BH166" s="16">
        <f t="shared" si="175"/>
        <v>0</v>
      </c>
      <c r="BI166" s="16">
        <f t="shared" si="176"/>
        <v>0</v>
      </c>
      <c r="BJ166" s="16">
        <f t="shared" si="177"/>
        <v>0</v>
      </c>
    </row>
    <row r="167" spans="1:62" x14ac:dyDescent="0.2">
      <c r="A167" s="4" t="s">
        <v>142</v>
      </c>
      <c r="B167" s="4" t="s">
        <v>678</v>
      </c>
      <c r="C167" s="131" t="s">
        <v>1240</v>
      </c>
      <c r="D167" s="132"/>
      <c r="E167" s="132"/>
      <c r="F167" s="4" t="s">
        <v>1664</v>
      </c>
      <c r="G167" s="68">
        <v>0.69799999999999995</v>
      </c>
      <c r="H167" s="162">
        <v>0</v>
      </c>
      <c r="I167" s="16">
        <f t="shared" si="154"/>
        <v>0</v>
      </c>
      <c r="J167" s="16">
        <f t="shared" si="155"/>
        <v>0</v>
      </c>
      <c r="K167" s="16">
        <f t="shared" si="156"/>
        <v>0</v>
      </c>
      <c r="L167" s="27" t="s">
        <v>1692</v>
      </c>
      <c r="Z167" s="33">
        <f t="shared" si="157"/>
        <v>0</v>
      </c>
      <c r="AB167" s="33">
        <f t="shared" si="158"/>
        <v>0</v>
      </c>
      <c r="AC167" s="33">
        <f t="shared" si="159"/>
        <v>0</v>
      </c>
      <c r="AD167" s="33">
        <f t="shared" si="160"/>
        <v>0</v>
      </c>
      <c r="AE167" s="33">
        <f t="shared" si="161"/>
        <v>0</v>
      </c>
      <c r="AF167" s="33">
        <f t="shared" si="162"/>
        <v>0</v>
      </c>
      <c r="AG167" s="33">
        <f t="shared" si="163"/>
        <v>0</v>
      </c>
      <c r="AH167" s="33">
        <f t="shared" si="164"/>
        <v>0</v>
      </c>
      <c r="AI167" s="28"/>
      <c r="AJ167" s="16">
        <f t="shared" si="165"/>
        <v>0</v>
      </c>
      <c r="AK167" s="16">
        <f t="shared" si="166"/>
        <v>0</v>
      </c>
      <c r="AL167" s="16">
        <f t="shared" si="167"/>
        <v>0</v>
      </c>
      <c r="AN167" s="33">
        <v>21</v>
      </c>
      <c r="AO167" s="33">
        <f t="shared" si="168"/>
        <v>0</v>
      </c>
      <c r="AP167" s="33">
        <f t="shared" si="169"/>
        <v>0</v>
      </c>
      <c r="AQ167" s="27" t="s">
        <v>11</v>
      </c>
      <c r="AV167" s="33">
        <f t="shared" si="170"/>
        <v>0</v>
      </c>
      <c r="AW167" s="33">
        <f t="shared" si="171"/>
        <v>0</v>
      </c>
      <c r="AX167" s="33">
        <f t="shared" si="172"/>
        <v>0</v>
      </c>
      <c r="AY167" s="34" t="s">
        <v>1721</v>
      </c>
      <c r="AZ167" s="34" t="s">
        <v>1745</v>
      </c>
      <c r="BA167" s="28" t="s">
        <v>1752</v>
      </c>
      <c r="BC167" s="33">
        <f t="shared" si="173"/>
        <v>0</v>
      </c>
      <c r="BD167" s="33">
        <f t="shared" si="174"/>
        <v>0</v>
      </c>
      <c r="BE167" s="33">
        <v>0</v>
      </c>
      <c r="BF167" s="33">
        <f>167</f>
        <v>167</v>
      </c>
      <c r="BH167" s="16">
        <f t="shared" si="175"/>
        <v>0</v>
      </c>
      <c r="BI167" s="16">
        <f t="shared" si="176"/>
        <v>0</v>
      </c>
      <c r="BJ167" s="16">
        <f t="shared" si="177"/>
        <v>0</v>
      </c>
    </row>
    <row r="168" spans="1:62" x14ac:dyDescent="0.2">
      <c r="A168" s="4" t="s">
        <v>143</v>
      </c>
      <c r="B168" s="4" t="s">
        <v>679</v>
      </c>
      <c r="C168" s="131" t="s">
        <v>1241</v>
      </c>
      <c r="D168" s="132"/>
      <c r="E168" s="132"/>
      <c r="F168" s="4" t="s">
        <v>1664</v>
      </c>
      <c r="G168" s="68">
        <v>8.375</v>
      </c>
      <c r="H168" s="162">
        <v>0</v>
      </c>
      <c r="I168" s="16">
        <f t="shared" si="154"/>
        <v>0</v>
      </c>
      <c r="J168" s="16">
        <f t="shared" si="155"/>
        <v>0</v>
      </c>
      <c r="K168" s="16">
        <f t="shared" si="156"/>
        <v>0</v>
      </c>
      <c r="L168" s="27" t="s">
        <v>1692</v>
      </c>
      <c r="Z168" s="33">
        <f t="shared" si="157"/>
        <v>0</v>
      </c>
      <c r="AB168" s="33">
        <f t="shared" si="158"/>
        <v>0</v>
      </c>
      <c r="AC168" s="33">
        <f t="shared" si="159"/>
        <v>0</v>
      </c>
      <c r="AD168" s="33">
        <f t="shared" si="160"/>
        <v>0</v>
      </c>
      <c r="AE168" s="33">
        <f t="shared" si="161"/>
        <v>0</v>
      </c>
      <c r="AF168" s="33">
        <f t="shared" si="162"/>
        <v>0</v>
      </c>
      <c r="AG168" s="33">
        <f t="shared" si="163"/>
        <v>0</v>
      </c>
      <c r="AH168" s="33">
        <f t="shared" si="164"/>
        <v>0</v>
      </c>
      <c r="AI168" s="28"/>
      <c r="AJ168" s="16">
        <f t="shared" si="165"/>
        <v>0</v>
      </c>
      <c r="AK168" s="16">
        <f t="shared" si="166"/>
        <v>0</v>
      </c>
      <c r="AL168" s="16">
        <f t="shared" si="167"/>
        <v>0</v>
      </c>
      <c r="AN168" s="33">
        <v>21</v>
      </c>
      <c r="AO168" s="33">
        <f t="shared" si="168"/>
        <v>0</v>
      </c>
      <c r="AP168" s="33">
        <f t="shared" si="169"/>
        <v>0</v>
      </c>
      <c r="AQ168" s="27" t="s">
        <v>11</v>
      </c>
      <c r="AV168" s="33">
        <f t="shared" si="170"/>
        <v>0</v>
      </c>
      <c r="AW168" s="33">
        <f t="shared" si="171"/>
        <v>0</v>
      </c>
      <c r="AX168" s="33">
        <f t="shared" si="172"/>
        <v>0</v>
      </c>
      <c r="AY168" s="34" t="s">
        <v>1721</v>
      </c>
      <c r="AZ168" s="34" t="s">
        <v>1745</v>
      </c>
      <c r="BA168" s="28" t="s">
        <v>1752</v>
      </c>
      <c r="BC168" s="33">
        <f t="shared" si="173"/>
        <v>0</v>
      </c>
      <c r="BD168" s="33">
        <f t="shared" si="174"/>
        <v>0</v>
      </c>
      <c r="BE168" s="33">
        <v>0</v>
      </c>
      <c r="BF168" s="33">
        <f>168</f>
        <v>168</v>
      </c>
      <c r="BH168" s="16">
        <f t="shared" si="175"/>
        <v>0</v>
      </c>
      <c r="BI168" s="16">
        <f t="shared" si="176"/>
        <v>0</v>
      </c>
      <c r="BJ168" s="16">
        <f t="shared" si="177"/>
        <v>0</v>
      </c>
    </row>
    <row r="169" spans="1:62" x14ac:dyDescent="0.2">
      <c r="A169" s="4" t="s">
        <v>144</v>
      </c>
      <c r="B169" s="4" t="s">
        <v>680</v>
      </c>
      <c r="C169" s="131" t="s">
        <v>1242</v>
      </c>
      <c r="D169" s="132"/>
      <c r="E169" s="132"/>
      <c r="F169" s="4" t="s">
        <v>1664</v>
      </c>
      <c r="G169" s="68">
        <v>10.454000000000001</v>
      </c>
      <c r="H169" s="162">
        <v>0</v>
      </c>
      <c r="I169" s="16">
        <f t="shared" si="154"/>
        <v>0</v>
      </c>
      <c r="J169" s="16">
        <f t="shared" si="155"/>
        <v>0</v>
      </c>
      <c r="K169" s="16">
        <f t="shared" si="156"/>
        <v>0</v>
      </c>
      <c r="L169" s="27" t="s">
        <v>1692</v>
      </c>
      <c r="Z169" s="33">
        <f t="shared" si="157"/>
        <v>0</v>
      </c>
      <c r="AB169" s="33">
        <f t="shared" si="158"/>
        <v>0</v>
      </c>
      <c r="AC169" s="33">
        <f t="shared" si="159"/>
        <v>0</v>
      </c>
      <c r="AD169" s="33">
        <f t="shared" si="160"/>
        <v>0</v>
      </c>
      <c r="AE169" s="33">
        <f t="shared" si="161"/>
        <v>0</v>
      </c>
      <c r="AF169" s="33">
        <f t="shared" si="162"/>
        <v>0</v>
      </c>
      <c r="AG169" s="33">
        <f t="shared" si="163"/>
        <v>0</v>
      </c>
      <c r="AH169" s="33">
        <f t="shared" si="164"/>
        <v>0</v>
      </c>
      <c r="AI169" s="28"/>
      <c r="AJ169" s="16">
        <f t="shared" si="165"/>
        <v>0</v>
      </c>
      <c r="AK169" s="16">
        <f t="shared" si="166"/>
        <v>0</v>
      </c>
      <c r="AL169" s="16">
        <f t="shared" si="167"/>
        <v>0</v>
      </c>
      <c r="AN169" s="33">
        <v>21</v>
      </c>
      <c r="AO169" s="33">
        <f t="shared" si="168"/>
        <v>0</v>
      </c>
      <c r="AP169" s="33">
        <f t="shared" si="169"/>
        <v>0</v>
      </c>
      <c r="AQ169" s="27" t="s">
        <v>11</v>
      </c>
      <c r="AV169" s="33">
        <f t="shared" si="170"/>
        <v>0</v>
      </c>
      <c r="AW169" s="33">
        <f t="shared" si="171"/>
        <v>0</v>
      </c>
      <c r="AX169" s="33">
        <f t="shared" si="172"/>
        <v>0</v>
      </c>
      <c r="AY169" s="34" t="s">
        <v>1721</v>
      </c>
      <c r="AZ169" s="34" t="s">
        <v>1745</v>
      </c>
      <c r="BA169" s="28" t="s">
        <v>1752</v>
      </c>
      <c r="BC169" s="33">
        <f t="shared" si="173"/>
        <v>0</v>
      </c>
      <c r="BD169" s="33">
        <f t="shared" si="174"/>
        <v>0</v>
      </c>
      <c r="BE169" s="33">
        <v>0</v>
      </c>
      <c r="BF169" s="33">
        <f>169</f>
        <v>169</v>
      </c>
      <c r="BH169" s="16">
        <f t="shared" si="175"/>
        <v>0</v>
      </c>
      <c r="BI169" s="16">
        <f t="shared" si="176"/>
        <v>0</v>
      </c>
      <c r="BJ169" s="16">
        <f t="shared" si="177"/>
        <v>0</v>
      </c>
    </row>
    <row r="170" spans="1:62" x14ac:dyDescent="0.2">
      <c r="A170" s="4" t="s">
        <v>145</v>
      </c>
      <c r="B170" s="4" t="s">
        <v>681</v>
      </c>
      <c r="C170" s="131" t="s">
        <v>1243</v>
      </c>
      <c r="D170" s="132"/>
      <c r="E170" s="132"/>
      <c r="F170" s="4" t="s">
        <v>1664</v>
      </c>
      <c r="G170" s="68">
        <v>9.7119999999999997</v>
      </c>
      <c r="H170" s="162">
        <v>0</v>
      </c>
      <c r="I170" s="16">
        <f t="shared" si="154"/>
        <v>0</v>
      </c>
      <c r="J170" s="16">
        <f t="shared" si="155"/>
        <v>0</v>
      </c>
      <c r="K170" s="16">
        <f t="shared" si="156"/>
        <v>0</v>
      </c>
      <c r="L170" s="27" t="s">
        <v>1692</v>
      </c>
      <c r="Z170" s="33">
        <f t="shared" si="157"/>
        <v>0</v>
      </c>
      <c r="AB170" s="33">
        <f t="shared" si="158"/>
        <v>0</v>
      </c>
      <c r="AC170" s="33">
        <f t="shared" si="159"/>
        <v>0</v>
      </c>
      <c r="AD170" s="33">
        <f t="shared" si="160"/>
        <v>0</v>
      </c>
      <c r="AE170" s="33">
        <f t="shared" si="161"/>
        <v>0</v>
      </c>
      <c r="AF170" s="33">
        <f t="shared" si="162"/>
        <v>0</v>
      </c>
      <c r="AG170" s="33">
        <f t="shared" si="163"/>
        <v>0</v>
      </c>
      <c r="AH170" s="33">
        <f t="shared" si="164"/>
        <v>0</v>
      </c>
      <c r="AI170" s="28"/>
      <c r="AJ170" s="16">
        <f t="shared" si="165"/>
        <v>0</v>
      </c>
      <c r="AK170" s="16">
        <f t="shared" si="166"/>
        <v>0</v>
      </c>
      <c r="AL170" s="16">
        <f t="shared" si="167"/>
        <v>0</v>
      </c>
      <c r="AN170" s="33">
        <v>21</v>
      </c>
      <c r="AO170" s="33">
        <f t="shared" si="168"/>
        <v>0</v>
      </c>
      <c r="AP170" s="33">
        <f t="shared" si="169"/>
        <v>0</v>
      </c>
      <c r="AQ170" s="27" t="s">
        <v>11</v>
      </c>
      <c r="AV170" s="33">
        <f t="shared" si="170"/>
        <v>0</v>
      </c>
      <c r="AW170" s="33">
        <f t="shared" si="171"/>
        <v>0</v>
      </c>
      <c r="AX170" s="33">
        <f t="shared" si="172"/>
        <v>0</v>
      </c>
      <c r="AY170" s="34" t="s">
        <v>1721</v>
      </c>
      <c r="AZ170" s="34" t="s">
        <v>1745</v>
      </c>
      <c r="BA170" s="28" t="s">
        <v>1752</v>
      </c>
      <c r="BC170" s="33">
        <f t="shared" si="173"/>
        <v>0</v>
      </c>
      <c r="BD170" s="33">
        <f t="shared" si="174"/>
        <v>0</v>
      </c>
      <c r="BE170" s="33">
        <v>0</v>
      </c>
      <c r="BF170" s="33">
        <f>170</f>
        <v>170</v>
      </c>
      <c r="BH170" s="16">
        <f t="shared" si="175"/>
        <v>0</v>
      </c>
      <c r="BI170" s="16">
        <f t="shared" si="176"/>
        <v>0</v>
      </c>
      <c r="BJ170" s="16">
        <f t="shared" si="177"/>
        <v>0</v>
      </c>
    </row>
    <row r="171" spans="1:62" x14ac:dyDescent="0.2">
      <c r="A171" s="4" t="s">
        <v>146</v>
      </c>
      <c r="B171" s="4" t="s">
        <v>682</v>
      </c>
      <c r="C171" s="131" t="s">
        <v>1244</v>
      </c>
      <c r="D171" s="132"/>
      <c r="E171" s="132"/>
      <c r="F171" s="4" t="s">
        <v>1664</v>
      </c>
      <c r="G171" s="68">
        <v>0.13500000000000001</v>
      </c>
      <c r="H171" s="162">
        <v>0</v>
      </c>
      <c r="I171" s="16">
        <f t="shared" si="154"/>
        <v>0</v>
      </c>
      <c r="J171" s="16">
        <f t="shared" si="155"/>
        <v>0</v>
      </c>
      <c r="K171" s="16">
        <f t="shared" si="156"/>
        <v>0</v>
      </c>
      <c r="L171" s="27" t="s">
        <v>1692</v>
      </c>
      <c r="Z171" s="33">
        <f t="shared" si="157"/>
        <v>0</v>
      </c>
      <c r="AB171" s="33">
        <f t="shared" si="158"/>
        <v>0</v>
      </c>
      <c r="AC171" s="33">
        <f t="shared" si="159"/>
        <v>0</v>
      </c>
      <c r="AD171" s="33">
        <f t="shared" si="160"/>
        <v>0</v>
      </c>
      <c r="AE171" s="33">
        <f t="shared" si="161"/>
        <v>0</v>
      </c>
      <c r="AF171" s="33">
        <f t="shared" si="162"/>
        <v>0</v>
      </c>
      <c r="AG171" s="33">
        <f t="shared" si="163"/>
        <v>0</v>
      </c>
      <c r="AH171" s="33">
        <f t="shared" si="164"/>
        <v>0</v>
      </c>
      <c r="AI171" s="28"/>
      <c r="AJ171" s="16">
        <f t="shared" si="165"/>
        <v>0</v>
      </c>
      <c r="AK171" s="16">
        <f t="shared" si="166"/>
        <v>0</v>
      </c>
      <c r="AL171" s="16">
        <f t="shared" si="167"/>
        <v>0</v>
      </c>
      <c r="AN171" s="33">
        <v>21</v>
      </c>
      <c r="AO171" s="33">
        <f t="shared" si="168"/>
        <v>0</v>
      </c>
      <c r="AP171" s="33">
        <f t="shared" si="169"/>
        <v>0</v>
      </c>
      <c r="AQ171" s="27" t="s">
        <v>11</v>
      </c>
      <c r="AV171" s="33">
        <f t="shared" si="170"/>
        <v>0</v>
      </c>
      <c r="AW171" s="33">
        <f t="shared" si="171"/>
        <v>0</v>
      </c>
      <c r="AX171" s="33">
        <f t="shared" si="172"/>
        <v>0</v>
      </c>
      <c r="AY171" s="34" t="s">
        <v>1721</v>
      </c>
      <c r="AZ171" s="34" t="s">
        <v>1745</v>
      </c>
      <c r="BA171" s="28" t="s">
        <v>1752</v>
      </c>
      <c r="BC171" s="33">
        <f t="shared" si="173"/>
        <v>0</v>
      </c>
      <c r="BD171" s="33">
        <f t="shared" si="174"/>
        <v>0</v>
      </c>
      <c r="BE171" s="33">
        <v>0</v>
      </c>
      <c r="BF171" s="33">
        <f>171</f>
        <v>171</v>
      </c>
      <c r="BH171" s="16">
        <f t="shared" si="175"/>
        <v>0</v>
      </c>
      <c r="BI171" s="16">
        <f t="shared" si="176"/>
        <v>0</v>
      </c>
      <c r="BJ171" s="16">
        <f t="shared" si="177"/>
        <v>0</v>
      </c>
    </row>
    <row r="172" spans="1:62" x14ac:dyDescent="0.2">
      <c r="A172" s="5"/>
      <c r="B172" s="13" t="s">
        <v>683</v>
      </c>
      <c r="C172" s="136" t="s">
        <v>1245</v>
      </c>
      <c r="D172" s="137"/>
      <c r="E172" s="137"/>
      <c r="F172" s="5" t="s">
        <v>6</v>
      </c>
      <c r="G172" s="5" t="s">
        <v>6</v>
      </c>
      <c r="H172" s="163" t="s">
        <v>6</v>
      </c>
      <c r="I172" s="36">
        <f>SUM(I173:I173)</f>
        <v>0</v>
      </c>
      <c r="J172" s="36">
        <f>SUM(J173:J173)</f>
        <v>0</v>
      </c>
      <c r="K172" s="36">
        <f>SUM(K173:K173)</f>
        <v>0</v>
      </c>
      <c r="L172" s="28"/>
      <c r="AI172" s="28"/>
      <c r="AS172" s="36">
        <f>SUM(AJ173:AJ173)</f>
        <v>0</v>
      </c>
      <c r="AT172" s="36">
        <f>SUM(AK173:AK173)</f>
        <v>0</v>
      </c>
      <c r="AU172" s="36">
        <f>SUM(AL173:AL173)</f>
        <v>0</v>
      </c>
    </row>
    <row r="173" spans="1:62" x14ac:dyDescent="0.2">
      <c r="A173" s="4" t="s">
        <v>147</v>
      </c>
      <c r="B173" s="4" t="s">
        <v>684</v>
      </c>
      <c r="C173" s="131" t="s">
        <v>1246</v>
      </c>
      <c r="D173" s="132"/>
      <c r="E173" s="132"/>
      <c r="F173" s="4" t="s">
        <v>1664</v>
      </c>
      <c r="G173" s="68">
        <v>241.04400000000001</v>
      </c>
      <c r="H173" s="162">
        <v>0</v>
      </c>
      <c r="I173" s="16">
        <f>G173*AO173</f>
        <v>0</v>
      </c>
      <c r="J173" s="16">
        <f>G173*AP173</f>
        <v>0</v>
      </c>
      <c r="K173" s="16">
        <f>G173*H173</f>
        <v>0</v>
      </c>
      <c r="L173" s="27" t="s">
        <v>1692</v>
      </c>
      <c r="Z173" s="33">
        <f>IF(AQ173="5",BJ173,0)</f>
        <v>0</v>
      </c>
      <c r="AB173" s="33">
        <f>IF(AQ173="1",BH173,0)</f>
        <v>0</v>
      </c>
      <c r="AC173" s="33">
        <f>IF(AQ173="1",BI173,0)</f>
        <v>0</v>
      </c>
      <c r="AD173" s="33">
        <f>IF(AQ173="7",BH173,0)</f>
        <v>0</v>
      </c>
      <c r="AE173" s="33">
        <f>IF(AQ173="7",BI173,0)</f>
        <v>0</v>
      </c>
      <c r="AF173" s="33">
        <f>IF(AQ173="2",BH173,0)</f>
        <v>0</v>
      </c>
      <c r="AG173" s="33">
        <f>IF(AQ173="2",BI173,0)</f>
        <v>0</v>
      </c>
      <c r="AH173" s="33">
        <f>IF(AQ173="0",BJ173,0)</f>
        <v>0</v>
      </c>
      <c r="AI173" s="28"/>
      <c r="AJ173" s="16">
        <f>IF(AN173=0,K173,0)</f>
        <v>0</v>
      </c>
      <c r="AK173" s="16">
        <f>IF(AN173=15,K173,0)</f>
        <v>0</v>
      </c>
      <c r="AL173" s="16">
        <f>IF(AN173=21,K173,0)</f>
        <v>0</v>
      </c>
      <c r="AN173" s="33">
        <v>21</v>
      </c>
      <c r="AO173" s="33">
        <f>H173*0</f>
        <v>0</v>
      </c>
      <c r="AP173" s="33">
        <f>H173*(1-0)</f>
        <v>0</v>
      </c>
      <c r="AQ173" s="27" t="s">
        <v>11</v>
      </c>
      <c r="AV173" s="33">
        <f>AW173+AX173</f>
        <v>0</v>
      </c>
      <c r="AW173" s="33">
        <f>G173*AO173</f>
        <v>0</v>
      </c>
      <c r="AX173" s="33">
        <f>G173*AP173</f>
        <v>0</v>
      </c>
      <c r="AY173" s="34" t="s">
        <v>1722</v>
      </c>
      <c r="AZ173" s="34" t="s">
        <v>1745</v>
      </c>
      <c r="BA173" s="28" t="s">
        <v>1752</v>
      </c>
      <c r="BC173" s="33">
        <f>AW173+AX173</f>
        <v>0</v>
      </c>
      <c r="BD173" s="33">
        <f>H173/(100-BE173)*100</f>
        <v>0</v>
      </c>
      <c r="BE173" s="33">
        <v>0</v>
      </c>
      <c r="BF173" s="33">
        <f>173</f>
        <v>173</v>
      </c>
      <c r="BH173" s="16">
        <f>G173*AO173</f>
        <v>0</v>
      </c>
      <c r="BI173" s="16">
        <f>G173*AP173</f>
        <v>0</v>
      </c>
      <c r="BJ173" s="16">
        <f>G173*H173</f>
        <v>0</v>
      </c>
    </row>
    <row r="174" spans="1:62" x14ac:dyDescent="0.2">
      <c r="A174" s="5"/>
      <c r="B174" s="13" t="s">
        <v>685</v>
      </c>
      <c r="C174" s="136" t="s">
        <v>1247</v>
      </c>
      <c r="D174" s="137"/>
      <c r="E174" s="137"/>
      <c r="F174" s="5" t="s">
        <v>6</v>
      </c>
      <c r="G174" s="5" t="s">
        <v>6</v>
      </c>
      <c r="H174" s="163" t="s">
        <v>6</v>
      </c>
      <c r="I174" s="36">
        <f>SUM(I175:I183)</f>
        <v>0</v>
      </c>
      <c r="J174" s="36">
        <f>SUM(J175:J183)</f>
        <v>0</v>
      </c>
      <c r="K174" s="36">
        <f>SUM(K175:K183)</f>
        <v>0</v>
      </c>
      <c r="L174" s="28"/>
      <c r="AI174" s="28"/>
      <c r="AS174" s="36">
        <f>SUM(AJ175:AJ183)</f>
        <v>0</v>
      </c>
      <c r="AT174" s="36">
        <f>SUM(AK175:AK183)</f>
        <v>0</v>
      </c>
      <c r="AU174" s="36">
        <f>SUM(AL175:AL183)</f>
        <v>0</v>
      </c>
    </row>
    <row r="175" spans="1:62" x14ac:dyDescent="0.2">
      <c r="A175" s="4" t="s">
        <v>148</v>
      </c>
      <c r="B175" s="4" t="s">
        <v>686</v>
      </c>
      <c r="C175" s="131" t="s">
        <v>1248</v>
      </c>
      <c r="D175" s="132"/>
      <c r="E175" s="132"/>
      <c r="F175" s="4" t="s">
        <v>1663</v>
      </c>
      <c r="G175" s="68">
        <v>294.10000000000002</v>
      </c>
      <c r="H175" s="162">
        <v>0</v>
      </c>
      <c r="I175" s="16">
        <f>G175*AO175</f>
        <v>0</v>
      </c>
      <c r="J175" s="16">
        <f>G175*AP175</f>
        <v>0</v>
      </c>
      <c r="K175" s="16">
        <f>G175*H175</f>
        <v>0</v>
      </c>
      <c r="L175" s="27" t="s">
        <v>1692</v>
      </c>
      <c r="Z175" s="33">
        <f>IF(AQ175="5",BJ175,0)</f>
        <v>0</v>
      </c>
      <c r="AB175" s="33">
        <f>IF(AQ175="1",BH175,0)</f>
        <v>0</v>
      </c>
      <c r="AC175" s="33">
        <f>IF(AQ175="1",BI175,0)</f>
        <v>0</v>
      </c>
      <c r="AD175" s="33">
        <f>IF(AQ175="7",BH175,0)</f>
        <v>0</v>
      </c>
      <c r="AE175" s="33">
        <f>IF(AQ175="7",BI175,0)</f>
        <v>0</v>
      </c>
      <c r="AF175" s="33">
        <f>IF(AQ175="2",BH175,0)</f>
        <v>0</v>
      </c>
      <c r="AG175" s="33">
        <f>IF(AQ175="2",BI175,0)</f>
        <v>0</v>
      </c>
      <c r="AH175" s="33">
        <f>IF(AQ175="0",BJ175,0)</f>
        <v>0</v>
      </c>
      <c r="AI175" s="28"/>
      <c r="AJ175" s="16">
        <f>IF(AN175=0,K175,0)</f>
        <v>0</v>
      </c>
      <c r="AK175" s="16">
        <f>IF(AN175=15,K175,0)</f>
        <v>0</v>
      </c>
      <c r="AL175" s="16">
        <f>IF(AN175=21,K175,0)</f>
        <v>0</v>
      </c>
      <c r="AN175" s="33">
        <v>21</v>
      </c>
      <c r="AO175" s="33">
        <f>H175*0</f>
        <v>0</v>
      </c>
      <c r="AP175" s="33">
        <f>H175*(1-0)</f>
        <v>0</v>
      </c>
      <c r="AQ175" s="27" t="s">
        <v>13</v>
      </c>
      <c r="AV175" s="33">
        <f>AW175+AX175</f>
        <v>0</v>
      </c>
      <c r="AW175" s="33">
        <f>G175*AO175</f>
        <v>0</v>
      </c>
      <c r="AX175" s="33">
        <f>G175*AP175</f>
        <v>0</v>
      </c>
      <c r="AY175" s="34" t="s">
        <v>1723</v>
      </c>
      <c r="AZ175" s="34" t="s">
        <v>1746</v>
      </c>
      <c r="BA175" s="28" t="s">
        <v>1752</v>
      </c>
      <c r="BC175" s="33">
        <f>AW175+AX175</f>
        <v>0</v>
      </c>
      <c r="BD175" s="33">
        <f>H175/(100-BE175)*100</f>
        <v>0</v>
      </c>
      <c r="BE175" s="33">
        <v>0</v>
      </c>
      <c r="BF175" s="33">
        <f>175</f>
        <v>175</v>
      </c>
      <c r="BH175" s="16">
        <f>G175*AO175</f>
        <v>0</v>
      </c>
      <c r="BI175" s="16">
        <f>G175*AP175</f>
        <v>0</v>
      </c>
      <c r="BJ175" s="16">
        <f>G175*H175</f>
        <v>0</v>
      </c>
    </row>
    <row r="176" spans="1:62" x14ac:dyDescent="0.2">
      <c r="A176" s="4" t="s">
        <v>149</v>
      </c>
      <c r="B176" s="4" t="s">
        <v>687</v>
      </c>
      <c r="C176" s="131" t="s">
        <v>1249</v>
      </c>
      <c r="D176" s="132"/>
      <c r="E176" s="132"/>
      <c r="F176" s="4" t="s">
        <v>1663</v>
      </c>
      <c r="G176" s="68">
        <v>3263.4360000000001</v>
      </c>
      <c r="H176" s="162">
        <v>0</v>
      </c>
      <c r="I176" s="16">
        <f>G176*AO176</f>
        <v>0</v>
      </c>
      <c r="J176" s="16">
        <f>G176*AP176</f>
        <v>0</v>
      </c>
      <c r="K176" s="16">
        <f>G176*H176</f>
        <v>0</v>
      </c>
      <c r="L176" s="27" t="s">
        <v>1692</v>
      </c>
      <c r="Z176" s="33">
        <f>IF(AQ176="5",BJ176,0)</f>
        <v>0</v>
      </c>
      <c r="AB176" s="33">
        <f>IF(AQ176="1",BH176,0)</f>
        <v>0</v>
      </c>
      <c r="AC176" s="33">
        <f>IF(AQ176="1",BI176,0)</f>
        <v>0</v>
      </c>
      <c r="AD176" s="33">
        <f>IF(AQ176="7",BH176,0)</f>
        <v>0</v>
      </c>
      <c r="AE176" s="33">
        <f>IF(AQ176="7",BI176,0)</f>
        <v>0</v>
      </c>
      <c r="AF176" s="33">
        <f>IF(AQ176="2",BH176,0)</f>
        <v>0</v>
      </c>
      <c r="AG176" s="33">
        <f>IF(AQ176="2",BI176,0)</f>
        <v>0</v>
      </c>
      <c r="AH176" s="33">
        <f>IF(AQ176="0",BJ176,0)</f>
        <v>0</v>
      </c>
      <c r="AI176" s="28"/>
      <c r="AJ176" s="16">
        <f>IF(AN176=0,K176,0)</f>
        <v>0</v>
      </c>
      <c r="AK176" s="16">
        <f>IF(AN176=15,K176,0)</f>
        <v>0</v>
      </c>
      <c r="AL176" s="16">
        <f>IF(AN176=21,K176,0)</f>
        <v>0</v>
      </c>
      <c r="AN176" s="33">
        <v>21</v>
      </c>
      <c r="AO176" s="33">
        <f>H176*0</f>
        <v>0</v>
      </c>
      <c r="AP176" s="33">
        <f>H176*(1-0)</f>
        <v>0</v>
      </c>
      <c r="AQ176" s="27" t="s">
        <v>13</v>
      </c>
      <c r="AV176" s="33">
        <f>AW176+AX176</f>
        <v>0</v>
      </c>
      <c r="AW176" s="33">
        <f>G176*AO176</f>
        <v>0</v>
      </c>
      <c r="AX176" s="33">
        <f>G176*AP176</f>
        <v>0</v>
      </c>
      <c r="AY176" s="34" t="s">
        <v>1723</v>
      </c>
      <c r="AZ176" s="34" t="s">
        <v>1746</v>
      </c>
      <c r="BA176" s="28" t="s">
        <v>1752</v>
      </c>
      <c r="BC176" s="33">
        <f>AW176+AX176</f>
        <v>0</v>
      </c>
      <c r="BD176" s="33">
        <f>H176/(100-BE176)*100</f>
        <v>0</v>
      </c>
      <c r="BE176" s="33">
        <v>0</v>
      </c>
      <c r="BF176" s="33">
        <f>176</f>
        <v>176</v>
      </c>
      <c r="BH176" s="16">
        <f>G176*AO176</f>
        <v>0</v>
      </c>
      <c r="BI176" s="16">
        <f>G176*AP176</f>
        <v>0</v>
      </c>
      <c r="BJ176" s="16">
        <f>G176*H176</f>
        <v>0</v>
      </c>
    </row>
    <row r="177" spans="1:62" x14ac:dyDescent="0.2">
      <c r="A177" s="4" t="s">
        <v>150</v>
      </c>
      <c r="B177" s="4" t="s">
        <v>688</v>
      </c>
      <c r="C177" s="131" t="s">
        <v>1250</v>
      </c>
      <c r="D177" s="132"/>
      <c r="E177" s="132"/>
      <c r="F177" s="4" t="s">
        <v>1663</v>
      </c>
      <c r="G177" s="68">
        <v>5.46</v>
      </c>
      <c r="H177" s="162">
        <v>0</v>
      </c>
      <c r="I177" s="16">
        <f>G177*AO177</f>
        <v>0</v>
      </c>
      <c r="J177" s="16">
        <f>G177*AP177</f>
        <v>0</v>
      </c>
      <c r="K177" s="16">
        <f>G177*H177</f>
        <v>0</v>
      </c>
      <c r="L177" s="27" t="s">
        <v>1692</v>
      </c>
      <c r="Z177" s="33">
        <f>IF(AQ177="5",BJ177,0)</f>
        <v>0</v>
      </c>
      <c r="AB177" s="33">
        <f>IF(AQ177="1",BH177,0)</f>
        <v>0</v>
      </c>
      <c r="AC177" s="33">
        <f>IF(AQ177="1",BI177,0)</f>
        <v>0</v>
      </c>
      <c r="AD177" s="33">
        <f>IF(AQ177="7",BH177,0)</f>
        <v>0</v>
      </c>
      <c r="AE177" s="33">
        <f>IF(AQ177="7",BI177,0)</f>
        <v>0</v>
      </c>
      <c r="AF177" s="33">
        <f>IF(AQ177="2",BH177,0)</f>
        <v>0</v>
      </c>
      <c r="AG177" s="33">
        <f>IF(AQ177="2",BI177,0)</f>
        <v>0</v>
      </c>
      <c r="AH177" s="33">
        <f>IF(AQ177="0",BJ177,0)</f>
        <v>0</v>
      </c>
      <c r="AI177" s="28"/>
      <c r="AJ177" s="16">
        <f>IF(AN177=0,K177,0)</f>
        <v>0</v>
      </c>
      <c r="AK177" s="16">
        <f>IF(AN177=15,K177,0)</f>
        <v>0</v>
      </c>
      <c r="AL177" s="16">
        <f>IF(AN177=21,K177,0)</f>
        <v>0</v>
      </c>
      <c r="AN177" s="33">
        <v>21</v>
      </c>
      <c r="AO177" s="33">
        <f>H177*0.445057803468208</f>
        <v>0</v>
      </c>
      <c r="AP177" s="33">
        <f>H177*(1-0.445057803468208)</f>
        <v>0</v>
      </c>
      <c r="AQ177" s="27" t="s">
        <v>13</v>
      </c>
      <c r="AV177" s="33">
        <f>AW177+AX177</f>
        <v>0</v>
      </c>
      <c r="AW177" s="33">
        <f>G177*AO177</f>
        <v>0</v>
      </c>
      <c r="AX177" s="33">
        <f>G177*AP177</f>
        <v>0</v>
      </c>
      <c r="AY177" s="34" t="s">
        <v>1723</v>
      </c>
      <c r="AZ177" s="34" t="s">
        <v>1746</v>
      </c>
      <c r="BA177" s="28" t="s">
        <v>1752</v>
      </c>
      <c r="BC177" s="33">
        <f>AW177+AX177</f>
        <v>0</v>
      </c>
      <c r="BD177" s="33">
        <f>H177/(100-BE177)*100</f>
        <v>0</v>
      </c>
      <c r="BE177" s="33">
        <v>0</v>
      </c>
      <c r="BF177" s="33">
        <f>177</f>
        <v>177</v>
      </c>
      <c r="BH177" s="16">
        <f>G177*AO177</f>
        <v>0</v>
      </c>
      <c r="BI177" s="16">
        <f>G177*AP177</f>
        <v>0</v>
      </c>
      <c r="BJ177" s="16">
        <f>G177*H177</f>
        <v>0</v>
      </c>
    </row>
    <row r="178" spans="1:62" x14ac:dyDescent="0.2">
      <c r="A178" s="4" t="s">
        <v>151</v>
      </c>
      <c r="B178" s="4" t="s">
        <v>689</v>
      </c>
      <c r="C178" s="131" t="s">
        <v>1251</v>
      </c>
      <c r="D178" s="132"/>
      <c r="E178" s="132"/>
      <c r="F178" s="4" t="s">
        <v>1663</v>
      </c>
      <c r="G178" s="68">
        <v>170.25</v>
      </c>
      <c r="H178" s="162">
        <v>0</v>
      </c>
      <c r="I178" s="16">
        <f>G178*AO178</f>
        <v>0</v>
      </c>
      <c r="J178" s="16">
        <f>G178*AP178</f>
        <v>0</v>
      </c>
      <c r="K178" s="16">
        <f>G178*H178</f>
        <v>0</v>
      </c>
      <c r="L178" s="27" t="s">
        <v>1692</v>
      </c>
      <c r="Z178" s="33">
        <f>IF(AQ178="5",BJ178,0)</f>
        <v>0</v>
      </c>
      <c r="AB178" s="33">
        <f>IF(AQ178="1",BH178,0)</f>
        <v>0</v>
      </c>
      <c r="AC178" s="33">
        <f>IF(AQ178="1",BI178,0)</f>
        <v>0</v>
      </c>
      <c r="AD178" s="33">
        <f>IF(AQ178="7",BH178,0)</f>
        <v>0</v>
      </c>
      <c r="AE178" s="33">
        <f>IF(AQ178="7",BI178,0)</f>
        <v>0</v>
      </c>
      <c r="AF178" s="33">
        <f>IF(AQ178="2",BH178,0)</f>
        <v>0</v>
      </c>
      <c r="AG178" s="33">
        <f>IF(AQ178="2",BI178,0)</f>
        <v>0</v>
      </c>
      <c r="AH178" s="33">
        <f>IF(AQ178="0",BJ178,0)</f>
        <v>0</v>
      </c>
      <c r="AI178" s="28"/>
      <c r="AJ178" s="16">
        <f>IF(AN178=0,K178,0)</f>
        <v>0</v>
      </c>
      <c r="AK178" s="16">
        <f>IF(AN178=15,K178,0)</f>
        <v>0</v>
      </c>
      <c r="AL178" s="16">
        <f>IF(AN178=21,K178,0)</f>
        <v>0</v>
      </c>
      <c r="AN178" s="33">
        <v>21</v>
      </c>
      <c r="AO178" s="33">
        <f>H178*0.458039457459926</f>
        <v>0</v>
      </c>
      <c r="AP178" s="33">
        <f>H178*(1-0.458039457459926)</f>
        <v>0</v>
      </c>
      <c r="AQ178" s="27" t="s">
        <v>13</v>
      </c>
      <c r="AV178" s="33">
        <f>AW178+AX178</f>
        <v>0</v>
      </c>
      <c r="AW178" s="33">
        <f>G178*AO178</f>
        <v>0</v>
      </c>
      <c r="AX178" s="33">
        <f>G178*AP178</f>
        <v>0</v>
      </c>
      <c r="AY178" s="34" t="s">
        <v>1723</v>
      </c>
      <c r="AZ178" s="34" t="s">
        <v>1746</v>
      </c>
      <c r="BA178" s="28" t="s">
        <v>1752</v>
      </c>
      <c r="BC178" s="33">
        <f>AW178+AX178</f>
        <v>0</v>
      </c>
      <c r="BD178" s="33">
        <f>H178/(100-BE178)*100</f>
        <v>0</v>
      </c>
      <c r="BE178" s="33">
        <v>0</v>
      </c>
      <c r="BF178" s="33">
        <f>178</f>
        <v>178</v>
      </c>
      <c r="BH178" s="16">
        <f>G178*AO178</f>
        <v>0</v>
      </c>
      <c r="BI178" s="16">
        <f>G178*AP178</f>
        <v>0</v>
      </c>
      <c r="BJ178" s="16">
        <f>G178*H178</f>
        <v>0</v>
      </c>
    </row>
    <row r="179" spans="1:62" x14ac:dyDescent="0.2">
      <c r="C179" s="140" t="s">
        <v>1252</v>
      </c>
      <c r="D179" s="141"/>
      <c r="E179" s="141"/>
      <c r="H179" s="164"/>
    </row>
    <row r="180" spans="1:62" x14ac:dyDescent="0.2">
      <c r="A180" s="4" t="s">
        <v>152</v>
      </c>
      <c r="B180" s="4" t="s">
        <v>690</v>
      </c>
      <c r="C180" s="131" t="s">
        <v>1253</v>
      </c>
      <c r="D180" s="132"/>
      <c r="E180" s="132"/>
      <c r="F180" s="4" t="s">
        <v>1670</v>
      </c>
      <c r="G180" s="68">
        <v>1</v>
      </c>
      <c r="H180" s="162">
        <v>0</v>
      </c>
      <c r="I180" s="16">
        <f>G180*AO180</f>
        <v>0</v>
      </c>
      <c r="J180" s="16">
        <f>G180*AP180</f>
        <v>0</v>
      </c>
      <c r="K180" s="16">
        <f>G180*H180</f>
        <v>0</v>
      </c>
      <c r="L180" s="27" t="s">
        <v>1692</v>
      </c>
      <c r="Z180" s="33">
        <f>IF(AQ180="5",BJ180,0)</f>
        <v>0</v>
      </c>
      <c r="AB180" s="33">
        <f>IF(AQ180="1",BH180,0)</f>
        <v>0</v>
      </c>
      <c r="AC180" s="33">
        <f>IF(AQ180="1",BI180,0)</f>
        <v>0</v>
      </c>
      <c r="AD180" s="33">
        <f>IF(AQ180="7",BH180,0)</f>
        <v>0</v>
      </c>
      <c r="AE180" s="33">
        <f>IF(AQ180="7",BI180,0)</f>
        <v>0</v>
      </c>
      <c r="AF180" s="33">
        <f>IF(AQ180="2",BH180,0)</f>
        <v>0</v>
      </c>
      <c r="AG180" s="33">
        <f>IF(AQ180="2",BI180,0)</f>
        <v>0</v>
      </c>
      <c r="AH180" s="33">
        <f>IF(AQ180="0",BJ180,0)</f>
        <v>0</v>
      </c>
      <c r="AI180" s="28"/>
      <c r="AJ180" s="16">
        <f>IF(AN180=0,K180,0)</f>
        <v>0</v>
      </c>
      <c r="AK180" s="16">
        <f>IF(AN180=15,K180,0)</f>
        <v>0</v>
      </c>
      <c r="AL180" s="16">
        <f>IF(AN180=21,K180,0)</f>
        <v>0</v>
      </c>
      <c r="AN180" s="33">
        <v>21</v>
      </c>
      <c r="AO180" s="33">
        <f>H180*0.458038</f>
        <v>0</v>
      </c>
      <c r="AP180" s="33">
        <f>H180*(1-0.458038)</f>
        <v>0</v>
      </c>
      <c r="AQ180" s="27" t="s">
        <v>13</v>
      </c>
      <c r="AV180" s="33">
        <f>AW180+AX180</f>
        <v>0</v>
      </c>
      <c r="AW180" s="33">
        <f>G180*AO180</f>
        <v>0</v>
      </c>
      <c r="AX180" s="33">
        <f>G180*AP180</f>
        <v>0</v>
      </c>
      <c r="AY180" s="34" t="s">
        <v>1723</v>
      </c>
      <c r="AZ180" s="34" t="s">
        <v>1746</v>
      </c>
      <c r="BA180" s="28" t="s">
        <v>1752</v>
      </c>
      <c r="BC180" s="33">
        <f>AW180+AX180</f>
        <v>0</v>
      </c>
      <c r="BD180" s="33">
        <f>H180/(100-BE180)*100</f>
        <v>0</v>
      </c>
      <c r="BE180" s="33">
        <v>0</v>
      </c>
      <c r="BF180" s="33">
        <f>180</f>
        <v>180</v>
      </c>
      <c r="BH180" s="16">
        <f>G180*AO180</f>
        <v>0</v>
      </c>
      <c r="BI180" s="16">
        <f>G180*AP180</f>
        <v>0</v>
      </c>
      <c r="BJ180" s="16">
        <f>G180*H180</f>
        <v>0</v>
      </c>
    </row>
    <row r="181" spans="1:62" x14ac:dyDescent="0.2">
      <c r="A181" s="4" t="s">
        <v>153</v>
      </c>
      <c r="B181" s="4" t="s">
        <v>691</v>
      </c>
      <c r="C181" s="131" t="s">
        <v>1254</v>
      </c>
      <c r="D181" s="132"/>
      <c r="E181" s="132"/>
      <c r="F181" s="4" t="s">
        <v>1663</v>
      </c>
      <c r="G181" s="68">
        <v>5.46</v>
      </c>
      <c r="H181" s="162">
        <v>0</v>
      </c>
      <c r="I181" s="16">
        <f>G181*AO181</f>
        <v>0</v>
      </c>
      <c r="J181" s="16">
        <f>G181*AP181</f>
        <v>0</v>
      </c>
      <c r="K181" s="16">
        <f>G181*H181</f>
        <v>0</v>
      </c>
      <c r="L181" s="27" t="s">
        <v>1692</v>
      </c>
      <c r="Z181" s="33">
        <f>IF(AQ181="5",BJ181,0)</f>
        <v>0</v>
      </c>
      <c r="AB181" s="33">
        <f>IF(AQ181="1",BH181,0)</f>
        <v>0</v>
      </c>
      <c r="AC181" s="33">
        <f>IF(AQ181="1",BI181,0)</f>
        <v>0</v>
      </c>
      <c r="AD181" s="33">
        <f>IF(AQ181="7",BH181,0)</f>
        <v>0</v>
      </c>
      <c r="AE181" s="33">
        <f>IF(AQ181="7",BI181,0)</f>
        <v>0</v>
      </c>
      <c r="AF181" s="33">
        <f>IF(AQ181="2",BH181,0)</f>
        <v>0</v>
      </c>
      <c r="AG181" s="33">
        <f>IF(AQ181="2",BI181,0)</f>
        <v>0</v>
      </c>
      <c r="AH181" s="33">
        <f>IF(AQ181="0",BJ181,0)</f>
        <v>0</v>
      </c>
      <c r="AI181" s="28"/>
      <c r="AJ181" s="16">
        <f>IF(AN181=0,K181,0)</f>
        <v>0</v>
      </c>
      <c r="AK181" s="16">
        <f>IF(AN181=15,K181,0)</f>
        <v>0</v>
      </c>
      <c r="AL181" s="16">
        <f>IF(AN181=21,K181,0)</f>
        <v>0</v>
      </c>
      <c r="AN181" s="33">
        <v>21</v>
      </c>
      <c r="AO181" s="33">
        <f>H181*0.361866666666667</f>
        <v>0</v>
      </c>
      <c r="AP181" s="33">
        <f>H181*(1-0.361866666666667)</f>
        <v>0</v>
      </c>
      <c r="AQ181" s="27" t="s">
        <v>13</v>
      </c>
      <c r="AV181" s="33">
        <f>AW181+AX181</f>
        <v>0</v>
      </c>
      <c r="AW181" s="33">
        <f>G181*AO181</f>
        <v>0</v>
      </c>
      <c r="AX181" s="33">
        <f>G181*AP181</f>
        <v>0</v>
      </c>
      <c r="AY181" s="34" t="s">
        <v>1723</v>
      </c>
      <c r="AZ181" s="34" t="s">
        <v>1746</v>
      </c>
      <c r="BA181" s="28" t="s">
        <v>1752</v>
      </c>
      <c r="BC181" s="33">
        <f>AW181+AX181</f>
        <v>0</v>
      </c>
      <c r="BD181" s="33">
        <f>H181/(100-BE181)*100</f>
        <v>0</v>
      </c>
      <c r="BE181" s="33">
        <v>0</v>
      </c>
      <c r="BF181" s="33">
        <f>181</f>
        <v>181</v>
      </c>
      <c r="BH181" s="16">
        <f>G181*AO181</f>
        <v>0</v>
      </c>
      <c r="BI181" s="16">
        <f>G181*AP181</f>
        <v>0</v>
      </c>
      <c r="BJ181" s="16">
        <f>G181*H181</f>
        <v>0</v>
      </c>
    </row>
    <row r="182" spans="1:62" x14ac:dyDescent="0.2">
      <c r="A182" s="4" t="s">
        <v>154</v>
      </c>
      <c r="B182" s="4" t="s">
        <v>691</v>
      </c>
      <c r="C182" s="131" t="s">
        <v>1255</v>
      </c>
      <c r="D182" s="132"/>
      <c r="E182" s="132"/>
      <c r="F182" s="4" t="s">
        <v>1663</v>
      </c>
      <c r="G182" s="68">
        <v>170.25</v>
      </c>
      <c r="H182" s="162">
        <v>0</v>
      </c>
      <c r="I182" s="16">
        <f>G182*AO182</f>
        <v>0</v>
      </c>
      <c r="J182" s="16">
        <f>G182*AP182</f>
        <v>0</v>
      </c>
      <c r="K182" s="16">
        <f>G182*H182</f>
        <v>0</v>
      </c>
      <c r="L182" s="27" t="s">
        <v>1692</v>
      </c>
      <c r="Z182" s="33">
        <f>IF(AQ182="5",BJ182,0)</f>
        <v>0</v>
      </c>
      <c r="AB182" s="33">
        <f>IF(AQ182="1",BH182,0)</f>
        <v>0</v>
      </c>
      <c r="AC182" s="33">
        <f>IF(AQ182="1",BI182,0)</f>
        <v>0</v>
      </c>
      <c r="AD182" s="33">
        <f>IF(AQ182="7",BH182,0)</f>
        <v>0</v>
      </c>
      <c r="AE182" s="33">
        <f>IF(AQ182="7",BI182,0)</f>
        <v>0</v>
      </c>
      <c r="AF182" s="33">
        <f>IF(AQ182="2",BH182,0)</f>
        <v>0</v>
      </c>
      <c r="AG182" s="33">
        <f>IF(AQ182="2",BI182,0)</f>
        <v>0</v>
      </c>
      <c r="AH182" s="33">
        <f>IF(AQ182="0",BJ182,0)</f>
        <v>0</v>
      </c>
      <c r="AI182" s="28"/>
      <c r="AJ182" s="16">
        <f>IF(AN182=0,K182,0)</f>
        <v>0</v>
      </c>
      <c r="AK182" s="16">
        <f>IF(AN182=15,K182,0)</f>
        <v>0</v>
      </c>
      <c r="AL182" s="16">
        <f>IF(AN182=21,K182,0)</f>
        <v>0</v>
      </c>
      <c r="AN182" s="33">
        <v>21</v>
      </c>
      <c r="AO182" s="33">
        <f>H182*0.361866666666667</f>
        <v>0</v>
      </c>
      <c r="AP182" s="33">
        <f>H182*(1-0.361866666666667)</f>
        <v>0</v>
      </c>
      <c r="AQ182" s="27" t="s">
        <v>13</v>
      </c>
      <c r="AV182" s="33">
        <f>AW182+AX182</f>
        <v>0</v>
      </c>
      <c r="AW182" s="33">
        <f>G182*AO182</f>
        <v>0</v>
      </c>
      <c r="AX182" s="33">
        <f>G182*AP182</f>
        <v>0</v>
      </c>
      <c r="AY182" s="34" t="s">
        <v>1723</v>
      </c>
      <c r="AZ182" s="34" t="s">
        <v>1746</v>
      </c>
      <c r="BA182" s="28" t="s">
        <v>1752</v>
      </c>
      <c r="BC182" s="33">
        <f>AW182+AX182</f>
        <v>0</v>
      </c>
      <c r="BD182" s="33">
        <f>H182/(100-BE182)*100</f>
        <v>0</v>
      </c>
      <c r="BE182" s="33">
        <v>0</v>
      </c>
      <c r="BF182" s="33">
        <f>182</f>
        <v>182</v>
      </c>
      <c r="BH182" s="16">
        <f>G182*AO182</f>
        <v>0</v>
      </c>
      <c r="BI182" s="16">
        <f>G182*AP182</f>
        <v>0</v>
      </c>
      <c r="BJ182" s="16">
        <f>G182*H182</f>
        <v>0</v>
      </c>
    </row>
    <row r="183" spans="1:62" x14ac:dyDescent="0.2">
      <c r="A183" s="4" t="s">
        <v>155</v>
      </c>
      <c r="B183" s="4" t="s">
        <v>692</v>
      </c>
      <c r="C183" s="131" t="s">
        <v>1256</v>
      </c>
      <c r="D183" s="132"/>
      <c r="E183" s="132"/>
      <c r="F183" s="4" t="s">
        <v>1664</v>
      </c>
      <c r="G183" s="68">
        <v>21.79</v>
      </c>
      <c r="H183" s="162">
        <v>0</v>
      </c>
      <c r="I183" s="16">
        <f>G183*AO183</f>
        <v>0</v>
      </c>
      <c r="J183" s="16">
        <f>G183*AP183</f>
        <v>0</v>
      </c>
      <c r="K183" s="16">
        <f>G183*H183</f>
        <v>0</v>
      </c>
      <c r="L183" s="27" t="s">
        <v>1692</v>
      </c>
      <c r="Z183" s="33">
        <f>IF(AQ183="5",BJ183,0)</f>
        <v>0</v>
      </c>
      <c r="AB183" s="33">
        <f>IF(AQ183="1",BH183,0)</f>
        <v>0</v>
      </c>
      <c r="AC183" s="33">
        <f>IF(AQ183="1",BI183,0)</f>
        <v>0</v>
      </c>
      <c r="AD183" s="33">
        <f>IF(AQ183="7",BH183,0)</f>
        <v>0</v>
      </c>
      <c r="AE183" s="33">
        <f>IF(AQ183="7",BI183,0)</f>
        <v>0</v>
      </c>
      <c r="AF183" s="33">
        <f>IF(AQ183="2",BH183,0)</f>
        <v>0</v>
      </c>
      <c r="AG183" s="33">
        <f>IF(AQ183="2",BI183,0)</f>
        <v>0</v>
      </c>
      <c r="AH183" s="33">
        <f>IF(AQ183="0",BJ183,0)</f>
        <v>0</v>
      </c>
      <c r="AI183" s="28"/>
      <c r="AJ183" s="16">
        <f>IF(AN183=0,K183,0)</f>
        <v>0</v>
      </c>
      <c r="AK183" s="16">
        <f>IF(AN183=15,K183,0)</f>
        <v>0</v>
      </c>
      <c r="AL183" s="16">
        <f>IF(AN183=21,K183,0)</f>
        <v>0</v>
      </c>
      <c r="AN183" s="33">
        <v>21</v>
      </c>
      <c r="AO183" s="33">
        <f>H183*0</f>
        <v>0</v>
      </c>
      <c r="AP183" s="33">
        <f>H183*(1-0)</f>
        <v>0</v>
      </c>
      <c r="AQ183" s="27" t="s">
        <v>11</v>
      </c>
      <c r="AV183" s="33">
        <f>AW183+AX183</f>
        <v>0</v>
      </c>
      <c r="AW183" s="33">
        <f>G183*AO183</f>
        <v>0</v>
      </c>
      <c r="AX183" s="33">
        <f>G183*AP183</f>
        <v>0</v>
      </c>
      <c r="AY183" s="34" t="s">
        <v>1723</v>
      </c>
      <c r="AZ183" s="34" t="s">
        <v>1746</v>
      </c>
      <c r="BA183" s="28" t="s">
        <v>1752</v>
      </c>
      <c r="BC183" s="33">
        <f>AW183+AX183</f>
        <v>0</v>
      </c>
      <c r="BD183" s="33">
        <f>H183/(100-BE183)*100</f>
        <v>0</v>
      </c>
      <c r="BE183" s="33">
        <v>0</v>
      </c>
      <c r="BF183" s="33">
        <f>183</f>
        <v>183</v>
      </c>
      <c r="BH183" s="16">
        <f>G183*AO183</f>
        <v>0</v>
      </c>
      <c r="BI183" s="16">
        <f>G183*AP183</f>
        <v>0</v>
      </c>
      <c r="BJ183" s="16">
        <f>G183*H183</f>
        <v>0</v>
      </c>
    </row>
    <row r="184" spans="1:62" x14ac:dyDescent="0.2">
      <c r="A184" s="5"/>
      <c r="B184" s="13" t="s">
        <v>693</v>
      </c>
      <c r="C184" s="136" t="s">
        <v>1257</v>
      </c>
      <c r="D184" s="137"/>
      <c r="E184" s="137"/>
      <c r="F184" s="5" t="s">
        <v>6</v>
      </c>
      <c r="G184" s="5" t="s">
        <v>6</v>
      </c>
      <c r="H184" s="163" t="s">
        <v>6</v>
      </c>
      <c r="I184" s="36">
        <f>SUM(I185:I206)</f>
        <v>0</v>
      </c>
      <c r="J184" s="36">
        <f>SUM(J185:J206)</f>
        <v>0</v>
      </c>
      <c r="K184" s="36">
        <f>SUM(K185:K206)</f>
        <v>0</v>
      </c>
      <c r="L184" s="28"/>
      <c r="AI184" s="28"/>
      <c r="AS184" s="36">
        <f>SUM(AJ185:AJ206)</f>
        <v>0</v>
      </c>
      <c r="AT184" s="36">
        <f>SUM(AK185:AK206)</f>
        <v>0</v>
      </c>
      <c r="AU184" s="36">
        <f>SUM(AL185:AL206)</f>
        <v>0</v>
      </c>
    </row>
    <row r="185" spans="1:62" x14ac:dyDescent="0.2">
      <c r="A185" s="4" t="s">
        <v>156</v>
      </c>
      <c r="B185" s="4" t="s">
        <v>694</v>
      </c>
      <c r="C185" s="131" t="s">
        <v>1258</v>
      </c>
      <c r="D185" s="132"/>
      <c r="E185" s="132"/>
      <c r="F185" s="4" t="s">
        <v>1663</v>
      </c>
      <c r="G185" s="68">
        <v>1450.9079999999999</v>
      </c>
      <c r="H185" s="162">
        <v>0</v>
      </c>
      <c r="I185" s="16">
        <f t="shared" ref="I185:I206" si="178">G185*AO185</f>
        <v>0</v>
      </c>
      <c r="J185" s="16">
        <f t="shared" ref="J185:J206" si="179">G185*AP185</f>
        <v>0</v>
      </c>
      <c r="K185" s="16">
        <f t="shared" ref="K185:K206" si="180">G185*H185</f>
        <v>0</v>
      </c>
      <c r="L185" s="27" t="s">
        <v>1692</v>
      </c>
      <c r="Z185" s="33">
        <f t="shared" ref="Z185:Z206" si="181">IF(AQ185="5",BJ185,0)</f>
        <v>0</v>
      </c>
      <c r="AB185" s="33">
        <f t="shared" ref="AB185:AB206" si="182">IF(AQ185="1",BH185,0)</f>
        <v>0</v>
      </c>
      <c r="AC185" s="33">
        <f t="shared" ref="AC185:AC206" si="183">IF(AQ185="1",BI185,0)</f>
        <v>0</v>
      </c>
      <c r="AD185" s="33">
        <f t="shared" ref="AD185:AD206" si="184">IF(AQ185="7",BH185,0)</f>
        <v>0</v>
      </c>
      <c r="AE185" s="33">
        <f t="shared" ref="AE185:AE206" si="185">IF(AQ185="7",BI185,0)</f>
        <v>0</v>
      </c>
      <c r="AF185" s="33">
        <f t="shared" ref="AF185:AF206" si="186">IF(AQ185="2",BH185,0)</f>
        <v>0</v>
      </c>
      <c r="AG185" s="33">
        <f t="shared" ref="AG185:AG206" si="187">IF(AQ185="2",BI185,0)</f>
        <v>0</v>
      </c>
      <c r="AH185" s="33">
        <f t="shared" ref="AH185:AH206" si="188">IF(AQ185="0",BJ185,0)</f>
        <v>0</v>
      </c>
      <c r="AI185" s="28"/>
      <c r="AJ185" s="16">
        <f t="shared" ref="AJ185:AJ206" si="189">IF(AN185=0,K185,0)</f>
        <v>0</v>
      </c>
      <c r="AK185" s="16">
        <f t="shared" ref="AK185:AK206" si="190">IF(AN185=15,K185,0)</f>
        <v>0</v>
      </c>
      <c r="AL185" s="16">
        <f t="shared" ref="AL185:AL206" si="191">IF(AN185=21,K185,0)</f>
        <v>0</v>
      </c>
      <c r="AN185" s="33">
        <v>21</v>
      </c>
      <c r="AO185" s="33">
        <f>H185*0</f>
        <v>0</v>
      </c>
      <c r="AP185" s="33">
        <f>H185*(1-0)</f>
        <v>0</v>
      </c>
      <c r="AQ185" s="27" t="s">
        <v>13</v>
      </c>
      <c r="AV185" s="33">
        <f t="shared" ref="AV185:AV206" si="192">AW185+AX185</f>
        <v>0</v>
      </c>
      <c r="AW185" s="33">
        <f t="shared" ref="AW185:AW206" si="193">G185*AO185</f>
        <v>0</v>
      </c>
      <c r="AX185" s="33">
        <f t="shared" ref="AX185:AX206" si="194">G185*AP185</f>
        <v>0</v>
      </c>
      <c r="AY185" s="34" t="s">
        <v>1724</v>
      </c>
      <c r="AZ185" s="34" t="s">
        <v>1746</v>
      </c>
      <c r="BA185" s="28" t="s">
        <v>1752</v>
      </c>
      <c r="BC185" s="33">
        <f t="shared" ref="BC185:BC206" si="195">AW185+AX185</f>
        <v>0</v>
      </c>
      <c r="BD185" s="33">
        <f t="shared" ref="BD185:BD206" si="196">H185/(100-BE185)*100</f>
        <v>0</v>
      </c>
      <c r="BE185" s="33">
        <v>0</v>
      </c>
      <c r="BF185" s="33">
        <f>185</f>
        <v>185</v>
      </c>
      <c r="BH185" s="16">
        <f t="shared" ref="BH185:BH206" si="197">G185*AO185</f>
        <v>0</v>
      </c>
      <c r="BI185" s="16">
        <f t="shared" ref="BI185:BI206" si="198">G185*AP185</f>
        <v>0</v>
      </c>
      <c r="BJ185" s="16">
        <f t="shared" ref="BJ185:BJ206" si="199">G185*H185</f>
        <v>0</v>
      </c>
    </row>
    <row r="186" spans="1:62" x14ac:dyDescent="0.2">
      <c r="A186" s="4" t="s">
        <v>157</v>
      </c>
      <c r="B186" s="4" t="s">
        <v>695</v>
      </c>
      <c r="C186" s="131" t="s">
        <v>1259</v>
      </c>
      <c r="D186" s="132"/>
      <c r="E186" s="132"/>
      <c r="F186" s="4" t="s">
        <v>1663</v>
      </c>
      <c r="G186" s="68">
        <v>222.876</v>
      </c>
      <c r="H186" s="162">
        <v>0</v>
      </c>
      <c r="I186" s="16">
        <f t="shared" si="178"/>
        <v>0</v>
      </c>
      <c r="J186" s="16">
        <f t="shared" si="179"/>
        <v>0</v>
      </c>
      <c r="K186" s="16">
        <f t="shared" si="180"/>
        <v>0</v>
      </c>
      <c r="L186" s="27" t="s">
        <v>1692</v>
      </c>
      <c r="Z186" s="33">
        <f t="shared" si="181"/>
        <v>0</v>
      </c>
      <c r="AB186" s="33">
        <f t="shared" si="182"/>
        <v>0</v>
      </c>
      <c r="AC186" s="33">
        <f t="shared" si="183"/>
        <v>0</v>
      </c>
      <c r="AD186" s="33">
        <f t="shared" si="184"/>
        <v>0</v>
      </c>
      <c r="AE186" s="33">
        <f t="shared" si="185"/>
        <v>0</v>
      </c>
      <c r="AF186" s="33">
        <f t="shared" si="186"/>
        <v>0</v>
      </c>
      <c r="AG186" s="33">
        <f t="shared" si="187"/>
        <v>0</v>
      </c>
      <c r="AH186" s="33">
        <f t="shared" si="188"/>
        <v>0</v>
      </c>
      <c r="AI186" s="28"/>
      <c r="AJ186" s="16">
        <f t="shared" si="189"/>
        <v>0</v>
      </c>
      <c r="AK186" s="16">
        <f t="shared" si="190"/>
        <v>0</v>
      </c>
      <c r="AL186" s="16">
        <f t="shared" si="191"/>
        <v>0</v>
      </c>
      <c r="AN186" s="33">
        <v>21</v>
      </c>
      <c r="AO186" s="33">
        <f>H186*0</f>
        <v>0</v>
      </c>
      <c r="AP186" s="33">
        <f>H186*(1-0)</f>
        <v>0</v>
      </c>
      <c r="AQ186" s="27" t="s">
        <v>13</v>
      </c>
      <c r="AV186" s="33">
        <f t="shared" si="192"/>
        <v>0</v>
      </c>
      <c r="AW186" s="33">
        <f t="shared" si="193"/>
        <v>0</v>
      </c>
      <c r="AX186" s="33">
        <f t="shared" si="194"/>
        <v>0</v>
      </c>
      <c r="AY186" s="34" t="s">
        <v>1724</v>
      </c>
      <c r="AZ186" s="34" t="s">
        <v>1746</v>
      </c>
      <c r="BA186" s="28" t="s">
        <v>1752</v>
      </c>
      <c r="BC186" s="33">
        <f t="shared" si="195"/>
        <v>0</v>
      </c>
      <c r="BD186" s="33">
        <f t="shared" si="196"/>
        <v>0</v>
      </c>
      <c r="BE186" s="33">
        <v>0</v>
      </c>
      <c r="BF186" s="33">
        <f>186</f>
        <v>186</v>
      </c>
      <c r="BH186" s="16">
        <f t="shared" si="197"/>
        <v>0</v>
      </c>
      <c r="BI186" s="16">
        <f t="shared" si="198"/>
        <v>0</v>
      </c>
      <c r="BJ186" s="16">
        <f t="shared" si="199"/>
        <v>0</v>
      </c>
    </row>
    <row r="187" spans="1:62" x14ac:dyDescent="0.2">
      <c r="A187" s="4" t="s">
        <v>158</v>
      </c>
      <c r="B187" s="4" t="s">
        <v>696</v>
      </c>
      <c r="C187" s="131" t="s">
        <v>1260</v>
      </c>
      <c r="D187" s="132"/>
      <c r="E187" s="132"/>
      <c r="F187" s="4" t="s">
        <v>1663</v>
      </c>
      <c r="G187" s="68">
        <v>4.0890000000000004</v>
      </c>
      <c r="H187" s="162">
        <v>0</v>
      </c>
      <c r="I187" s="16">
        <f t="shared" si="178"/>
        <v>0</v>
      </c>
      <c r="J187" s="16">
        <f t="shared" si="179"/>
        <v>0</v>
      </c>
      <c r="K187" s="16">
        <f t="shared" si="180"/>
        <v>0</v>
      </c>
      <c r="L187" s="27" t="s">
        <v>1692</v>
      </c>
      <c r="Z187" s="33">
        <f t="shared" si="181"/>
        <v>0</v>
      </c>
      <c r="AB187" s="33">
        <f t="shared" si="182"/>
        <v>0</v>
      </c>
      <c r="AC187" s="33">
        <f t="shared" si="183"/>
        <v>0</v>
      </c>
      <c r="AD187" s="33">
        <f t="shared" si="184"/>
        <v>0</v>
      </c>
      <c r="AE187" s="33">
        <f t="shared" si="185"/>
        <v>0</v>
      </c>
      <c r="AF187" s="33">
        <f t="shared" si="186"/>
        <v>0</v>
      </c>
      <c r="AG187" s="33">
        <f t="shared" si="187"/>
        <v>0</v>
      </c>
      <c r="AH187" s="33">
        <f t="shared" si="188"/>
        <v>0</v>
      </c>
      <c r="AI187" s="28"/>
      <c r="AJ187" s="16">
        <f t="shared" si="189"/>
        <v>0</v>
      </c>
      <c r="AK187" s="16">
        <f t="shared" si="190"/>
        <v>0</v>
      </c>
      <c r="AL187" s="16">
        <f t="shared" si="191"/>
        <v>0</v>
      </c>
      <c r="AN187" s="33">
        <v>21</v>
      </c>
      <c r="AO187" s="33">
        <f>H187*0</f>
        <v>0</v>
      </c>
      <c r="AP187" s="33">
        <f>H187*(1-0)</f>
        <v>0</v>
      </c>
      <c r="AQ187" s="27" t="s">
        <v>13</v>
      </c>
      <c r="AV187" s="33">
        <f t="shared" si="192"/>
        <v>0</v>
      </c>
      <c r="AW187" s="33">
        <f t="shared" si="193"/>
        <v>0</v>
      </c>
      <c r="AX187" s="33">
        <f t="shared" si="194"/>
        <v>0</v>
      </c>
      <c r="AY187" s="34" t="s">
        <v>1724</v>
      </c>
      <c r="AZ187" s="34" t="s">
        <v>1746</v>
      </c>
      <c r="BA187" s="28" t="s">
        <v>1752</v>
      </c>
      <c r="BC187" s="33">
        <f t="shared" si="195"/>
        <v>0</v>
      </c>
      <c r="BD187" s="33">
        <f t="shared" si="196"/>
        <v>0</v>
      </c>
      <c r="BE187" s="33">
        <v>0</v>
      </c>
      <c r="BF187" s="33">
        <f>187</f>
        <v>187</v>
      </c>
      <c r="BH187" s="16">
        <f t="shared" si="197"/>
        <v>0</v>
      </c>
      <c r="BI187" s="16">
        <f t="shared" si="198"/>
        <v>0</v>
      </c>
      <c r="BJ187" s="16">
        <f t="shared" si="199"/>
        <v>0</v>
      </c>
    </row>
    <row r="188" spans="1:62" x14ac:dyDescent="0.2">
      <c r="A188" s="4" t="s">
        <v>159</v>
      </c>
      <c r="B188" s="4" t="s">
        <v>697</v>
      </c>
      <c r="C188" s="131" t="s">
        <v>1261</v>
      </c>
      <c r="D188" s="132"/>
      <c r="E188" s="132"/>
      <c r="F188" s="4" t="s">
        <v>1663</v>
      </c>
      <c r="G188" s="68">
        <v>169.625</v>
      </c>
      <c r="H188" s="162">
        <v>0</v>
      </c>
      <c r="I188" s="16">
        <f t="shared" si="178"/>
        <v>0</v>
      </c>
      <c r="J188" s="16">
        <f t="shared" si="179"/>
        <v>0</v>
      </c>
      <c r="K188" s="16">
        <f t="shared" si="180"/>
        <v>0</v>
      </c>
      <c r="L188" s="27" t="s">
        <v>1692</v>
      </c>
      <c r="Z188" s="33">
        <f t="shared" si="181"/>
        <v>0</v>
      </c>
      <c r="AB188" s="33">
        <f t="shared" si="182"/>
        <v>0</v>
      </c>
      <c r="AC188" s="33">
        <f t="shared" si="183"/>
        <v>0</v>
      </c>
      <c r="AD188" s="33">
        <f t="shared" si="184"/>
        <v>0</v>
      </c>
      <c r="AE188" s="33">
        <f t="shared" si="185"/>
        <v>0</v>
      </c>
      <c r="AF188" s="33">
        <f t="shared" si="186"/>
        <v>0</v>
      </c>
      <c r="AG188" s="33">
        <f t="shared" si="187"/>
        <v>0</v>
      </c>
      <c r="AH188" s="33">
        <f t="shared" si="188"/>
        <v>0</v>
      </c>
      <c r="AI188" s="28"/>
      <c r="AJ188" s="16">
        <f t="shared" si="189"/>
        <v>0</v>
      </c>
      <c r="AK188" s="16">
        <f t="shared" si="190"/>
        <v>0</v>
      </c>
      <c r="AL188" s="16">
        <f t="shared" si="191"/>
        <v>0</v>
      </c>
      <c r="AN188" s="33">
        <v>21</v>
      </c>
      <c r="AO188" s="33">
        <f>H188*0</f>
        <v>0</v>
      </c>
      <c r="AP188" s="33">
        <f>H188*(1-0)</f>
        <v>0</v>
      </c>
      <c r="AQ188" s="27" t="s">
        <v>13</v>
      </c>
      <c r="AV188" s="33">
        <f t="shared" si="192"/>
        <v>0</v>
      </c>
      <c r="AW188" s="33">
        <f t="shared" si="193"/>
        <v>0</v>
      </c>
      <c r="AX188" s="33">
        <f t="shared" si="194"/>
        <v>0</v>
      </c>
      <c r="AY188" s="34" t="s">
        <v>1724</v>
      </c>
      <c r="AZ188" s="34" t="s">
        <v>1746</v>
      </c>
      <c r="BA188" s="28" t="s">
        <v>1752</v>
      </c>
      <c r="BC188" s="33">
        <f t="shared" si="195"/>
        <v>0</v>
      </c>
      <c r="BD188" s="33">
        <f t="shared" si="196"/>
        <v>0</v>
      </c>
      <c r="BE188" s="33">
        <v>0</v>
      </c>
      <c r="BF188" s="33">
        <f>188</f>
        <v>188</v>
      </c>
      <c r="BH188" s="16">
        <f t="shared" si="197"/>
        <v>0</v>
      </c>
      <c r="BI188" s="16">
        <f t="shared" si="198"/>
        <v>0</v>
      </c>
      <c r="BJ188" s="16">
        <f t="shared" si="199"/>
        <v>0</v>
      </c>
    </row>
    <row r="189" spans="1:62" x14ac:dyDescent="0.2">
      <c r="A189" s="4" t="s">
        <v>160</v>
      </c>
      <c r="B189" s="4" t="s">
        <v>698</v>
      </c>
      <c r="C189" s="131" t="s">
        <v>1262</v>
      </c>
      <c r="D189" s="132"/>
      <c r="E189" s="132"/>
      <c r="F189" s="4" t="s">
        <v>1663</v>
      </c>
      <c r="G189" s="68">
        <v>836.89200000000005</v>
      </c>
      <c r="H189" s="162">
        <v>0</v>
      </c>
      <c r="I189" s="16">
        <f t="shared" si="178"/>
        <v>0</v>
      </c>
      <c r="J189" s="16">
        <f t="shared" si="179"/>
        <v>0</v>
      </c>
      <c r="K189" s="16">
        <f t="shared" si="180"/>
        <v>0</v>
      </c>
      <c r="L189" s="27" t="s">
        <v>1692</v>
      </c>
      <c r="Z189" s="33">
        <f t="shared" si="181"/>
        <v>0</v>
      </c>
      <c r="AB189" s="33">
        <f t="shared" si="182"/>
        <v>0</v>
      </c>
      <c r="AC189" s="33">
        <f t="shared" si="183"/>
        <v>0</v>
      </c>
      <c r="AD189" s="33">
        <f t="shared" si="184"/>
        <v>0</v>
      </c>
      <c r="AE189" s="33">
        <f t="shared" si="185"/>
        <v>0</v>
      </c>
      <c r="AF189" s="33">
        <f t="shared" si="186"/>
        <v>0</v>
      </c>
      <c r="AG189" s="33">
        <f t="shared" si="187"/>
        <v>0</v>
      </c>
      <c r="AH189" s="33">
        <f t="shared" si="188"/>
        <v>0</v>
      </c>
      <c r="AI189" s="28"/>
      <c r="AJ189" s="16">
        <f t="shared" si="189"/>
        <v>0</v>
      </c>
      <c r="AK189" s="16">
        <f t="shared" si="190"/>
        <v>0</v>
      </c>
      <c r="AL189" s="16">
        <f t="shared" si="191"/>
        <v>0</v>
      </c>
      <c r="AN189" s="33">
        <v>21</v>
      </c>
      <c r="AO189" s="33">
        <f>H189*0.586358041991053</f>
        <v>0</v>
      </c>
      <c r="AP189" s="33">
        <f>H189*(1-0.586358041991053)</f>
        <v>0</v>
      </c>
      <c r="AQ189" s="27" t="s">
        <v>13</v>
      </c>
      <c r="AV189" s="33">
        <f t="shared" si="192"/>
        <v>0</v>
      </c>
      <c r="AW189" s="33">
        <f t="shared" si="193"/>
        <v>0</v>
      </c>
      <c r="AX189" s="33">
        <f t="shared" si="194"/>
        <v>0</v>
      </c>
      <c r="AY189" s="34" t="s">
        <v>1724</v>
      </c>
      <c r="AZ189" s="34" t="s">
        <v>1746</v>
      </c>
      <c r="BA189" s="28" t="s">
        <v>1752</v>
      </c>
      <c r="BC189" s="33">
        <f t="shared" si="195"/>
        <v>0</v>
      </c>
      <c r="BD189" s="33">
        <f t="shared" si="196"/>
        <v>0</v>
      </c>
      <c r="BE189" s="33">
        <v>0</v>
      </c>
      <c r="BF189" s="33">
        <f>189</f>
        <v>189</v>
      </c>
      <c r="BH189" s="16">
        <f t="shared" si="197"/>
        <v>0</v>
      </c>
      <c r="BI189" s="16">
        <f t="shared" si="198"/>
        <v>0</v>
      </c>
      <c r="BJ189" s="16">
        <f t="shared" si="199"/>
        <v>0</v>
      </c>
    </row>
    <row r="190" spans="1:62" x14ac:dyDescent="0.2">
      <c r="A190" s="4" t="s">
        <v>161</v>
      </c>
      <c r="B190" s="4" t="s">
        <v>699</v>
      </c>
      <c r="C190" s="131" t="s">
        <v>1263</v>
      </c>
      <c r="D190" s="132"/>
      <c r="E190" s="132"/>
      <c r="F190" s="4" t="s">
        <v>1663</v>
      </c>
      <c r="G190" s="68">
        <v>614.01599999999996</v>
      </c>
      <c r="H190" s="162">
        <v>0</v>
      </c>
      <c r="I190" s="16">
        <f t="shared" si="178"/>
        <v>0</v>
      </c>
      <c r="J190" s="16">
        <f t="shared" si="179"/>
        <v>0</v>
      </c>
      <c r="K190" s="16">
        <f t="shared" si="180"/>
        <v>0</v>
      </c>
      <c r="L190" s="27" t="s">
        <v>1692</v>
      </c>
      <c r="Z190" s="33">
        <f t="shared" si="181"/>
        <v>0</v>
      </c>
      <c r="AB190" s="33">
        <f t="shared" si="182"/>
        <v>0</v>
      </c>
      <c r="AC190" s="33">
        <f t="shared" si="183"/>
        <v>0</v>
      </c>
      <c r="AD190" s="33">
        <f t="shared" si="184"/>
        <v>0</v>
      </c>
      <c r="AE190" s="33">
        <f t="shared" si="185"/>
        <v>0</v>
      </c>
      <c r="AF190" s="33">
        <f t="shared" si="186"/>
        <v>0</v>
      </c>
      <c r="AG190" s="33">
        <f t="shared" si="187"/>
        <v>0</v>
      </c>
      <c r="AH190" s="33">
        <f t="shared" si="188"/>
        <v>0</v>
      </c>
      <c r="AI190" s="28"/>
      <c r="AJ190" s="16">
        <f t="shared" si="189"/>
        <v>0</v>
      </c>
      <c r="AK190" s="16">
        <f t="shared" si="190"/>
        <v>0</v>
      </c>
      <c r="AL190" s="16">
        <f t="shared" si="191"/>
        <v>0</v>
      </c>
      <c r="AN190" s="33">
        <v>21</v>
      </c>
      <c r="AO190" s="33">
        <f>H190*0.452979591836735</f>
        <v>0</v>
      </c>
      <c r="AP190" s="33">
        <f>H190*(1-0.452979591836735)</f>
        <v>0</v>
      </c>
      <c r="AQ190" s="27" t="s">
        <v>13</v>
      </c>
      <c r="AV190" s="33">
        <f t="shared" si="192"/>
        <v>0</v>
      </c>
      <c r="AW190" s="33">
        <f t="shared" si="193"/>
        <v>0</v>
      </c>
      <c r="AX190" s="33">
        <f t="shared" si="194"/>
        <v>0</v>
      </c>
      <c r="AY190" s="34" t="s">
        <v>1724</v>
      </c>
      <c r="AZ190" s="34" t="s">
        <v>1746</v>
      </c>
      <c r="BA190" s="28" t="s">
        <v>1752</v>
      </c>
      <c r="BC190" s="33">
        <f t="shared" si="195"/>
        <v>0</v>
      </c>
      <c r="BD190" s="33">
        <f t="shared" si="196"/>
        <v>0</v>
      </c>
      <c r="BE190" s="33">
        <v>0</v>
      </c>
      <c r="BF190" s="33">
        <f>190</f>
        <v>190</v>
      </c>
      <c r="BH190" s="16">
        <f t="shared" si="197"/>
        <v>0</v>
      </c>
      <c r="BI190" s="16">
        <f t="shared" si="198"/>
        <v>0</v>
      </c>
      <c r="BJ190" s="16">
        <f t="shared" si="199"/>
        <v>0</v>
      </c>
    </row>
    <row r="191" spans="1:62" x14ac:dyDescent="0.2">
      <c r="A191" s="4" t="s">
        <v>162</v>
      </c>
      <c r="B191" s="4" t="s">
        <v>700</v>
      </c>
      <c r="C191" s="131" t="s">
        <v>1264</v>
      </c>
      <c r="D191" s="132"/>
      <c r="E191" s="132"/>
      <c r="F191" s="4" t="s">
        <v>1663</v>
      </c>
      <c r="G191" s="68">
        <v>222.876</v>
      </c>
      <c r="H191" s="162">
        <v>0</v>
      </c>
      <c r="I191" s="16">
        <f t="shared" si="178"/>
        <v>0</v>
      </c>
      <c r="J191" s="16">
        <f t="shared" si="179"/>
        <v>0</v>
      </c>
      <c r="K191" s="16">
        <f t="shared" si="180"/>
        <v>0</v>
      </c>
      <c r="L191" s="27" t="s">
        <v>1692</v>
      </c>
      <c r="Z191" s="33">
        <f t="shared" si="181"/>
        <v>0</v>
      </c>
      <c r="AB191" s="33">
        <f t="shared" si="182"/>
        <v>0</v>
      </c>
      <c r="AC191" s="33">
        <f t="shared" si="183"/>
        <v>0</v>
      </c>
      <c r="AD191" s="33">
        <f t="shared" si="184"/>
        <v>0</v>
      </c>
      <c r="AE191" s="33">
        <f t="shared" si="185"/>
        <v>0</v>
      </c>
      <c r="AF191" s="33">
        <f t="shared" si="186"/>
        <v>0</v>
      </c>
      <c r="AG191" s="33">
        <f t="shared" si="187"/>
        <v>0</v>
      </c>
      <c r="AH191" s="33">
        <f t="shared" si="188"/>
        <v>0</v>
      </c>
      <c r="AI191" s="28"/>
      <c r="AJ191" s="16">
        <f t="shared" si="189"/>
        <v>0</v>
      </c>
      <c r="AK191" s="16">
        <f t="shared" si="190"/>
        <v>0</v>
      </c>
      <c r="AL191" s="16">
        <f t="shared" si="191"/>
        <v>0</v>
      </c>
      <c r="AN191" s="33">
        <v>21</v>
      </c>
      <c r="AO191" s="33">
        <f>H191*0.597537601946705</f>
        <v>0</v>
      </c>
      <c r="AP191" s="33">
        <f>H191*(1-0.597537601946705)</f>
        <v>0</v>
      </c>
      <c r="AQ191" s="27" t="s">
        <v>13</v>
      </c>
      <c r="AV191" s="33">
        <f t="shared" si="192"/>
        <v>0</v>
      </c>
      <c r="AW191" s="33">
        <f t="shared" si="193"/>
        <v>0</v>
      </c>
      <c r="AX191" s="33">
        <f t="shared" si="194"/>
        <v>0</v>
      </c>
      <c r="AY191" s="34" t="s">
        <v>1724</v>
      </c>
      <c r="AZ191" s="34" t="s">
        <v>1746</v>
      </c>
      <c r="BA191" s="28" t="s">
        <v>1752</v>
      </c>
      <c r="BC191" s="33">
        <f t="shared" si="195"/>
        <v>0</v>
      </c>
      <c r="BD191" s="33">
        <f t="shared" si="196"/>
        <v>0</v>
      </c>
      <c r="BE191" s="33">
        <v>0</v>
      </c>
      <c r="BF191" s="33">
        <f>191</f>
        <v>191</v>
      </c>
      <c r="BH191" s="16">
        <f t="shared" si="197"/>
        <v>0</v>
      </c>
      <c r="BI191" s="16">
        <f t="shared" si="198"/>
        <v>0</v>
      </c>
      <c r="BJ191" s="16">
        <f t="shared" si="199"/>
        <v>0</v>
      </c>
    </row>
    <row r="192" spans="1:62" x14ac:dyDescent="0.2">
      <c r="A192" s="4" t="s">
        <v>163</v>
      </c>
      <c r="B192" s="4" t="s">
        <v>701</v>
      </c>
      <c r="C192" s="131" t="s">
        <v>1265</v>
      </c>
      <c r="D192" s="132"/>
      <c r="E192" s="132"/>
      <c r="F192" s="4" t="s">
        <v>1663</v>
      </c>
      <c r="G192" s="68">
        <v>222.876</v>
      </c>
      <c r="H192" s="162">
        <v>0</v>
      </c>
      <c r="I192" s="16">
        <f t="shared" si="178"/>
        <v>0</v>
      </c>
      <c r="J192" s="16">
        <f t="shared" si="179"/>
        <v>0</v>
      </c>
      <c r="K192" s="16">
        <f t="shared" si="180"/>
        <v>0</v>
      </c>
      <c r="L192" s="27" t="s">
        <v>1692</v>
      </c>
      <c r="Z192" s="33">
        <f t="shared" si="181"/>
        <v>0</v>
      </c>
      <c r="AB192" s="33">
        <f t="shared" si="182"/>
        <v>0</v>
      </c>
      <c r="AC192" s="33">
        <f t="shared" si="183"/>
        <v>0</v>
      </c>
      <c r="AD192" s="33">
        <f t="shared" si="184"/>
        <v>0</v>
      </c>
      <c r="AE192" s="33">
        <f t="shared" si="185"/>
        <v>0</v>
      </c>
      <c r="AF192" s="33">
        <f t="shared" si="186"/>
        <v>0</v>
      </c>
      <c r="AG192" s="33">
        <f t="shared" si="187"/>
        <v>0</v>
      </c>
      <c r="AH192" s="33">
        <f t="shared" si="188"/>
        <v>0</v>
      </c>
      <c r="AI192" s="28"/>
      <c r="AJ192" s="16">
        <f t="shared" si="189"/>
        <v>0</v>
      </c>
      <c r="AK192" s="16">
        <f t="shared" si="190"/>
        <v>0</v>
      </c>
      <c r="AL192" s="16">
        <f t="shared" si="191"/>
        <v>0</v>
      </c>
      <c r="AN192" s="33">
        <v>21</v>
      </c>
      <c r="AO192" s="33">
        <f>H192*0</f>
        <v>0</v>
      </c>
      <c r="AP192" s="33">
        <f>H192*(1-0)</f>
        <v>0</v>
      </c>
      <c r="AQ192" s="27" t="s">
        <v>13</v>
      </c>
      <c r="AV192" s="33">
        <f t="shared" si="192"/>
        <v>0</v>
      </c>
      <c r="AW192" s="33">
        <f t="shared" si="193"/>
        <v>0</v>
      </c>
      <c r="AX192" s="33">
        <f t="shared" si="194"/>
        <v>0</v>
      </c>
      <c r="AY192" s="34" t="s">
        <v>1724</v>
      </c>
      <c r="AZ192" s="34" t="s">
        <v>1746</v>
      </c>
      <c r="BA192" s="28" t="s">
        <v>1752</v>
      </c>
      <c r="BC192" s="33">
        <f t="shared" si="195"/>
        <v>0</v>
      </c>
      <c r="BD192" s="33">
        <f t="shared" si="196"/>
        <v>0</v>
      </c>
      <c r="BE192" s="33">
        <v>0</v>
      </c>
      <c r="BF192" s="33">
        <f>192</f>
        <v>192</v>
      </c>
      <c r="BH192" s="16">
        <f t="shared" si="197"/>
        <v>0</v>
      </c>
      <c r="BI192" s="16">
        <f t="shared" si="198"/>
        <v>0</v>
      </c>
      <c r="BJ192" s="16">
        <f t="shared" si="199"/>
        <v>0</v>
      </c>
    </row>
    <row r="193" spans="1:62" x14ac:dyDescent="0.2">
      <c r="A193" s="6" t="s">
        <v>164</v>
      </c>
      <c r="B193" s="6" t="s">
        <v>702</v>
      </c>
      <c r="C193" s="144" t="s">
        <v>1266</v>
      </c>
      <c r="D193" s="139"/>
      <c r="E193" s="139"/>
      <c r="F193" s="6" t="s">
        <v>1663</v>
      </c>
      <c r="G193" s="71">
        <v>234.02</v>
      </c>
      <c r="H193" s="165">
        <v>0</v>
      </c>
      <c r="I193" s="17">
        <f t="shared" si="178"/>
        <v>0</v>
      </c>
      <c r="J193" s="17">
        <f t="shared" si="179"/>
        <v>0</v>
      </c>
      <c r="K193" s="17">
        <f t="shared" si="180"/>
        <v>0</v>
      </c>
      <c r="L193" s="29" t="s">
        <v>1692</v>
      </c>
      <c r="Z193" s="33">
        <f t="shared" si="181"/>
        <v>0</v>
      </c>
      <c r="AB193" s="33">
        <f t="shared" si="182"/>
        <v>0</v>
      </c>
      <c r="AC193" s="33">
        <f t="shared" si="183"/>
        <v>0</v>
      </c>
      <c r="AD193" s="33">
        <f t="shared" si="184"/>
        <v>0</v>
      </c>
      <c r="AE193" s="33">
        <f t="shared" si="185"/>
        <v>0</v>
      </c>
      <c r="AF193" s="33">
        <f t="shared" si="186"/>
        <v>0</v>
      </c>
      <c r="AG193" s="33">
        <f t="shared" si="187"/>
        <v>0</v>
      </c>
      <c r="AH193" s="33">
        <f t="shared" si="188"/>
        <v>0</v>
      </c>
      <c r="AI193" s="28"/>
      <c r="AJ193" s="17">
        <f t="shared" si="189"/>
        <v>0</v>
      </c>
      <c r="AK193" s="17">
        <f t="shared" si="190"/>
        <v>0</v>
      </c>
      <c r="AL193" s="17">
        <f t="shared" si="191"/>
        <v>0</v>
      </c>
      <c r="AN193" s="33">
        <v>21</v>
      </c>
      <c r="AO193" s="33">
        <f>H193*1</f>
        <v>0</v>
      </c>
      <c r="AP193" s="33">
        <f>H193*(1-1)</f>
        <v>0</v>
      </c>
      <c r="AQ193" s="29" t="s">
        <v>13</v>
      </c>
      <c r="AV193" s="33">
        <f t="shared" si="192"/>
        <v>0</v>
      </c>
      <c r="AW193" s="33">
        <f t="shared" si="193"/>
        <v>0</v>
      </c>
      <c r="AX193" s="33">
        <f t="shared" si="194"/>
        <v>0</v>
      </c>
      <c r="AY193" s="34" t="s">
        <v>1724</v>
      </c>
      <c r="AZ193" s="34" t="s">
        <v>1746</v>
      </c>
      <c r="BA193" s="28" t="s">
        <v>1752</v>
      </c>
      <c r="BC193" s="33">
        <f t="shared" si="195"/>
        <v>0</v>
      </c>
      <c r="BD193" s="33">
        <f t="shared" si="196"/>
        <v>0</v>
      </c>
      <c r="BE193" s="33">
        <v>0</v>
      </c>
      <c r="BF193" s="33">
        <f>193</f>
        <v>193</v>
      </c>
      <c r="BH193" s="17">
        <f t="shared" si="197"/>
        <v>0</v>
      </c>
      <c r="BI193" s="17">
        <f t="shared" si="198"/>
        <v>0</v>
      </c>
      <c r="BJ193" s="17">
        <f t="shared" si="199"/>
        <v>0</v>
      </c>
    </row>
    <row r="194" spans="1:62" x14ac:dyDescent="0.2">
      <c r="A194" s="6" t="s">
        <v>165</v>
      </c>
      <c r="B194" s="6" t="s">
        <v>703</v>
      </c>
      <c r="C194" s="144" t="s">
        <v>1267</v>
      </c>
      <c r="D194" s="139"/>
      <c r="E194" s="139"/>
      <c r="F194" s="6" t="s">
        <v>1663</v>
      </c>
      <c r="G194" s="71">
        <v>234.02</v>
      </c>
      <c r="H194" s="165">
        <v>0</v>
      </c>
      <c r="I194" s="17">
        <f t="shared" si="178"/>
        <v>0</v>
      </c>
      <c r="J194" s="17">
        <f t="shared" si="179"/>
        <v>0</v>
      </c>
      <c r="K194" s="17">
        <f t="shared" si="180"/>
        <v>0</v>
      </c>
      <c r="L194" s="29" t="s">
        <v>1692</v>
      </c>
      <c r="Z194" s="33">
        <f t="shared" si="181"/>
        <v>0</v>
      </c>
      <c r="AB194" s="33">
        <f t="shared" si="182"/>
        <v>0</v>
      </c>
      <c r="AC194" s="33">
        <f t="shared" si="183"/>
        <v>0</v>
      </c>
      <c r="AD194" s="33">
        <f t="shared" si="184"/>
        <v>0</v>
      </c>
      <c r="AE194" s="33">
        <f t="shared" si="185"/>
        <v>0</v>
      </c>
      <c r="AF194" s="33">
        <f t="shared" si="186"/>
        <v>0</v>
      </c>
      <c r="AG194" s="33">
        <f t="shared" si="187"/>
        <v>0</v>
      </c>
      <c r="AH194" s="33">
        <f t="shared" si="188"/>
        <v>0</v>
      </c>
      <c r="AI194" s="28"/>
      <c r="AJ194" s="17">
        <f t="shared" si="189"/>
        <v>0</v>
      </c>
      <c r="AK194" s="17">
        <f t="shared" si="190"/>
        <v>0</v>
      </c>
      <c r="AL194" s="17">
        <f t="shared" si="191"/>
        <v>0</v>
      </c>
      <c r="AN194" s="33">
        <v>21</v>
      </c>
      <c r="AO194" s="33">
        <f>H194*1</f>
        <v>0</v>
      </c>
      <c r="AP194" s="33">
        <f>H194*(1-1)</f>
        <v>0</v>
      </c>
      <c r="AQ194" s="29" t="s">
        <v>13</v>
      </c>
      <c r="AV194" s="33">
        <f t="shared" si="192"/>
        <v>0</v>
      </c>
      <c r="AW194" s="33">
        <f t="shared" si="193"/>
        <v>0</v>
      </c>
      <c r="AX194" s="33">
        <f t="shared" si="194"/>
        <v>0</v>
      </c>
      <c r="AY194" s="34" t="s">
        <v>1724</v>
      </c>
      <c r="AZ194" s="34" t="s">
        <v>1746</v>
      </c>
      <c r="BA194" s="28" t="s">
        <v>1752</v>
      </c>
      <c r="BC194" s="33">
        <f t="shared" si="195"/>
        <v>0</v>
      </c>
      <c r="BD194" s="33">
        <f t="shared" si="196"/>
        <v>0</v>
      </c>
      <c r="BE194" s="33">
        <v>0</v>
      </c>
      <c r="BF194" s="33">
        <f>194</f>
        <v>194</v>
      </c>
      <c r="BH194" s="17">
        <f t="shared" si="197"/>
        <v>0</v>
      </c>
      <c r="BI194" s="17">
        <f t="shared" si="198"/>
        <v>0</v>
      </c>
      <c r="BJ194" s="17">
        <f t="shared" si="199"/>
        <v>0</v>
      </c>
    </row>
    <row r="195" spans="1:62" x14ac:dyDescent="0.2">
      <c r="A195" s="4" t="s">
        <v>166</v>
      </c>
      <c r="B195" s="4" t="s">
        <v>701</v>
      </c>
      <c r="C195" s="131" t="s">
        <v>1268</v>
      </c>
      <c r="D195" s="132"/>
      <c r="E195" s="132"/>
      <c r="F195" s="4" t="s">
        <v>1663</v>
      </c>
      <c r="G195" s="68">
        <v>614.01599999999996</v>
      </c>
      <c r="H195" s="162">
        <v>0</v>
      </c>
      <c r="I195" s="16">
        <f t="shared" si="178"/>
        <v>0</v>
      </c>
      <c r="J195" s="16">
        <f t="shared" si="179"/>
        <v>0</v>
      </c>
      <c r="K195" s="16">
        <f t="shared" si="180"/>
        <v>0</v>
      </c>
      <c r="L195" s="27" t="s">
        <v>1692</v>
      </c>
      <c r="Z195" s="33">
        <f t="shared" si="181"/>
        <v>0</v>
      </c>
      <c r="AB195" s="33">
        <f t="shared" si="182"/>
        <v>0</v>
      </c>
      <c r="AC195" s="33">
        <f t="shared" si="183"/>
        <v>0</v>
      </c>
      <c r="AD195" s="33">
        <f t="shared" si="184"/>
        <v>0</v>
      </c>
      <c r="AE195" s="33">
        <f t="shared" si="185"/>
        <v>0</v>
      </c>
      <c r="AF195" s="33">
        <f t="shared" si="186"/>
        <v>0</v>
      </c>
      <c r="AG195" s="33">
        <f t="shared" si="187"/>
        <v>0</v>
      </c>
      <c r="AH195" s="33">
        <f t="shared" si="188"/>
        <v>0</v>
      </c>
      <c r="AI195" s="28"/>
      <c r="AJ195" s="16">
        <f t="shared" si="189"/>
        <v>0</v>
      </c>
      <c r="AK195" s="16">
        <f t="shared" si="190"/>
        <v>0</v>
      </c>
      <c r="AL195" s="16">
        <f t="shared" si="191"/>
        <v>0</v>
      </c>
      <c r="AN195" s="33">
        <v>21</v>
      </c>
      <c r="AO195" s="33">
        <f>H195*0</f>
        <v>0</v>
      </c>
      <c r="AP195" s="33">
        <f>H195*(1-0)</f>
        <v>0</v>
      </c>
      <c r="AQ195" s="27" t="s">
        <v>13</v>
      </c>
      <c r="AV195" s="33">
        <f t="shared" si="192"/>
        <v>0</v>
      </c>
      <c r="AW195" s="33">
        <f t="shared" si="193"/>
        <v>0</v>
      </c>
      <c r="AX195" s="33">
        <f t="shared" si="194"/>
        <v>0</v>
      </c>
      <c r="AY195" s="34" t="s">
        <v>1724</v>
      </c>
      <c r="AZ195" s="34" t="s">
        <v>1746</v>
      </c>
      <c r="BA195" s="28" t="s">
        <v>1752</v>
      </c>
      <c r="BC195" s="33">
        <f t="shared" si="195"/>
        <v>0</v>
      </c>
      <c r="BD195" s="33">
        <f t="shared" si="196"/>
        <v>0</v>
      </c>
      <c r="BE195" s="33">
        <v>0</v>
      </c>
      <c r="BF195" s="33">
        <f>195</f>
        <v>195</v>
      </c>
      <c r="BH195" s="16">
        <f t="shared" si="197"/>
        <v>0</v>
      </c>
      <c r="BI195" s="16">
        <f t="shared" si="198"/>
        <v>0</v>
      </c>
      <c r="BJ195" s="16">
        <f t="shared" si="199"/>
        <v>0</v>
      </c>
    </row>
    <row r="196" spans="1:62" x14ac:dyDescent="0.2">
      <c r="A196" s="6" t="s">
        <v>167</v>
      </c>
      <c r="B196" s="6" t="s">
        <v>704</v>
      </c>
      <c r="C196" s="144" t="s">
        <v>1269</v>
      </c>
      <c r="D196" s="139"/>
      <c r="E196" s="139"/>
      <c r="F196" s="6" t="s">
        <v>1663</v>
      </c>
      <c r="G196" s="71">
        <v>644.71699999999998</v>
      </c>
      <c r="H196" s="165">
        <v>0</v>
      </c>
      <c r="I196" s="17">
        <f t="shared" si="178"/>
        <v>0</v>
      </c>
      <c r="J196" s="17">
        <f t="shared" si="179"/>
        <v>0</v>
      </c>
      <c r="K196" s="17">
        <f t="shared" si="180"/>
        <v>0</v>
      </c>
      <c r="L196" s="29" t="s">
        <v>1692</v>
      </c>
      <c r="Z196" s="33">
        <f t="shared" si="181"/>
        <v>0</v>
      </c>
      <c r="AB196" s="33">
        <f t="shared" si="182"/>
        <v>0</v>
      </c>
      <c r="AC196" s="33">
        <f t="shared" si="183"/>
        <v>0</v>
      </c>
      <c r="AD196" s="33">
        <f t="shared" si="184"/>
        <v>0</v>
      </c>
      <c r="AE196" s="33">
        <f t="shared" si="185"/>
        <v>0</v>
      </c>
      <c r="AF196" s="33">
        <f t="shared" si="186"/>
        <v>0</v>
      </c>
      <c r="AG196" s="33">
        <f t="shared" si="187"/>
        <v>0</v>
      </c>
      <c r="AH196" s="33">
        <f t="shared" si="188"/>
        <v>0</v>
      </c>
      <c r="AI196" s="28"/>
      <c r="AJ196" s="17">
        <f t="shared" si="189"/>
        <v>0</v>
      </c>
      <c r="AK196" s="17">
        <f t="shared" si="190"/>
        <v>0</v>
      </c>
      <c r="AL196" s="17">
        <f t="shared" si="191"/>
        <v>0</v>
      </c>
      <c r="AN196" s="33">
        <v>21</v>
      </c>
      <c r="AO196" s="33">
        <f>H196*1</f>
        <v>0</v>
      </c>
      <c r="AP196" s="33">
        <f>H196*(1-1)</f>
        <v>0</v>
      </c>
      <c r="AQ196" s="29" t="s">
        <v>13</v>
      </c>
      <c r="AV196" s="33">
        <f t="shared" si="192"/>
        <v>0</v>
      </c>
      <c r="AW196" s="33">
        <f t="shared" si="193"/>
        <v>0</v>
      </c>
      <c r="AX196" s="33">
        <f t="shared" si="194"/>
        <v>0</v>
      </c>
      <c r="AY196" s="34" t="s">
        <v>1724</v>
      </c>
      <c r="AZ196" s="34" t="s">
        <v>1746</v>
      </c>
      <c r="BA196" s="28" t="s">
        <v>1752</v>
      </c>
      <c r="BC196" s="33">
        <f t="shared" si="195"/>
        <v>0</v>
      </c>
      <c r="BD196" s="33">
        <f t="shared" si="196"/>
        <v>0</v>
      </c>
      <c r="BE196" s="33">
        <v>0</v>
      </c>
      <c r="BF196" s="33">
        <f>196</f>
        <v>196</v>
      </c>
      <c r="BH196" s="17">
        <f t="shared" si="197"/>
        <v>0</v>
      </c>
      <c r="BI196" s="17">
        <f t="shared" si="198"/>
        <v>0</v>
      </c>
      <c r="BJ196" s="17">
        <f t="shared" si="199"/>
        <v>0</v>
      </c>
    </row>
    <row r="197" spans="1:62" x14ac:dyDescent="0.2">
      <c r="A197" s="6" t="s">
        <v>168</v>
      </c>
      <c r="B197" s="6" t="s">
        <v>705</v>
      </c>
      <c r="C197" s="144" t="s">
        <v>1270</v>
      </c>
      <c r="D197" s="139"/>
      <c r="E197" s="139"/>
      <c r="F197" s="6" t="s">
        <v>1663</v>
      </c>
      <c r="G197" s="71">
        <v>644.71699999999998</v>
      </c>
      <c r="H197" s="165">
        <v>0</v>
      </c>
      <c r="I197" s="17">
        <f t="shared" si="178"/>
        <v>0</v>
      </c>
      <c r="J197" s="17">
        <f t="shared" si="179"/>
        <v>0</v>
      </c>
      <c r="K197" s="17">
        <f t="shared" si="180"/>
        <v>0</v>
      </c>
      <c r="L197" s="29" t="s">
        <v>1692</v>
      </c>
      <c r="Z197" s="33">
        <f t="shared" si="181"/>
        <v>0</v>
      </c>
      <c r="AB197" s="33">
        <f t="shared" si="182"/>
        <v>0</v>
      </c>
      <c r="AC197" s="33">
        <f t="shared" si="183"/>
        <v>0</v>
      </c>
      <c r="AD197" s="33">
        <f t="shared" si="184"/>
        <v>0</v>
      </c>
      <c r="AE197" s="33">
        <f t="shared" si="185"/>
        <v>0</v>
      </c>
      <c r="AF197" s="33">
        <f t="shared" si="186"/>
        <v>0</v>
      </c>
      <c r="AG197" s="33">
        <f t="shared" si="187"/>
        <v>0</v>
      </c>
      <c r="AH197" s="33">
        <f t="shared" si="188"/>
        <v>0</v>
      </c>
      <c r="AI197" s="28"/>
      <c r="AJ197" s="17">
        <f t="shared" si="189"/>
        <v>0</v>
      </c>
      <c r="AK197" s="17">
        <f t="shared" si="190"/>
        <v>0</v>
      </c>
      <c r="AL197" s="17">
        <f t="shared" si="191"/>
        <v>0</v>
      </c>
      <c r="AN197" s="33">
        <v>21</v>
      </c>
      <c r="AO197" s="33">
        <f>H197*1</f>
        <v>0</v>
      </c>
      <c r="AP197" s="33">
        <f>H197*(1-1)</f>
        <v>0</v>
      </c>
      <c r="AQ197" s="29" t="s">
        <v>13</v>
      </c>
      <c r="AV197" s="33">
        <f t="shared" si="192"/>
        <v>0</v>
      </c>
      <c r="AW197" s="33">
        <f t="shared" si="193"/>
        <v>0</v>
      </c>
      <c r="AX197" s="33">
        <f t="shared" si="194"/>
        <v>0</v>
      </c>
      <c r="AY197" s="34" t="s">
        <v>1724</v>
      </c>
      <c r="AZ197" s="34" t="s">
        <v>1746</v>
      </c>
      <c r="BA197" s="28" t="s">
        <v>1752</v>
      </c>
      <c r="BC197" s="33">
        <f t="shared" si="195"/>
        <v>0</v>
      </c>
      <c r="BD197" s="33">
        <f t="shared" si="196"/>
        <v>0</v>
      </c>
      <c r="BE197" s="33">
        <v>0</v>
      </c>
      <c r="BF197" s="33">
        <f>197</f>
        <v>197</v>
      </c>
      <c r="BH197" s="17">
        <f t="shared" si="197"/>
        <v>0</v>
      </c>
      <c r="BI197" s="17">
        <f t="shared" si="198"/>
        <v>0</v>
      </c>
      <c r="BJ197" s="17">
        <f t="shared" si="199"/>
        <v>0</v>
      </c>
    </row>
    <row r="198" spans="1:62" x14ac:dyDescent="0.2">
      <c r="A198" s="4" t="s">
        <v>169</v>
      </c>
      <c r="B198" s="4" t="s">
        <v>706</v>
      </c>
      <c r="C198" s="131" t="s">
        <v>1271</v>
      </c>
      <c r="D198" s="132"/>
      <c r="E198" s="132"/>
      <c r="F198" s="4" t="s">
        <v>1663</v>
      </c>
      <c r="G198" s="68">
        <v>170.25</v>
      </c>
      <c r="H198" s="162">
        <v>0</v>
      </c>
      <c r="I198" s="16">
        <f t="shared" si="178"/>
        <v>0</v>
      </c>
      <c r="J198" s="16">
        <f t="shared" si="179"/>
        <v>0</v>
      </c>
      <c r="K198" s="16">
        <f t="shared" si="180"/>
        <v>0</v>
      </c>
      <c r="L198" s="27" t="s">
        <v>1692</v>
      </c>
      <c r="Z198" s="33">
        <f t="shared" si="181"/>
        <v>0</v>
      </c>
      <c r="AB198" s="33">
        <f t="shared" si="182"/>
        <v>0</v>
      </c>
      <c r="AC198" s="33">
        <f t="shared" si="183"/>
        <v>0</v>
      </c>
      <c r="AD198" s="33">
        <f t="shared" si="184"/>
        <v>0</v>
      </c>
      <c r="AE198" s="33">
        <f t="shared" si="185"/>
        <v>0</v>
      </c>
      <c r="AF198" s="33">
        <f t="shared" si="186"/>
        <v>0</v>
      </c>
      <c r="AG198" s="33">
        <f t="shared" si="187"/>
        <v>0</v>
      </c>
      <c r="AH198" s="33">
        <f t="shared" si="188"/>
        <v>0</v>
      </c>
      <c r="AI198" s="28"/>
      <c r="AJ198" s="16">
        <f t="shared" si="189"/>
        <v>0</v>
      </c>
      <c r="AK198" s="16">
        <f t="shared" si="190"/>
        <v>0</v>
      </c>
      <c r="AL198" s="16">
        <f t="shared" si="191"/>
        <v>0</v>
      </c>
      <c r="AN198" s="33">
        <v>21</v>
      </c>
      <c r="AO198" s="33">
        <f>H198*0.383690987124463</f>
        <v>0</v>
      </c>
      <c r="AP198" s="33">
        <f>H198*(1-0.383690987124463)</f>
        <v>0</v>
      </c>
      <c r="AQ198" s="27" t="s">
        <v>13</v>
      </c>
      <c r="AV198" s="33">
        <f t="shared" si="192"/>
        <v>0</v>
      </c>
      <c r="AW198" s="33">
        <f t="shared" si="193"/>
        <v>0</v>
      </c>
      <c r="AX198" s="33">
        <f t="shared" si="194"/>
        <v>0</v>
      </c>
      <c r="AY198" s="34" t="s">
        <v>1724</v>
      </c>
      <c r="AZ198" s="34" t="s">
        <v>1746</v>
      </c>
      <c r="BA198" s="28" t="s">
        <v>1752</v>
      </c>
      <c r="BC198" s="33">
        <f t="shared" si="195"/>
        <v>0</v>
      </c>
      <c r="BD198" s="33">
        <f t="shared" si="196"/>
        <v>0</v>
      </c>
      <c r="BE198" s="33">
        <v>0</v>
      </c>
      <c r="BF198" s="33">
        <f>198</f>
        <v>198</v>
      </c>
      <c r="BH198" s="16">
        <f t="shared" si="197"/>
        <v>0</v>
      </c>
      <c r="BI198" s="16">
        <f t="shared" si="198"/>
        <v>0</v>
      </c>
      <c r="BJ198" s="16">
        <f t="shared" si="199"/>
        <v>0</v>
      </c>
    </row>
    <row r="199" spans="1:62" x14ac:dyDescent="0.2">
      <c r="A199" s="4" t="s">
        <v>170</v>
      </c>
      <c r="B199" s="4" t="s">
        <v>707</v>
      </c>
      <c r="C199" s="131" t="s">
        <v>1272</v>
      </c>
      <c r="D199" s="132"/>
      <c r="E199" s="132"/>
      <c r="F199" s="4" t="s">
        <v>1663</v>
      </c>
      <c r="G199" s="68">
        <v>170.25</v>
      </c>
      <c r="H199" s="162">
        <v>0</v>
      </c>
      <c r="I199" s="16">
        <f t="shared" si="178"/>
        <v>0</v>
      </c>
      <c r="J199" s="16">
        <f t="shared" si="179"/>
        <v>0</v>
      </c>
      <c r="K199" s="16">
        <f t="shared" si="180"/>
        <v>0</v>
      </c>
      <c r="L199" s="27" t="s">
        <v>1692</v>
      </c>
      <c r="Z199" s="33">
        <f t="shared" si="181"/>
        <v>0</v>
      </c>
      <c r="AB199" s="33">
        <f t="shared" si="182"/>
        <v>0</v>
      </c>
      <c r="AC199" s="33">
        <f t="shared" si="183"/>
        <v>0</v>
      </c>
      <c r="AD199" s="33">
        <f t="shared" si="184"/>
        <v>0</v>
      </c>
      <c r="AE199" s="33">
        <f t="shared" si="185"/>
        <v>0</v>
      </c>
      <c r="AF199" s="33">
        <f t="shared" si="186"/>
        <v>0</v>
      </c>
      <c r="AG199" s="33">
        <f t="shared" si="187"/>
        <v>0</v>
      </c>
      <c r="AH199" s="33">
        <f t="shared" si="188"/>
        <v>0</v>
      </c>
      <c r="AI199" s="28"/>
      <c r="AJ199" s="16">
        <f t="shared" si="189"/>
        <v>0</v>
      </c>
      <c r="AK199" s="16">
        <f t="shared" si="190"/>
        <v>0</v>
      </c>
      <c r="AL199" s="16">
        <f t="shared" si="191"/>
        <v>0</v>
      </c>
      <c r="AN199" s="33">
        <v>21</v>
      </c>
      <c r="AO199" s="33">
        <f>H199*0.306322869955157</f>
        <v>0</v>
      </c>
      <c r="AP199" s="33">
        <f>H199*(1-0.306322869955157)</f>
        <v>0</v>
      </c>
      <c r="AQ199" s="27" t="s">
        <v>13</v>
      </c>
      <c r="AV199" s="33">
        <f t="shared" si="192"/>
        <v>0</v>
      </c>
      <c r="AW199" s="33">
        <f t="shared" si="193"/>
        <v>0</v>
      </c>
      <c r="AX199" s="33">
        <f t="shared" si="194"/>
        <v>0</v>
      </c>
      <c r="AY199" s="34" t="s">
        <v>1724</v>
      </c>
      <c r="AZ199" s="34" t="s">
        <v>1746</v>
      </c>
      <c r="BA199" s="28" t="s">
        <v>1752</v>
      </c>
      <c r="BC199" s="33">
        <f t="shared" si="195"/>
        <v>0</v>
      </c>
      <c r="BD199" s="33">
        <f t="shared" si="196"/>
        <v>0</v>
      </c>
      <c r="BE199" s="33">
        <v>0</v>
      </c>
      <c r="BF199" s="33">
        <f>199</f>
        <v>199</v>
      </c>
      <c r="BH199" s="16">
        <f t="shared" si="197"/>
        <v>0</v>
      </c>
      <c r="BI199" s="16">
        <f t="shared" si="198"/>
        <v>0</v>
      </c>
      <c r="BJ199" s="16">
        <f t="shared" si="199"/>
        <v>0</v>
      </c>
    </row>
    <row r="200" spans="1:62" x14ac:dyDescent="0.2">
      <c r="A200" s="6" t="s">
        <v>171</v>
      </c>
      <c r="B200" s="6" t="s">
        <v>708</v>
      </c>
      <c r="C200" s="144" t="s">
        <v>1273</v>
      </c>
      <c r="D200" s="139"/>
      <c r="E200" s="139"/>
      <c r="F200" s="6" t="s">
        <v>1663</v>
      </c>
      <c r="G200" s="71">
        <v>178.76300000000001</v>
      </c>
      <c r="H200" s="165">
        <v>0</v>
      </c>
      <c r="I200" s="17">
        <f t="shared" si="178"/>
        <v>0</v>
      </c>
      <c r="J200" s="17">
        <f t="shared" si="179"/>
        <v>0</v>
      </c>
      <c r="K200" s="17">
        <f t="shared" si="180"/>
        <v>0</v>
      </c>
      <c r="L200" s="29" t="s">
        <v>1692</v>
      </c>
      <c r="Z200" s="33">
        <f t="shared" si="181"/>
        <v>0</v>
      </c>
      <c r="AB200" s="33">
        <f t="shared" si="182"/>
        <v>0</v>
      </c>
      <c r="AC200" s="33">
        <f t="shared" si="183"/>
        <v>0</v>
      </c>
      <c r="AD200" s="33">
        <f t="shared" si="184"/>
        <v>0</v>
      </c>
      <c r="AE200" s="33">
        <f t="shared" si="185"/>
        <v>0</v>
      </c>
      <c r="AF200" s="33">
        <f t="shared" si="186"/>
        <v>0</v>
      </c>
      <c r="AG200" s="33">
        <f t="shared" si="187"/>
        <v>0</v>
      </c>
      <c r="AH200" s="33">
        <f t="shared" si="188"/>
        <v>0</v>
      </c>
      <c r="AI200" s="28"/>
      <c r="AJ200" s="17">
        <f t="shared" si="189"/>
        <v>0</v>
      </c>
      <c r="AK200" s="17">
        <f t="shared" si="190"/>
        <v>0</v>
      </c>
      <c r="AL200" s="17">
        <f t="shared" si="191"/>
        <v>0</v>
      </c>
      <c r="AN200" s="33">
        <v>21</v>
      </c>
      <c r="AO200" s="33">
        <f>H200*1</f>
        <v>0</v>
      </c>
      <c r="AP200" s="33">
        <f>H200*(1-1)</f>
        <v>0</v>
      </c>
      <c r="AQ200" s="29" t="s">
        <v>13</v>
      </c>
      <c r="AV200" s="33">
        <f t="shared" si="192"/>
        <v>0</v>
      </c>
      <c r="AW200" s="33">
        <f t="shared" si="193"/>
        <v>0</v>
      </c>
      <c r="AX200" s="33">
        <f t="shared" si="194"/>
        <v>0</v>
      </c>
      <c r="AY200" s="34" t="s">
        <v>1724</v>
      </c>
      <c r="AZ200" s="34" t="s">
        <v>1746</v>
      </c>
      <c r="BA200" s="28" t="s">
        <v>1752</v>
      </c>
      <c r="BC200" s="33">
        <f t="shared" si="195"/>
        <v>0</v>
      </c>
      <c r="BD200" s="33">
        <f t="shared" si="196"/>
        <v>0</v>
      </c>
      <c r="BE200" s="33">
        <v>0</v>
      </c>
      <c r="BF200" s="33">
        <f>200</f>
        <v>200</v>
      </c>
      <c r="BH200" s="17">
        <f t="shared" si="197"/>
        <v>0</v>
      </c>
      <c r="BI200" s="17">
        <f t="shared" si="198"/>
        <v>0</v>
      </c>
      <c r="BJ200" s="17">
        <f t="shared" si="199"/>
        <v>0</v>
      </c>
    </row>
    <row r="201" spans="1:62" x14ac:dyDescent="0.2">
      <c r="A201" s="4" t="s">
        <v>172</v>
      </c>
      <c r="B201" s="4" t="s">
        <v>707</v>
      </c>
      <c r="C201" s="131" t="s">
        <v>1274</v>
      </c>
      <c r="D201" s="132"/>
      <c r="E201" s="132"/>
      <c r="F201" s="4" t="s">
        <v>1663</v>
      </c>
      <c r="G201" s="68">
        <v>340.5</v>
      </c>
      <c r="H201" s="162">
        <v>0</v>
      </c>
      <c r="I201" s="16">
        <f t="shared" si="178"/>
        <v>0</v>
      </c>
      <c r="J201" s="16">
        <f t="shared" si="179"/>
        <v>0</v>
      </c>
      <c r="K201" s="16">
        <f t="shared" si="180"/>
        <v>0</v>
      </c>
      <c r="L201" s="27" t="s">
        <v>1692</v>
      </c>
      <c r="Z201" s="33">
        <f t="shared" si="181"/>
        <v>0</v>
      </c>
      <c r="AB201" s="33">
        <f t="shared" si="182"/>
        <v>0</v>
      </c>
      <c r="AC201" s="33">
        <f t="shared" si="183"/>
        <v>0</v>
      </c>
      <c r="AD201" s="33">
        <f t="shared" si="184"/>
        <v>0</v>
      </c>
      <c r="AE201" s="33">
        <f t="shared" si="185"/>
        <v>0</v>
      </c>
      <c r="AF201" s="33">
        <f t="shared" si="186"/>
        <v>0</v>
      </c>
      <c r="AG201" s="33">
        <f t="shared" si="187"/>
        <v>0</v>
      </c>
      <c r="AH201" s="33">
        <f t="shared" si="188"/>
        <v>0</v>
      </c>
      <c r="AI201" s="28"/>
      <c r="AJ201" s="16">
        <f t="shared" si="189"/>
        <v>0</v>
      </c>
      <c r="AK201" s="16">
        <f t="shared" si="190"/>
        <v>0</v>
      </c>
      <c r="AL201" s="16">
        <f t="shared" si="191"/>
        <v>0</v>
      </c>
      <c r="AN201" s="33">
        <v>21</v>
      </c>
      <c r="AO201" s="33">
        <f>H201*0.306322869955157</f>
        <v>0</v>
      </c>
      <c r="AP201" s="33">
        <f>H201*(1-0.306322869955157)</f>
        <v>0</v>
      </c>
      <c r="AQ201" s="27" t="s">
        <v>13</v>
      </c>
      <c r="AV201" s="33">
        <f t="shared" si="192"/>
        <v>0</v>
      </c>
      <c r="AW201" s="33">
        <f t="shared" si="193"/>
        <v>0</v>
      </c>
      <c r="AX201" s="33">
        <f t="shared" si="194"/>
        <v>0</v>
      </c>
      <c r="AY201" s="34" t="s">
        <v>1724</v>
      </c>
      <c r="AZ201" s="34" t="s">
        <v>1746</v>
      </c>
      <c r="BA201" s="28" t="s">
        <v>1752</v>
      </c>
      <c r="BC201" s="33">
        <f t="shared" si="195"/>
        <v>0</v>
      </c>
      <c r="BD201" s="33">
        <f t="shared" si="196"/>
        <v>0</v>
      </c>
      <c r="BE201" s="33">
        <v>0</v>
      </c>
      <c r="BF201" s="33">
        <f>201</f>
        <v>201</v>
      </c>
      <c r="BH201" s="16">
        <f t="shared" si="197"/>
        <v>0</v>
      </c>
      <c r="BI201" s="16">
        <f t="shared" si="198"/>
        <v>0</v>
      </c>
      <c r="BJ201" s="16">
        <f t="shared" si="199"/>
        <v>0</v>
      </c>
    </row>
    <row r="202" spans="1:62" x14ac:dyDescent="0.2">
      <c r="A202" s="6" t="s">
        <v>173</v>
      </c>
      <c r="B202" s="6" t="s">
        <v>709</v>
      </c>
      <c r="C202" s="144" t="s">
        <v>1275</v>
      </c>
      <c r="D202" s="139"/>
      <c r="E202" s="139"/>
      <c r="F202" s="6" t="s">
        <v>1663</v>
      </c>
      <c r="G202" s="71">
        <v>178.76300000000001</v>
      </c>
      <c r="H202" s="165">
        <v>0</v>
      </c>
      <c r="I202" s="17">
        <f t="shared" si="178"/>
        <v>0</v>
      </c>
      <c r="J202" s="17">
        <f t="shared" si="179"/>
        <v>0</v>
      </c>
      <c r="K202" s="17">
        <f t="shared" si="180"/>
        <v>0</v>
      </c>
      <c r="L202" s="29" t="s">
        <v>1692</v>
      </c>
      <c r="Z202" s="33">
        <f t="shared" si="181"/>
        <v>0</v>
      </c>
      <c r="AB202" s="33">
        <f t="shared" si="182"/>
        <v>0</v>
      </c>
      <c r="AC202" s="33">
        <f t="shared" si="183"/>
        <v>0</v>
      </c>
      <c r="AD202" s="33">
        <f t="shared" si="184"/>
        <v>0</v>
      </c>
      <c r="AE202" s="33">
        <f t="shared" si="185"/>
        <v>0</v>
      </c>
      <c r="AF202" s="33">
        <f t="shared" si="186"/>
        <v>0</v>
      </c>
      <c r="AG202" s="33">
        <f t="shared" si="187"/>
        <v>0</v>
      </c>
      <c r="AH202" s="33">
        <f t="shared" si="188"/>
        <v>0</v>
      </c>
      <c r="AI202" s="28"/>
      <c r="AJ202" s="17">
        <f t="shared" si="189"/>
        <v>0</v>
      </c>
      <c r="AK202" s="17">
        <f t="shared" si="190"/>
        <v>0</v>
      </c>
      <c r="AL202" s="17">
        <f t="shared" si="191"/>
        <v>0</v>
      </c>
      <c r="AN202" s="33">
        <v>21</v>
      </c>
      <c r="AO202" s="33">
        <f>H202*1</f>
        <v>0</v>
      </c>
      <c r="AP202" s="33">
        <f>H202*(1-1)</f>
        <v>0</v>
      </c>
      <c r="AQ202" s="29" t="s">
        <v>13</v>
      </c>
      <c r="AV202" s="33">
        <f t="shared" si="192"/>
        <v>0</v>
      </c>
      <c r="AW202" s="33">
        <f t="shared" si="193"/>
        <v>0</v>
      </c>
      <c r="AX202" s="33">
        <f t="shared" si="194"/>
        <v>0</v>
      </c>
      <c r="AY202" s="34" t="s">
        <v>1724</v>
      </c>
      <c r="AZ202" s="34" t="s">
        <v>1746</v>
      </c>
      <c r="BA202" s="28" t="s">
        <v>1752</v>
      </c>
      <c r="BC202" s="33">
        <f t="shared" si="195"/>
        <v>0</v>
      </c>
      <c r="BD202" s="33">
        <f t="shared" si="196"/>
        <v>0</v>
      </c>
      <c r="BE202" s="33">
        <v>0</v>
      </c>
      <c r="BF202" s="33">
        <f>202</f>
        <v>202</v>
      </c>
      <c r="BH202" s="17">
        <f t="shared" si="197"/>
        <v>0</v>
      </c>
      <c r="BI202" s="17">
        <f t="shared" si="198"/>
        <v>0</v>
      </c>
      <c r="BJ202" s="17">
        <f t="shared" si="199"/>
        <v>0</v>
      </c>
    </row>
    <row r="203" spans="1:62" x14ac:dyDescent="0.2">
      <c r="A203" s="6" t="s">
        <v>174</v>
      </c>
      <c r="B203" s="6" t="s">
        <v>710</v>
      </c>
      <c r="C203" s="144" t="s">
        <v>1276</v>
      </c>
      <c r="D203" s="139"/>
      <c r="E203" s="139"/>
      <c r="F203" s="6" t="s">
        <v>1663</v>
      </c>
      <c r="G203" s="71">
        <v>178.76300000000001</v>
      </c>
      <c r="H203" s="165">
        <v>0</v>
      </c>
      <c r="I203" s="17">
        <f t="shared" si="178"/>
        <v>0</v>
      </c>
      <c r="J203" s="17">
        <f t="shared" si="179"/>
        <v>0</v>
      </c>
      <c r="K203" s="17">
        <f t="shared" si="180"/>
        <v>0</v>
      </c>
      <c r="L203" s="29" t="s">
        <v>1692</v>
      </c>
      <c r="Z203" s="33">
        <f t="shared" si="181"/>
        <v>0</v>
      </c>
      <c r="AB203" s="33">
        <f t="shared" si="182"/>
        <v>0</v>
      </c>
      <c r="AC203" s="33">
        <f t="shared" si="183"/>
        <v>0</v>
      </c>
      <c r="AD203" s="33">
        <f t="shared" si="184"/>
        <v>0</v>
      </c>
      <c r="AE203" s="33">
        <f t="shared" si="185"/>
        <v>0</v>
      </c>
      <c r="AF203" s="33">
        <f t="shared" si="186"/>
        <v>0</v>
      </c>
      <c r="AG203" s="33">
        <f t="shared" si="187"/>
        <v>0</v>
      </c>
      <c r="AH203" s="33">
        <f t="shared" si="188"/>
        <v>0</v>
      </c>
      <c r="AI203" s="28"/>
      <c r="AJ203" s="17">
        <f t="shared" si="189"/>
        <v>0</v>
      </c>
      <c r="AK203" s="17">
        <f t="shared" si="190"/>
        <v>0</v>
      </c>
      <c r="AL203" s="17">
        <f t="shared" si="191"/>
        <v>0</v>
      </c>
      <c r="AN203" s="33">
        <v>21</v>
      </c>
      <c r="AO203" s="33">
        <f>H203*1</f>
        <v>0</v>
      </c>
      <c r="AP203" s="33">
        <f>H203*(1-1)</f>
        <v>0</v>
      </c>
      <c r="AQ203" s="29" t="s">
        <v>13</v>
      </c>
      <c r="AV203" s="33">
        <f t="shared" si="192"/>
        <v>0</v>
      </c>
      <c r="AW203" s="33">
        <f t="shared" si="193"/>
        <v>0</v>
      </c>
      <c r="AX203" s="33">
        <f t="shared" si="194"/>
        <v>0</v>
      </c>
      <c r="AY203" s="34" t="s">
        <v>1724</v>
      </c>
      <c r="AZ203" s="34" t="s">
        <v>1746</v>
      </c>
      <c r="BA203" s="28" t="s">
        <v>1752</v>
      </c>
      <c r="BC203" s="33">
        <f t="shared" si="195"/>
        <v>0</v>
      </c>
      <c r="BD203" s="33">
        <f t="shared" si="196"/>
        <v>0</v>
      </c>
      <c r="BE203" s="33">
        <v>0</v>
      </c>
      <c r="BF203" s="33">
        <f>203</f>
        <v>203</v>
      </c>
      <c r="BH203" s="17">
        <f t="shared" si="197"/>
        <v>0</v>
      </c>
      <c r="BI203" s="17">
        <f t="shared" si="198"/>
        <v>0</v>
      </c>
      <c r="BJ203" s="17">
        <f t="shared" si="199"/>
        <v>0</v>
      </c>
    </row>
    <row r="204" spans="1:62" x14ac:dyDescent="0.2">
      <c r="A204" s="4" t="s">
        <v>175</v>
      </c>
      <c r="B204" s="4" t="s">
        <v>711</v>
      </c>
      <c r="C204" s="131" t="s">
        <v>1277</v>
      </c>
      <c r="D204" s="132"/>
      <c r="E204" s="132"/>
      <c r="F204" s="4" t="s">
        <v>1663</v>
      </c>
      <c r="G204" s="68">
        <v>170.25</v>
      </c>
      <c r="H204" s="162">
        <v>0</v>
      </c>
      <c r="I204" s="16">
        <f t="shared" si="178"/>
        <v>0</v>
      </c>
      <c r="J204" s="16">
        <f t="shared" si="179"/>
        <v>0</v>
      </c>
      <c r="K204" s="16">
        <f t="shared" si="180"/>
        <v>0</v>
      </c>
      <c r="L204" s="27" t="s">
        <v>1692</v>
      </c>
      <c r="Z204" s="33">
        <f t="shared" si="181"/>
        <v>0</v>
      </c>
      <c r="AB204" s="33">
        <f t="shared" si="182"/>
        <v>0</v>
      </c>
      <c r="AC204" s="33">
        <f t="shared" si="183"/>
        <v>0</v>
      </c>
      <c r="AD204" s="33">
        <f t="shared" si="184"/>
        <v>0</v>
      </c>
      <c r="AE204" s="33">
        <f t="shared" si="185"/>
        <v>0</v>
      </c>
      <c r="AF204" s="33">
        <f t="shared" si="186"/>
        <v>0</v>
      </c>
      <c r="AG204" s="33">
        <f t="shared" si="187"/>
        <v>0</v>
      </c>
      <c r="AH204" s="33">
        <f t="shared" si="188"/>
        <v>0</v>
      </c>
      <c r="AI204" s="28"/>
      <c r="AJ204" s="16">
        <f t="shared" si="189"/>
        <v>0</v>
      </c>
      <c r="AK204" s="16">
        <f t="shared" si="190"/>
        <v>0</v>
      </c>
      <c r="AL204" s="16">
        <f t="shared" si="191"/>
        <v>0</v>
      </c>
      <c r="AN204" s="33">
        <v>21</v>
      </c>
      <c r="AO204" s="33">
        <f>H204*0.306309523809524</f>
        <v>0</v>
      </c>
      <c r="AP204" s="33">
        <f>H204*(1-0.306309523809524)</f>
        <v>0</v>
      </c>
      <c r="AQ204" s="27" t="s">
        <v>13</v>
      </c>
      <c r="AV204" s="33">
        <f t="shared" si="192"/>
        <v>0</v>
      </c>
      <c r="AW204" s="33">
        <f t="shared" si="193"/>
        <v>0</v>
      </c>
      <c r="AX204" s="33">
        <f t="shared" si="194"/>
        <v>0</v>
      </c>
      <c r="AY204" s="34" t="s">
        <v>1724</v>
      </c>
      <c r="AZ204" s="34" t="s">
        <v>1746</v>
      </c>
      <c r="BA204" s="28" t="s">
        <v>1752</v>
      </c>
      <c r="BC204" s="33">
        <f t="shared" si="195"/>
        <v>0</v>
      </c>
      <c r="BD204" s="33">
        <f t="shared" si="196"/>
        <v>0</v>
      </c>
      <c r="BE204" s="33">
        <v>0</v>
      </c>
      <c r="BF204" s="33">
        <f>204</f>
        <v>204</v>
      </c>
      <c r="BH204" s="16">
        <f t="shared" si="197"/>
        <v>0</v>
      </c>
      <c r="BI204" s="16">
        <f t="shared" si="198"/>
        <v>0</v>
      </c>
      <c r="BJ204" s="16">
        <f t="shared" si="199"/>
        <v>0</v>
      </c>
    </row>
    <row r="205" spans="1:62" x14ac:dyDescent="0.2">
      <c r="A205" s="6" t="s">
        <v>176</v>
      </c>
      <c r="B205" s="6" t="s">
        <v>712</v>
      </c>
      <c r="C205" s="144" t="s">
        <v>1278</v>
      </c>
      <c r="D205" s="139"/>
      <c r="E205" s="139"/>
      <c r="F205" s="6" t="s">
        <v>1663</v>
      </c>
      <c r="G205" s="71">
        <v>178.76300000000001</v>
      </c>
      <c r="H205" s="165">
        <v>0</v>
      </c>
      <c r="I205" s="17">
        <f t="shared" si="178"/>
        <v>0</v>
      </c>
      <c r="J205" s="17">
        <f t="shared" si="179"/>
        <v>0</v>
      </c>
      <c r="K205" s="17">
        <f t="shared" si="180"/>
        <v>0</v>
      </c>
      <c r="L205" s="29" t="s">
        <v>1692</v>
      </c>
      <c r="Z205" s="33">
        <f t="shared" si="181"/>
        <v>0</v>
      </c>
      <c r="AB205" s="33">
        <f t="shared" si="182"/>
        <v>0</v>
      </c>
      <c r="AC205" s="33">
        <f t="shared" si="183"/>
        <v>0</v>
      </c>
      <c r="AD205" s="33">
        <f t="shared" si="184"/>
        <v>0</v>
      </c>
      <c r="AE205" s="33">
        <f t="shared" si="185"/>
        <v>0</v>
      </c>
      <c r="AF205" s="33">
        <f t="shared" si="186"/>
        <v>0</v>
      </c>
      <c r="AG205" s="33">
        <f t="shared" si="187"/>
        <v>0</v>
      </c>
      <c r="AH205" s="33">
        <f t="shared" si="188"/>
        <v>0</v>
      </c>
      <c r="AI205" s="28"/>
      <c r="AJ205" s="17">
        <f t="shared" si="189"/>
        <v>0</v>
      </c>
      <c r="AK205" s="17">
        <f t="shared" si="190"/>
        <v>0</v>
      </c>
      <c r="AL205" s="17">
        <f t="shared" si="191"/>
        <v>0</v>
      </c>
      <c r="AN205" s="33">
        <v>21</v>
      </c>
      <c r="AO205" s="33">
        <f>H205*1</f>
        <v>0</v>
      </c>
      <c r="AP205" s="33">
        <f>H205*(1-1)</f>
        <v>0</v>
      </c>
      <c r="AQ205" s="29" t="s">
        <v>13</v>
      </c>
      <c r="AV205" s="33">
        <f t="shared" si="192"/>
        <v>0</v>
      </c>
      <c r="AW205" s="33">
        <f t="shared" si="193"/>
        <v>0</v>
      </c>
      <c r="AX205" s="33">
        <f t="shared" si="194"/>
        <v>0</v>
      </c>
      <c r="AY205" s="34" t="s">
        <v>1724</v>
      </c>
      <c r="AZ205" s="34" t="s">
        <v>1746</v>
      </c>
      <c r="BA205" s="28" t="s">
        <v>1752</v>
      </c>
      <c r="BC205" s="33">
        <f t="shared" si="195"/>
        <v>0</v>
      </c>
      <c r="BD205" s="33">
        <f t="shared" si="196"/>
        <v>0</v>
      </c>
      <c r="BE205" s="33">
        <v>0</v>
      </c>
      <c r="BF205" s="33">
        <f>205</f>
        <v>205</v>
      </c>
      <c r="BH205" s="17">
        <f t="shared" si="197"/>
        <v>0</v>
      </c>
      <c r="BI205" s="17">
        <f t="shared" si="198"/>
        <v>0</v>
      </c>
      <c r="BJ205" s="17">
        <f t="shared" si="199"/>
        <v>0</v>
      </c>
    </row>
    <row r="206" spans="1:62" x14ac:dyDescent="0.2">
      <c r="A206" s="4" t="s">
        <v>177</v>
      </c>
      <c r="B206" s="4" t="s">
        <v>713</v>
      </c>
      <c r="C206" s="131" t="s">
        <v>1279</v>
      </c>
      <c r="D206" s="132"/>
      <c r="E206" s="132"/>
      <c r="F206" s="4" t="s">
        <v>1664</v>
      </c>
      <c r="G206" s="68">
        <v>23.524999999999999</v>
      </c>
      <c r="H206" s="162">
        <v>0</v>
      </c>
      <c r="I206" s="16">
        <f t="shared" si="178"/>
        <v>0</v>
      </c>
      <c r="J206" s="16">
        <f t="shared" si="179"/>
        <v>0</v>
      </c>
      <c r="K206" s="16">
        <f t="shared" si="180"/>
        <v>0</v>
      </c>
      <c r="L206" s="27" t="s">
        <v>1692</v>
      </c>
      <c r="Z206" s="33">
        <f t="shared" si="181"/>
        <v>0</v>
      </c>
      <c r="AB206" s="33">
        <f t="shared" si="182"/>
        <v>0</v>
      </c>
      <c r="AC206" s="33">
        <f t="shared" si="183"/>
        <v>0</v>
      </c>
      <c r="AD206" s="33">
        <f t="shared" si="184"/>
        <v>0</v>
      </c>
      <c r="AE206" s="33">
        <f t="shared" si="185"/>
        <v>0</v>
      </c>
      <c r="AF206" s="33">
        <f t="shared" si="186"/>
        <v>0</v>
      </c>
      <c r="AG206" s="33">
        <f t="shared" si="187"/>
        <v>0</v>
      </c>
      <c r="AH206" s="33">
        <f t="shared" si="188"/>
        <v>0</v>
      </c>
      <c r="AI206" s="28"/>
      <c r="AJ206" s="16">
        <f t="shared" si="189"/>
        <v>0</v>
      </c>
      <c r="AK206" s="16">
        <f t="shared" si="190"/>
        <v>0</v>
      </c>
      <c r="AL206" s="16">
        <f t="shared" si="191"/>
        <v>0</v>
      </c>
      <c r="AN206" s="33">
        <v>21</v>
      </c>
      <c r="AO206" s="33">
        <f>H206*0</f>
        <v>0</v>
      </c>
      <c r="AP206" s="33">
        <f>H206*(1-0)</f>
        <v>0</v>
      </c>
      <c r="AQ206" s="27" t="s">
        <v>11</v>
      </c>
      <c r="AV206" s="33">
        <f t="shared" si="192"/>
        <v>0</v>
      </c>
      <c r="AW206" s="33">
        <f t="shared" si="193"/>
        <v>0</v>
      </c>
      <c r="AX206" s="33">
        <f t="shared" si="194"/>
        <v>0</v>
      </c>
      <c r="AY206" s="34" t="s">
        <v>1724</v>
      </c>
      <c r="AZ206" s="34" t="s">
        <v>1746</v>
      </c>
      <c r="BA206" s="28" t="s">
        <v>1752</v>
      </c>
      <c r="BC206" s="33">
        <f t="shared" si="195"/>
        <v>0</v>
      </c>
      <c r="BD206" s="33">
        <f t="shared" si="196"/>
        <v>0</v>
      </c>
      <c r="BE206" s="33">
        <v>0</v>
      </c>
      <c r="BF206" s="33">
        <f>206</f>
        <v>206</v>
      </c>
      <c r="BH206" s="16">
        <f t="shared" si="197"/>
        <v>0</v>
      </c>
      <c r="BI206" s="16">
        <f t="shared" si="198"/>
        <v>0</v>
      </c>
      <c r="BJ206" s="16">
        <f t="shared" si="199"/>
        <v>0</v>
      </c>
    </row>
    <row r="207" spans="1:62" x14ac:dyDescent="0.2">
      <c r="A207" s="5"/>
      <c r="B207" s="13" t="s">
        <v>714</v>
      </c>
      <c r="C207" s="136" t="s">
        <v>1280</v>
      </c>
      <c r="D207" s="137"/>
      <c r="E207" s="137"/>
      <c r="F207" s="5" t="s">
        <v>6</v>
      </c>
      <c r="G207" s="5" t="s">
        <v>6</v>
      </c>
      <c r="H207" s="163" t="s">
        <v>6</v>
      </c>
      <c r="I207" s="36">
        <f>SUM(I208:I232)</f>
        <v>0</v>
      </c>
      <c r="J207" s="36">
        <f>SUM(J208:J232)</f>
        <v>0</v>
      </c>
      <c r="K207" s="36">
        <f>SUM(K208:K232)</f>
        <v>0</v>
      </c>
      <c r="L207" s="28"/>
      <c r="AI207" s="28"/>
      <c r="AS207" s="36">
        <f>SUM(AJ208:AJ232)</f>
        <v>0</v>
      </c>
      <c r="AT207" s="36">
        <f>SUM(AK208:AK232)</f>
        <v>0</v>
      </c>
      <c r="AU207" s="36">
        <f>SUM(AL208:AL232)</f>
        <v>0</v>
      </c>
    </row>
    <row r="208" spans="1:62" x14ac:dyDescent="0.2">
      <c r="A208" s="4" t="s">
        <v>178</v>
      </c>
      <c r="B208" s="4" t="s">
        <v>715</v>
      </c>
      <c r="C208" s="131" t="s">
        <v>1281</v>
      </c>
      <c r="D208" s="132"/>
      <c r="E208" s="132"/>
      <c r="F208" s="4" t="s">
        <v>1666</v>
      </c>
      <c r="G208" s="68">
        <v>6.5</v>
      </c>
      <c r="H208" s="162">
        <v>0</v>
      </c>
      <c r="I208" s="16">
        <f>G208*AO208</f>
        <v>0</v>
      </c>
      <c r="J208" s="16">
        <f>G208*AP208</f>
        <v>0</v>
      </c>
      <c r="K208" s="16">
        <f>G208*H208</f>
        <v>0</v>
      </c>
      <c r="L208" s="27"/>
      <c r="Z208" s="33">
        <f>IF(AQ208="5",BJ208,0)</f>
        <v>0</v>
      </c>
      <c r="AB208" s="33">
        <f>IF(AQ208="1",BH208,0)</f>
        <v>0</v>
      </c>
      <c r="AC208" s="33">
        <f>IF(AQ208="1",BI208,0)</f>
        <v>0</v>
      </c>
      <c r="AD208" s="33">
        <f>IF(AQ208="7",BH208,0)</f>
        <v>0</v>
      </c>
      <c r="AE208" s="33">
        <f>IF(AQ208="7",BI208,0)</f>
        <v>0</v>
      </c>
      <c r="AF208" s="33">
        <f>IF(AQ208="2",BH208,0)</f>
        <v>0</v>
      </c>
      <c r="AG208" s="33">
        <f>IF(AQ208="2",BI208,0)</f>
        <v>0</v>
      </c>
      <c r="AH208" s="33">
        <f>IF(AQ208="0",BJ208,0)</f>
        <v>0</v>
      </c>
      <c r="AI208" s="28"/>
      <c r="AJ208" s="16">
        <f>IF(AN208=0,K208,0)</f>
        <v>0</v>
      </c>
      <c r="AK208" s="16">
        <f>IF(AN208=15,K208,0)</f>
        <v>0</v>
      </c>
      <c r="AL208" s="16">
        <f>IF(AN208=21,K208,0)</f>
        <v>0</v>
      </c>
      <c r="AN208" s="33">
        <v>21</v>
      </c>
      <c r="AO208" s="33">
        <f>H208*0</f>
        <v>0</v>
      </c>
      <c r="AP208" s="33">
        <f>H208*(1-0)</f>
        <v>0</v>
      </c>
      <c r="AQ208" s="27" t="s">
        <v>13</v>
      </c>
      <c r="AV208" s="33">
        <f>AW208+AX208</f>
        <v>0</v>
      </c>
      <c r="AW208" s="33">
        <f>G208*AO208</f>
        <v>0</v>
      </c>
      <c r="AX208" s="33">
        <f>G208*AP208</f>
        <v>0</v>
      </c>
      <c r="AY208" s="34" t="s">
        <v>1725</v>
      </c>
      <c r="AZ208" s="34" t="s">
        <v>1747</v>
      </c>
      <c r="BA208" s="28" t="s">
        <v>1752</v>
      </c>
      <c r="BC208" s="33">
        <f>AW208+AX208</f>
        <v>0</v>
      </c>
      <c r="BD208" s="33">
        <f>H208/(100-BE208)*100</f>
        <v>0</v>
      </c>
      <c r="BE208" s="33">
        <v>0</v>
      </c>
      <c r="BF208" s="33">
        <f>208</f>
        <v>208</v>
      </c>
      <c r="BH208" s="16">
        <f>G208*AO208</f>
        <v>0</v>
      </c>
      <c r="BI208" s="16">
        <f>G208*AP208</f>
        <v>0</v>
      </c>
      <c r="BJ208" s="16">
        <f>G208*H208</f>
        <v>0</v>
      </c>
    </row>
    <row r="209" spans="1:62" x14ac:dyDescent="0.2">
      <c r="C209" s="140" t="s">
        <v>1282</v>
      </c>
      <c r="D209" s="141"/>
      <c r="E209" s="141"/>
      <c r="H209" s="164"/>
    </row>
    <row r="210" spans="1:62" x14ac:dyDescent="0.2">
      <c r="A210" s="4" t="s">
        <v>179</v>
      </c>
      <c r="B210" s="4" t="s">
        <v>716</v>
      </c>
      <c r="C210" s="131" t="s">
        <v>1283</v>
      </c>
      <c r="D210" s="132"/>
      <c r="E210" s="132"/>
      <c r="F210" s="4" t="s">
        <v>1665</v>
      </c>
      <c r="G210" s="68">
        <v>1</v>
      </c>
      <c r="H210" s="162">
        <v>0</v>
      </c>
      <c r="I210" s="16">
        <f>G210*AO210</f>
        <v>0</v>
      </c>
      <c r="J210" s="16">
        <f>G210*AP210</f>
        <v>0</v>
      </c>
      <c r="K210" s="16">
        <f>G210*H210</f>
        <v>0</v>
      </c>
      <c r="L210" s="27"/>
      <c r="Z210" s="33">
        <f>IF(AQ210="5",BJ210,0)</f>
        <v>0</v>
      </c>
      <c r="AB210" s="33">
        <f>IF(AQ210="1",BH210,0)</f>
        <v>0</v>
      </c>
      <c r="AC210" s="33">
        <f>IF(AQ210="1",BI210,0)</f>
        <v>0</v>
      </c>
      <c r="AD210" s="33">
        <f>IF(AQ210="7",BH210,0)</f>
        <v>0</v>
      </c>
      <c r="AE210" s="33">
        <f>IF(AQ210="7",BI210,0)</f>
        <v>0</v>
      </c>
      <c r="AF210" s="33">
        <f>IF(AQ210="2",BH210,0)</f>
        <v>0</v>
      </c>
      <c r="AG210" s="33">
        <f>IF(AQ210="2",BI210,0)</f>
        <v>0</v>
      </c>
      <c r="AH210" s="33">
        <f>IF(AQ210="0",BJ210,0)</f>
        <v>0</v>
      </c>
      <c r="AI210" s="28"/>
      <c r="AJ210" s="16">
        <f>IF(AN210=0,K210,0)</f>
        <v>0</v>
      </c>
      <c r="AK210" s="16">
        <f>IF(AN210=15,K210,0)</f>
        <v>0</v>
      </c>
      <c r="AL210" s="16">
        <f>IF(AN210=21,K210,0)</f>
        <v>0</v>
      </c>
      <c r="AN210" s="33">
        <v>21</v>
      </c>
      <c r="AO210" s="33">
        <f>H210*0</f>
        <v>0</v>
      </c>
      <c r="AP210" s="33">
        <f>H210*(1-0)</f>
        <v>0</v>
      </c>
      <c r="AQ210" s="27" t="s">
        <v>13</v>
      </c>
      <c r="AV210" s="33">
        <f>AW210+AX210</f>
        <v>0</v>
      </c>
      <c r="AW210" s="33">
        <f>G210*AO210</f>
        <v>0</v>
      </c>
      <c r="AX210" s="33">
        <f>G210*AP210</f>
        <v>0</v>
      </c>
      <c r="AY210" s="34" t="s">
        <v>1725</v>
      </c>
      <c r="AZ210" s="34" t="s">
        <v>1747</v>
      </c>
      <c r="BA210" s="28" t="s">
        <v>1752</v>
      </c>
      <c r="BC210" s="33">
        <f>AW210+AX210</f>
        <v>0</v>
      </c>
      <c r="BD210" s="33">
        <f>H210/(100-BE210)*100</f>
        <v>0</v>
      </c>
      <c r="BE210" s="33">
        <v>0</v>
      </c>
      <c r="BF210" s="33">
        <f>210</f>
        <v>210</v>
      </c>
      <c r="BH210" s="16">
        <f>G210*AO210</f>
        <v>0</v>
      </c>
      <c r="BI210" s="16">
        <f>G210*AP210</f>
        <v>0</v>
      </c>
      <c r="BJ210" s="16">
        <f>G210*H210</f>
        <v>0</v>
      </c>
    </row>
    <row r="211" spans="1:62" x14ac:dyDescent="0.2">
      <c r="A211" s="4" t="s">
        <v>180</v>
      </c>
      <c r="B211" s="4" t="s">
        <v>717</v>
      </c>
      <c r="C211" s="131" t="s">
        <v>1284</v>
      </c>
      <c r="D211" s="132"/>
      <c r="E211" s="132"/>
      <c r="F211" s="4" t="s">
        <v>1665</v>
      </c>
      <c r="G211" s="68">
        <v>1</v>
      </c>
      <c r="H211" s="162">
        <v>0</v>
      </c>
      <c r="I211" s="16">
        <f>G211*AO211</f>
        <v>0</v>
      </c>
      <c r="J211" s="16">
        <f>G211*AP211</f>
        <v>0</v>
      </c>
      <c r="K211" s="16">
        <f>G211*H211</f>
        <v>0</v>
      </c>
      <c r="L211" s="27"/>
      <c r="Z211" s="33">
        <f>IF(AQ211="5",BJ211,0)</f>
        <v>0</v>
      </c>
      <c r="AB211" s="33">
        <f>IF(AQ211="1",BH211,0)</f>
        <v>0</v>
      </c>
      <c r="AC211" s="33">
        <f>IF(AQ211="1",BI211,0)</f>
        <v>0</v>
      </c>
      <c r="AD211" s="33">
        <f>IF(AQ211="7",BH211,0)</f>
        <v>0</v>
      </c>
      <c r="AE211" s="33">
        <f>IF(AQ211="7",BI211,0)</f>
        <v>0</v>
      </c>
      <c r="AF211" s="33">
        <f>IF(AQ211="2",BH211,0)</f>
        <v>0</v>
      </c>
      <c r="AG211" s="33">
        <f>IF(AQ211="2",BI211,0)</f>
        <v>0</v>
      </c>
      <c r="AH211" s="33">
        <f>IF(AQ211="0",BJ211,0)</f>
        <v>0</v>
      </c>
      <c r="AI211" s="28"/>
      <c r="AJ211" s="16">
        <f>IF(AN211=0,K211,0)</f>
        <v>0</v>
      </c>
      <c r="AK211" s="16">
        <f>IF(AN211=15,K211,0)</f>
        <v>0</v>
      </c>
      <c r="AL211" s="16">
        <f>IF(AN211=21,K211,0)</f>
        <v>0</v>
      </c>
      <c r="AN211" s="33">
        <v>21</v>
      </c>
      <c r="AO211" s="33">
        <f>H211*0</f>
        <v>0</v>
      </c>
      <c r="AP211" s="33">
        <f>H211*(1-0)</f>
        <v>0</v>
      </c>
      <c r="AQ211" s="27" t="s">
        <v>13</v>
      </c>
      <c r="AV211" s="33">
        <f>AW211+AX211</f>
        <v>0</v>
      </c>
      <c r="AW211" s="33">
        <f>G211*AO211</f>
        <v>0</v>
      </c>
      <c r="AX211" s="33">
        <f>G211*AP211</f>
        <v>0</v>
      </c>
      <c r="AY211" s="34" t="s">
        <v>1725</v>
      </c>
      <c r="AZ211" s="34" t="s">
        <v>1747</v>
      </c>
      <c r="BA211" s="28" t="s">
        <v>1752</v>
      </c>
      <c r="BC211" s="33">
        <f>AW211+AX211</f>
        <v>0</v>
      </c>
      <c r="BD211" s="33">
        <f>H211/(100-BE211)*100</f>
        <v>0</v>
      </c>
      <c r="BE211" s="33">
        <v>0</v>
      </c>
      <c r="BF211" s="33">
        <f>211</f>
        <v>211</v>
      </c>
      <c r="BH211" s="16">
        <f>G211*AO211</f>
        <v>0</v>
      </c>
      <c r="BI211" s="16">
        <f>G211*AP211</f>
        <v>0</v>
      </c>
      <c r="BJ211" s="16">
        <f>G211*H211</f>
        <v>0</v>
      </c>
    </row>
    <row r="212" spans="1:62" x14ac:dyDescent="0.2">
      <c r="A212" s="4" t="s">
        <v>181</v>
      </c>
      <c r="B212" s="4" t="s">
        <v>718</v>
      </c>
      <c r="C212" s="131" t="s">
        <v>1285</v>
      </c>
      <c r="D212" s="132"/>
      <c r="E212" s="132"/>
      <c r="F212" s="4" t="s">
        <v>1666</v>
      </c>
      <c r="G212" s="68">
        <v>8</v>
      </c>
      <c r="H212" s="162">
        <v>0</v>
      </c>
      <c r="I212" s="16">
        <f>G212*AO212</f>
        <v>0</v>
      </c>
      <c r="J212" s="16">
        <f>G212*AP212</f>
        <v>0</v>
      </c>
      <c r="K212" s="16">
        <f>G212*H212</f>
        <v>0</v>
      </c>
      <c r="L212" s="27"/>
      <c r="Z212" s="33">
        <f>IF(AQ212="5",BJ212,0)</f>
        <v>0</v>
      </c>
      <c r="AB212" s="33">
        <f>IF(AQ212="1",BH212,0)</f>
        <v>0</v>
      </c>
      <c r="AC212" s="33">
        <f>IF(AQ212="1",BI212,0)</f>
        <v>0</v>
      </c>
      <c r="AD212" s="33">
        <f>IF(AQ212="7",BH212,0)</f>
        <v>0</v>
      </c>
      <c r="AE212" s="33">
        <f>IF(AQ212="7",BI212,0)</f>
        <v>0</v>
      </c>
      <c r="AF212" s="33">
        <f>IF(AQ212="2",BH212,0)</f>
        <v>0</v>
      </c>
      <c r="AG212" s="33">
        <f>IF(AQ212="2",BI212,0)</f>
        <v>0</v>
      </c>
      <c r="AH212" s="33">
        <f>IF(AQ212="0",BJ212,0)</f>
        <v>0</v>
      </c>
      <c r="AI212" s="28"/>
      <c r="AJ212" s="16">
        <f>IF(AN212=0,K212,0)</f>
        <v>0</v>
      </c>
      <c r="AK212" s="16">
        <f>IF(AN212=15,K212,0)</f>
        <v>0</v>
      </c>
      <c r="AL212" s="16">
        <f>IF(AN212=21,K212,0)</f>
        <v>0</v>
      </c>
      <c r="AN212" s="33">
        <v>21</v>
      </c>
      <c r="AO212" s="33">
        <f>H212*0</f>
        <v>0</v>
      </c>
      <c r="AP212" s="33">
        <f>H212*(1-0)</f>
        <v>0</v>
      </c>
      <c r="AQ212" s="27" t="s">
        <v>13</v>
      </c>
      <c r="AV212" s="33">
        <f>AW212+AX212</f>
        <v>0</v>
      </c>
      <c r="AW212" s="33">
        <f>G212*AO212</f>
        <v>0</v>
      </c>
      <c r="AX212" s="33">
        <f>G212*AP212</f>
        <v>0</v>
      </c>
      <c r="AY212" s="34" t="s">
        <v>1725</v>
      </c>
      <c r="AZ212" s="34" t="s">
        <v>1747</v>
      </c>
      <c r="BA212" s="28" t="s">
        <v>1752</v>
      </c>
      <c r="BC212" s="33">
        <f>AW212+AX212</f>
        <v>0</v>
      </c>
      <c r="BD212" s="33">
        <f>H212/(100-BE212)*100</f>
        <v>0</v>
      </c>
      <c r="BE212" s="33">
        <v>0</v>
      </c>
      <c r="BF212" s="33">
        <f>212</f>
        <v>212</v>
      </c>
      <c r="BH212" s="16">
        <f>G212*AO212</f>
        <v>0</v>
      </c>
      <c r="BI212" s="16">
        <f>G212*AP212</f>
        <v>0</v>
      </c>
      <c r="BJ212" s="16">
        <f>G212*H212</f>
        <v>0</v>
      </c>
    </row>
    <row r="213" spans="1:62" x14ac:dyDescent="0.2">
      <c r="C213" s="140" t="s">
        <v>1286</v>
      </c>
      <c r="D213" s="141"/>
      <c r="E213" s="141"/>
      <c r="H213" s="164"/>
    </row>
    <row r="214" spans="1:62" x14ac:dyDescent="0.2">
      <c r="A214" s="4" t="s">
        <v>182</v>
      </c>
      <c r="B214" s="4" t="s">
        <v>719</v>
      </c>
      <c r="C214" s="131" t="s">
        <v>1287</v>
      </c>
      <c r="D214" s="132"/>
      <c r="E214" s="132"/>
      <c r="F214" s="4" t="s">
        <v>1665</v>
      </c>
      <c r="G214" s="68">
        <v>1</v>
      </c>
      <c r="H214" s="162">
        <v>0</v>
      </c>
      <c r="I214" s="16">
        <f>G214*AO214</f>
        <v>0</v>
      </c>
      <c r="J214" s="16">
        <f>G214*AP214</f>
        <v>0</v>
      </c>
      <c r="K214" s="16">
        <f>G214*H214</f>
        <v>0</v>
      </c>
      <c r="L214" s="27"/>
      <c r="Z214" s="33">
        <f>IF(AQ214="5",BJ214,0)</f>
        <v>0</v>
      </c>
      <c r="AB214" s="33">
        <f>IF(AQ214="1",BH214,0)</f>
        <v>0</v>
      </c>
      <c r="AC214" s="33">
        <f>IF(AQ214="1",BI214,0)</f>
        <v>0</v>
      </c>
      <c r="AD214" s="33">
        <f>IF(AQ214="7",BH214,0)</f>
        <v>0</v>
      </c>
      <c r="AE214" s="33">
        <f>IF(AQ214="7",BI214,0)</f>
        <v>0</v>
      </c>
      <c r="AF214" s="33">
        <f>IF(AQ214="2",BH214,0)</f>
        <v>0</v>
      </c>
      <c r="AG214" s="33">
        <f>IF(AQ214="2",BI214,0)</f>
        <v>0</v>
      </c>
      <c r="AH214" s="33">
        <f>IF(AQ214="0",BJ214,0)</f>
        <v>0</v>
      </c>
      <c r="AI214" s="28"/>
      <c r="AJ214" s="16">
        <f>IF(AN214=0,K214,0)</f>
        <v>0</v>
      </c>
      <c r="AK214" s="16">
        <f>IF(AN214=15,K214,0)</f>
        <v>0</v>
      </c>
      <c r="AL214" s="16">
        <f>IF(AN214=21,K214,0)</f>
        <v>0</v>
      </c>
      <c r="AN214" s="33">
        <v>21</v>
      </c>
      <c r="AO214" s="33">
        <f>H214*0</f>
        <v>0</v>
      </c>
      <c r="AP214" s="33">
        <f>H214*(1-0)</f>
        <v>0</v>
      </c>
      <c r="AQ214" s="27" t="s">
        <v>13</v>
      </c>
      <c r="AV214" s="33">
        <f>AW214+AX214</f>
        <v>0</v>
      </c>
      <c r="AW214" s="33">
        <f>G214*AO214</f>
        <v>0</v>
      </c>
      <c r="AX214" s="33">
        <f>G214*AP214</f>
        <v>0</v>
      </c>
      <c r="AY214" s="34" t="s">
        <v>1725</v>
      </c>
      <c r="AZ214" s="34" t="s">
        <v>1747</v>
      </c>
      <c r="BA214" s="28" t="s">
        <v>1752</v>
      </c>
      <c r="BC214" s="33">
        <f>AW214+AX214</f>
        <v>0</v>
      </c>
      <c r="BD214" s="33">
        <f>H214/(100-BE214)*100</f>
        <v>0</v>
      </c>
      <c r="BE214" s="33">
        <v>0</v>
      </c>
      <c r="BF214" s="33">
        <f>214</f>
        <v>214</v>
      </c>
      <c r="BH214" s="16">
        <f>G214*AO214</f>
        <v>0</v>
      </c>
      <c r="BI214" s="16">
        <f>G214*AP214</f>
        <v>0</v>
      </c>
      <c r="BJ214" s="16">
        <f>G214*H214</f>
        <v>0</v>
      </c>
    </row>
    <row r="215" spans="1:62" x14ac:dyDescent="0.2">
      <c r="C215" s="140" t="s">
        <v>1288</v>
      </c>
      <c r="D215" s="141"/>
      <c r="E215" s="141"/>
      <c r="H215" s="164"/>
    </row>
    <row r="216" spans="1:62" x14ac:dyDescent="0.2">
      <c r="A216" s="4" t="s">
        <v>183</v>
      </c>
      <c r="B216" s="4" t="s">
        <v>720</v>
      </c>
      <c r="C216" s="131" t="s">
        <v>1289</v>
      </c>
      <c r="D216" s="132"/>
      <c r="E216" s="132"/>
      <c r="F216" s="4" t="s">
        <v>1665</v>
      </c>
      <c r="G216" s="68">
        <v>1</v>
      </c>
      <c r="H216" s="162">
        <v>0</v>
      </c>
      <c r="I216" s="16">
        <f>G216*AO216</f>
        <v>0</v>
      </c>
      <c r="J216" s="16">
        <f>G216*AP216</f>
        <v>0</v>
      </c>
      <c r="K216" s="16">
        <f>G216*H216</f>
        <v>0</v>
      </c>
      <c r="L216" s="27"/>
      <c r="Z216" s="33">
        <f>IF(AQ216="5",BJ216,0)</f>
        <v>0</v>
      </c>
      <c r="AB216" s="33">
        <f>IF(AQ216="1",BH216,0)</f>
        <v>0</v>
      </c>
      <c r="AC216" s="33">
        <f>IF(AQ216="1",BI216,0)</f>
        <v>0</v>
      </c>
      <c r="AD216" s="33">
        <f>IF(AQ216="7",BH216,0)</f>
        <v>0</v>
      </c>
      <c r="AE216" s="33">
        <f>IF(AQ216="7",BI216,0)</f>
        <v>0</v>
      </c>
      <c r="AF216" s="33">
        <f>IF(AQ216="2",BH216,0)</f>
        <v>0</v>
      </c>
      <c r="AG216" s="33">
        <f>IF(AQ216="2",BI216,0)</f>
        <v>0</v>
      </c>
      <c r="AH216" s="33">
        <f>IF(AQ216="0",BJ216,0)</f>
        <v>0</v>
      </c>
      <c r="AI216" s="28"/>
      <c r="AJ216" s="16">
        <f>IF(AN216=0,K216,0)</f>
        <v>0</v>
      </c>
      <c r="AK216" s="16">
        <f>IF(AN216=15,K216,0)</f>
        <v>0</v>
      </c>
      <c r="AL216" s="16">
        <f>IF(AN216=21,K216,0)</f>
        <v>0</v>
      </c>
      <c r="AN216" s="33">
        <v>21</v>
      </c>
      <c r="AO216" s="33">
        <f>H216*0</f>
        <v>0</v>
      </c>
      <c r="AP216" s="33">
        <f>H216*(1-0)</f>
        <v>0</v>
      </c>
      <c r="AQ216" s="27" t="s">
        <v>13</v>
      </c>
      <c r="AV216" s="33">
        <f>AW216+AX216</f>
        <v>0</v>
      </c>
      <c r="AW216" s="33">
        <f>G216*AO216</f>
        <v>0</v>
      </c>
      <c r="AX216" s="33">
        <f>G216*AP216</f>
        <v>0</v>
      </c>
      <c r="AY216" s="34" t="s">
        <v>1725</v>
      </c>
      <c r="AZ216" s="34" t="s">
        <v>1747</v>
      </c>
      <c r="BA216" s="28" t="s">
        <v>1752</v>
      </c>
      <c r="BC216" s="33">
        <f>AW216+AX216</f>
        <v>0</v>
      </c>
      <c r="BD216" s="33">
        <f>H216/(100-BE216)*100</f>
        <v>0</v>
      </c>
      <c r="BE216" s="33">
        <v>0</v>
      </c>
      <c r="BF216" s="33">
        <f>216</f>
        <v>216</v>
      </c>
      <c r="BH216" s="16">
        <f>G216*AO216</f>
        <v>0</v>
      </c>
      <c r="BI216" s="16">
        <f>G216*AP216</f>
        <v>0</v>
      </c>
      <c r="BJ216" s="16">
        <f>G216*H216</f>
        <v>0</v>
      </c>
    </row>
    <row r="217" spans="1:62" x14ac:dyDescent="0.2">
      <c r="C217" s="140" t="s">
        <v>1290</v>
      </c>
      <c r="D217" s="141"/>
      <c r="E217" s="141"/>
      <c r="H217" s="164"/>
    </row>
    <row r="218" spans="1:62" x14ac:dyDescent="0.2">
      <c r="A218" s="4" t="s">
        <v>184</v>
      </c>
      <c r="B218" s="4" t="s">
        <v>721</v>
      </c>
      <c r="C218" s="131" t="s">
        <v>1291</v>
      </c>
      <c r="D218" s="132"/>
      <c r="E218" s="132"/>
      <c r="F218" s="4" t="s">
        <v>1665</v>
      </c>
      <c r="G218" s="68">
        <v>1</v>
      </c>
      <c r="H218" s="162">
        <v>0</v>
      </c>
      <c r="I218" s="16">
        <f>G218*AO218</f>
        <v>0</v>
      </c>
      <c r="J218" s="16">
        <f>G218*AP218</f>
        <v>0</v>
      </c>
      <c r="K218" s="16">
        <f>G218*H218</f>
        <v>0</v>
      </c>
      <c r="L218" s="27"/>
      <c r="Z218" s="33">
        <f>IF(AQ218="5",BJ218,0)</f>
        <v>0</v>
      </c>
      <c r="AB218" s="33">
        <f>IF(AQ218="1",BH218,0)</f>
        <v>0</v>
      </c>
      <c r="AC218" s="33">
        <f>IF(AQ218="1",BI218,0)</f>
        <v>0</v>
      </c>
      <c r="AD218" s="33">
        <f>IF(AQ218="7",BH218,0)</f>
        <v>0</v>
      </c>
      <c r="AE218" s="33">
        <f>IF(AQ218="7",BI218,0)</f>
        <v>0</v>
      </c>
      <c r="AF218" s="33">
        <f>IF(AQ218="2",BH218,0)</f>
        <v>0</v>
      </c>
      <c r="AG218" s="33">
        <f>IF(AQ218="2",BI218,0)</f>
        <v>0</v>
      </c>
      <c r="AH218" s="33">
        <f>IF(AQ218="0",BJ218,0)</f>
        <v>0</v>
      </c>
      <c r="AI218" s="28"/>
      <c r="AJ218" s="16">
        <f>IF(AN218=0,K218,0)</f>
        <v>0</v>
      </c>
      <c r="AK218" s="16">
        <f>IF(AN218=15,K218,0)</f>
        <v>0</v>
      </c>
      <c r="AL218" s="16">
        <f>IF(AN218=21,K218,0)</f>
        <v>0</v>
      </c>
      <c r="AN218" s="33">
        <v>21</v>
      </c>
      <c r="AO218" s="33">
        <f>H218*0</f>
        <v>0</v>
      </c>
      <c r="AP218" s="33">
        <f>H218*(1-0)</f>
        <v>0</v>
      </c>
      <c r="AQ218" s="27" t="s">
        <v>13</v>
      </c>
      <c r="AV218" s="33">
        <f>AW218+AX218</f>
        <v>0</v>
      </c>
      <c r="AW218" s="33">
        <f>G218*AO218</f>
        <v>0</v>
      </c>
      <c r="AX218" s="33">
        <f>G218*AP218</f>
        <v>0</v>
      </c>
      <c r="AY218" s="34" t="s">
        <v>1725</v>
      </c>
      <c r="AZ218" s="34" t="s">
        <v>1747</v>
      </c>
      <c r="BA218" s="28" t="s">
        <v>1752</v>
      </c>
      <c r="BC218" s="33">
        <f>AW218+AX218</f>
        <v>0</v>
      </c>
      <c r="BD218" s="33">
        <f>H218/(100-BE218)*100</f>
        <v>0</v>
      </c>
      <c r="BE218" s="33">
        <v>0</v>
      </c>
      <c r="BF218" s="33">
        <f>218</f>
        <v>218</v>
      </c>
      <c r="BH218" s="16">
        <f>G218*AO218</f>
        <v>0</v>
      </c>
      <c r="BI218" s="16">
        <f>G218*AP218</f>
        <v>0</v>
      </c>
      <c r="BJ218" s="16">
        <f>G218*H218</f>
        <v>0</v>
      </c>
    </row>
    <row r="219" spans="1:62" x14ac:dyDescent="0.2">
      <c r="C219" s="140" t="s">
        <v>1292</v>
      </c>
      <c r="D219" s="141"/>
      <c r="E219" s="141"/>
      <c r="H219" s="164"/>
    </row>
    <row r="220" spans="1:62" x14ac:dyDescent="0.2">
      <c r="A220" s="4" t="s">
        <v>185</v>
      </c>
      <c r="B220" s="4" t="s">
        <v>722</v>
      </c>
      <c r="C220" s="131" t="s">
        <v>1293</v>
      </c>
      <c r="D220" s="132"/>
      <c r="E220" s="132"/>
      <c r="F220" s="4" t="s">
        <v>1665</v>
      </c>
      <c r="G220" s="68">
        <v>2</v>
      </c>
      <c r="H220" s="162">
        <v>0</v>
      </c>
      <c r="I220" s="16">
        <f>G220*AO220</f>
        <v>0</v>
      </c>
      <c r="J220" s="16">
        <f>G220*AP220</f>
        <v>0</v>
      </c>
      <c r="K220" s="16">
        <f>G220*H220</f>
        <v>0</v>
      </c>
      <c r="L220" s="27"/>
      <c r="Z220" s="33">
        <f>IF(AQ220="5",BJ220,0)</f>
        <v>0</v>
      </c>
      <c r="AB220" s="33">
        <f>IF(AQ220="1",BH220,0)</f>
        <v>0</v>
      </c>
      <c r="AC220" s="33">
        <f>IF(AQ220="1",BI220,0)</f>
        <v>0</v>
      </c>
      <c r="AD220" s="33">
        <f>IF(AQ220="7",BH220,0)</f>
        <v>0</v>
      </c>
      <c r="AE220" s="33">
        <f>IF(AQ220="7",BI220,0)</f>
        <v>0</v>
      </c>
      <c r="AF220" s="33">
        <f>IF(AQ220="2",BH220,0)</f>
        <v>0</v>
      </c>
      <c r="AG220" s="33">
        <f>IF(AQ220="2",BI220,0)</f>
        <v>0</v>
      </c>
      <c r="AH220" s="33">
        <f>IF(AQ220="0",BJ220,0)</f>
        <v>0</v>
      </c>
      <c r="AI220" s="28"/>
      <c r="AJ220" s="16">
        <f>IF(AN220=0,K220,0)</f>
        <v>0</v>
      </c>
      <c r="AK220" s="16">
        <f>IF(AN220=15,K220,0)</f>
        <v>0</v>
      </c>
      <c r="AL220" s="16">
        <f>IF(AN220=21,K220,0)</f>
        <v>0</v>
      </c>
      <c r="AN220" s="33">
        <v>21</v>
      </c>
      <c r="AO220" s="33">
        <f>H220*0</f>
        <v>0</v>
      </c>
      <c r="AP220" s="33">
        <f>H220*(1-0)</f>
        <v>0</v>
      </c>
      <c r="AQ220" s="27" t="s">
        <v>13</v>
      </c>
      <c r="AV220" s="33">
        <f>AW220+AX220</f>
        <v>0</v>
      </c>
      <c r="AW220" s="33">
        <f>G220*AO220</f>
        <v>0</v>
      </c>
      <c r="AX220" s="33">
        <f>G220*AP220</f>
        <v>0</v>
      </c>
      <c r="AY220" s="34" t="s">
        <v>1725</v>
      </c>
      <c r="AZ220" s="34" t="s">
        <v>1747</v>
      </c>
      <c r="BA220" s="28" t="s">
        <v>1752</v>
      </c>
      <c r="BC220" s="33">
        <f>AW220+AX220</f>
        <v>0</v>
      </c>
      <c r="BD220" s="33">
        <f>H220/(100-BE220)*100</f>
        <v>0</v>
      </c>
      <c r="BE220" s="33">
        <v>0</v>
      </c>
      <c r="BF220" s="33">
        <f>220</f>
        <v>220</v>
      </c>
      <c r="BH220" s="16">
        <f>G220*AO220</f>
        <v>0</v>
      </c>
      <c r="BI220" s="16">
        <f>G220*AP220</f>
        <v>0</v>
      </c>
      <c r="BJ220" s="16">
        <f>G220*H220</f>
        <v>0</v>
      </c>
    </row>
    <row r="221" spans="1:62" x14ac:dyDescent="0.2">
      <c r="C221" s="140" t="s">
        <v>1294</v>
      </c>
      <c r="D221" s="141"/>
      <c r="E221" s="141"/>
      <c r="H221" s="164"/>
    </row>
    <row r="222" spans="1:62" x14ac:dyDescent="0.2">
      <c r="A222" s="4" t="s">
        <v>186</v>
      </c>
      <c r="B222" s="4" t="s">
        <v>723</v>
      </c>
      <c r="C222" s="131" t="s">
        <v>1295</v>
      </c>
      <c r="D222" s="132"/>
      <c r="E222" s="132"/>
      <c r="F222" s="4" t="s">
        <v>1668</v>
      </c>
      <c r="G222" s="68">
        <v>10</v>
      </c>
      <c r="H222" s="162">
        <v>0</v>
      </c>
      <c r="I222" s="16">
        <f t="shared" ref="I222:I232" si="200">G222*AO222</f>
        <v>0</v>
      </c>
      <c r="J222" s="16">
        <f t="shared" ref="J222:J232" si="201">G222*AP222</f>
        <v>0</v>
      </c>
      <c r="K222" s="16">
        <f t="shared" ref="K222:K232" si="202">G222*H222</f>
        <v>0</v>
      </c>
      <c r="L222" s="27"/>
      <c r="Z222" s="33">
        <f t="shared" ref="Z222:Z232" si="203">IF(AQ222="5",BJ222,0)</f>
        <v>0</v>
      </c>
      <c r="AB222" s="33">
        <f t="shared" ref="AB222:AB232" si="204">IF(AQ222="1",BH222,0)</f>
        <v>0</v>
      </c>
      <c r="AC222" s="33">
        <f t="shared" ref="AC222:AC232" si="205">IF(AQ222="1",BI222,0)</f>
        <v>0</v>
      </c>
      <c r="AD222" s="33">
        <f t="shared" ref="AD222:AD232" si="206">IF(AQ222="7",BH222,0)</f>
        <v>0</v>
      </c>
      <c r="AE222" s="33">
        <f t="shared" ref="AE222:AE232" si="207">IF(AQ222="7",BI222,0)</f>
        <v>0</v>
      </c>
      <c r="AF222" s="33">
        <f t="shared" ref="AF222:AF232" si="208">IF(AQ222="2",BH222,0)</f>
        <v>0</v>
      </c>
      <c r="AG222" s="33">
        <f t="shared" ref="AG222:AG232" si="209">IF(AQ222="2",BI222,0)</f>
        <v>0</v>
      </c>
      <c r="AH222" s="33">
        <f t="shared" ref="AH222:AH232" si="210">IF(AQ222="0",BJ222,0)</f>
        <v>0</v>
      </c>
      <c r="AI222" s="28"/>
      <c r="AJ222" s="16">
        <f t="shared" ref="AJ222:AJ232" si="211">IF(AN222=0,K222,0)</f>
        <v>0</v>
      </c>
      <c r="AK222" s="16">
        <f t="shared" ref="AK222:AK232" si="212">IF(AN222=15,K222,0)</f>
        <v>0</v>
      </c>
      <c r="AL222" s="16">
        <f t="shared" ref="AL222:AL232" si="213">IF(AN222=21,K222,0)</f>
        <v>0</v>
      </c>
      <c r="AN222" s="33">
        <v>21</v>
      </c>
      <c r="AO222" s="33">
        <f t="shared" ref="AO222:AO232" si="214">H222*0</f>
        <v>0</v>
      </c>
      <c r="AP222" s="33">
        <f t="shared" ref="AP222:AP232" si="215">H222*(1-0)</f>
        <v>0</v>
      </c>
      <c r="AQ222" s="27" t="s">
        <v>13</v>
      </c>
      <c r="AV222" s="33">
        <f t="shared" ref="AV222:AV232" si="216">AW222+AX222</f>
        <v>0</v>
      </c>
      <c r="AW222" s="33">
        <f t="shared" ref="AW222:AW232" si="217">G222*AO222</f>
        <v>0</v>
      </c>
      <c r="AX222" s="33">
        <f t="shared" ref="AX222:AX232" si="218">G222*AP222</f>
        <v>0</v>
      </c>
      <c r="AY222" s="34" t="s">
        <v>1725</v>
      </c>
      <c r="AZ222" s="34" t="s">
        <v>1747</v>
      </c>
      <c r="BA222" s="28" t="s">
        <v>1752</v>
      </c>
      <c r="BC222" s="33">
        <f t="shared" ref="BC222:BC232" si="219">AW222+AX222</f>
        <v>0</v>
      </c>
      <c r="BD222" s="33">
        <f t="shared" ref="BD222:BD232" si="220">H222/(100-BE222)*100</f>
        <v>0</v>
      </c>
      <c r="BE222" s="33">
        <v>0</v>
      </c>
      <c r="BF222" s="33">
        <f>222</f>
        <v>222</v>
      </c>
      <c r="BH222" s="16">
        <f t="shared" ref="BH222:BH232" si="221">G222*AO222</f>
        <v>0</v>
      </c>
      <c r="BI222" s="16">
        <f t="shared" ref="BI222:BI232" si="222">G222*AP222</f>
        <v>0</v>
      </c>
      <c r="BJ222" s="16">
        <f t="shared" ref="BJ222:BJ232" si="223">G222*H222</f>
        <v>0</v>
      </c>
    </row>
    <row r="223" spans="1:62" x14ac:dyDescent="0.2">
      <c r="A223" s="4" t="s">
        <v>187</v>
      </c>
      <c r="B223" s="4" t="s">
        <v>724</v>
      </c>
      <c r="C223" s="131" t="s">
        <v>1296</v>
      </c>
      <c r="D223" s="132"/>
      <c r="E223" s="132"/>
      <c r="F223" s="4" t="s">
        <v>1670</v>
      </c>
      <c r="G223" s="68">
        <v>1</v>
      </c>
      <c r="H223" s="162">
        <v>0</v>
      </c>
      <c r="I223" s="16">
        <f t="shared" si="200"/>
        <v>0</v>
      </c>
      <c r="J223" s="16">
        <f t="shared" si="201"/>
        <v>0</v>
      </c>
      <c r="K223" s="16">
        <f t="shared" si="202"/>
        <v>0</v>
      </c>
      <c r="L223" s="27"/>
      <c r="Z223" s="33">
        <f t="shared" si="203"/>
        <v>0</v>
      </c>
      <c r="AB223" s="33">
        <f t="shared" si="204"/>
        <v>0</v>
      </c>
      <c r="AC223" s="33">
        <f t="shared" si="205"/>
        <v>0</v>
      </c>
      <c r="AD223" s="33">
        <f t="shared" si="206"/>
        <v>0</v>
      </c>
      <c r="AE223" s="33">
        <f t="shared" si="207"/>
        <v>0</v>
      </c>
      <c r="AF223" s="33">
        <f t="shared" si="208"/>
        <v>0</v>
      </c>
      <c r="AG223" s="33">
        <f t="shared" si="209"/>
        <v>0</v>
      </c>
      <c r="AH223" s="33">
        <f t="shared" si="210"/>
        <v>0</v>
      </c>
      <c r="AI223" s="28"/>
      <c r="AJ223" s="16">
        <f t="shared" si="211"/>
        <v>0</v>
      </c>
      <c r="AK223" s="16">
        <f t="shared" si="212"/>
        <v>0</v>
      </c>
      <c r="AL223" s="16">
        <f t="shared" si="213"/>
        <v>0</v>
      </c>
      <c r="AN223" s="33">
        <v>21</v>
      </c>
      <c r="AO223" s="33">
        <f t="shared" si="214"/>
        <v>0</v>
      </c>
      <c r="AP223" s="33">
        <f t="shared" si="215"/>
        <v>0</v>
      </c>
      <c r="AQ223" s="27" t="s">
        <v>13</v>
      </c>
      <c r="AV223" s="33">
        <f t="shared" si="216"/>
        <v>0</v>
      </c>
      <c r="AW223" s="33">
        <f t="shared" si="217"/>
        <v>0</v>
      </c>
      <c r="AX223" s="33">
        <f t="shared" si="218"/>
        <v>0</v>
      </c>
      <c r="AY223" s="34" t="s">
        <v>1725</v>
      </c>
      <c r="AZ223" s="34" t="s">
        <v>1747</v>
      </c>
      <c r="BA223" s="28" t="s">
        <v>1752</v>
      </c>
      <c r="BC223" s="33">
        <f t="shared" si="219"/>
        <v>0</v>
      </c>
      <c r="BD223" s="33">
        <f t="shared" si="220"/>
        <v>0</v>
      </c>
      <c r="BE223" s="33">
        <v>0</v>
      </c>
      <c r="BF223" s="33">
        <f>223</f>
        <v>223</v>
      </c>
      <c r="BH223" s="16">
        <f t="shared" si="221"/>
        <v>0</v>
      </c>
      <c r="BI223" s="16">
        <f t="shared" si="222"/>
        <v>0</v>
      </c>
      <c r="BJ223" s="16">
        <f t="shared" si="223"/>
        <v>0</v>
      </c>
    </row>
    <row r="224" spans="1:62" x14ac:dyDescent="0.2">
      <c r="A224" s="4" t="s">
        <v>188</v>
      </c>
      <c r="B224" s="4" t="s">
        <v>725</v>
      </c>
      <c r="C224" s="131" t="s">
        <v>1297</v>
      </c>
      <c r="D224" s="132"/>
      <c r="E224" s="132"/>
      <c r="F224" s="4" t="s">
        <v>1670</v>
      </c>
      <c r="G224" s="68">
        <v>1</v>
      </c>
      <c r="H224" s="162">
        <v>0</v>
      </c>
      <c r="I224" s="16">
        <f t="shared" si="200"/>
        <v>0</v>
      </c>
      <c r="J224" s="16">
        <f t="shared" si="201"/>
        <v>0</v>
      </c>
      <c r="K224" s="16">
        <f t="shared" si="202"/>
        <v>0</v>
      </c>
      <c r="L224" s="27"/>
      <c r="Z224" s="33">
        <f t="shared" si="203"/>
        <v>0</v>
      </c>
      <c r="AB224" s="33">
        <f t="shared" si="204"/>
        <v>0</v>
      </c>
      <c r="AC224" s="33">
        <f t="shared" si="205"/>
        <v>0</v>
      </c>
      <c r="AD224" s="33">
        <f t="shared" si="206"/>
        <v>0</v>
      </c>
      <c r="AE224" s="33">
        <f t="shared" si="207"/>
        <v>0</v>
      </c>
      <c r="AF224" s="33">
        <f t="shared" si="208"/>
        <v>0</v>
      </c>
      <c r="AG224" s="33">
        <f t="shared" si="209"/>
        <v>0</v>
      </c>
      <c r="AH224" s="33">
        <f t="shared" si="210"/>
        <v>0</v>
      </c>
      <c r="AI224" s="28"/>
      <c r="AJ224" s="16">
        <f t="shared" si="211"/>
        <v>0</v>
      </c>
      <c r="AK224" s="16">
        <f t="shared" si="212"/>
        <v>0</v>
      </c>
      <c r="AL224" s="16">
        <f t="shared" si="213"/>
        <v>0</v>
      </c>
      <c r="AN224" s="33">
        <v>21</v>
      </c>
      <c r="AO224" s="33">
        <f t="shared" si="214"/>
        <v>0</v>
      </c>
      <c r="AP224" s="33">
        <f t="shared" si="215"/>
        <v>0</v>
      </c>
      <c r="AQ224" s="27" t="s">
        <v>13</v>
      </c>
      <c r="AV224" s="33">
        <f t="shared" si="216"/>
        <v>0</v>
      </c>
      <c r="AW224" s="33">
        <f t="shared" si="217"/>
        <v>0</v>
      </c>
      <c r="AX224" s="33">
        <f t="shared" si="218"/>
        <v>0</v>
      </c>
      <c r="AY224" s="34" t="s">
        <v>1725</v>
      </c>
      <c r="AZ224" s="34" t="s">
        <v>1747</v>
      </c>
      <c r="BA224" s="28" t="s">
        <v>1752</v>
      </c>
      <c r="BC224" s="33">
        <f t="shared" si="219"/>
        <v>0</v>
      </c>
      <c r="BD224" s="33">
        <f t="shared" si="220"/>
        <v>0</v>
      </c>
      <c r="BE224" s="33">
        <v>0</v>
      </c>
      <c r="BF224" s="33">
        <f>224</f>
        <v>224</v>
      </c>
      <c r="BH224" s="16">
        <f t="shared" si="221"/>
        <v>0</v>
      </c>
      <c r="BI224" s="16">
        <f t="shared" si="222"/>
        <v>0</v>
      </c>
      <c r="BJ224" s="16">
        <f t="shared" si="223"/>
        <v>0</v>
      </c>
    </row>
    <row r="225" spans="1:62" x14ac:dyDescent="0.2">
      <c r="A225" s="4" t="s">
        <v>189</v>
      </c>
      <c r="B225" s="4" t="s">
        <v>726</v>
      </c>
      <c r="C225" s="131" t="s">
        <v>1298</v>
      </c>
      <c r="D225" s="132"/>
      <c r="E225" s="132"/>
      <c r="F225" s="4" t="s">
        <v>1670</v>
      </c>
      <c r="G225" s="68">
        <v>1</v>
      </c>
      <c r="H225" s="162">
        <v>0</v>
      </c>
      <c r="I225" s="16">
        <f t="shared" si="200"/>
        <v>0</v>
      </c>
      <c r="J225" s="16">
        <f t="shared" si="201"/>
        <v>0</v>
      </c>
      <c r="K225" s="16">
        <f t="shared" si="202"/>
        <v>0</v>
      </c>
      <c r="L225" s="27"/>
      <c r="Z225" s="33">
        <f t="shared" si="203"/>
        <v>0</v>
      </c>
      <c r="AB225" s="33">
        <f t="shared" si="204"/>
        <v>0</v>
      </c>
      <c r="AC225" s="33">
        <f t="shared" si="205"/>
        <v>0</v>
      </c>
      <c r="AD225" s="33">
        <f t="shared" si="206"/>
        <v>0</v>
      </c>
      <c r="AE225" s="33">
        <f t="shared" si="207"/>
        <v>0</v>
      </c>
      <c r="AF225" s="33">
        <f t="shared" si="208"/>
        <v>0</v>
      </c>
      <c r="AG225" s="33">
        <f t="shared" si="209"/>
        <v>0</v>
      </c>
      <c r="AH225" s="33">
        <f t="shared" si="210"/>
        <v>0</v>
      </c>
      <c r="AI225" s="28"/>
      <c r="AJ225" s="16">
        <f t="shared" si="211"/>
        <v>0</v>
      </c>
      <c r="AK225" s="16">
        <f t="shared" si="212"/>
        <v>0</v>
      </c>
      <c r="AL225" s="16">
        <f t="shared" si="213"/>
        <v>0</v>
      </c>
      <c r="AN225" s="33">
        <v>21</v>
      </c>
      <c r="AO225" s="33">
        <f t="shared" si="214"/>
        <v>0</v>
      </c>
      <c r="AP225" s="33">
        <f t="shared" si="215"/>
        <v>0</v>
      </c>
      <c r="AQ225" s="27" t="s">
        <v>13</v>
      </c>
      <c r="AV225" s="33">
        <f t="shared" si="216"/>
        <v>0</v>
      </c>
      <c r="AW225" s="33">
        <f t="shared" si="217"/>
        <v>0</v>
      </c>
      <c r="AX225" s="33">
        <f t="shared" si="218"/>
        <v>0</v>
      </c>
      <c r="AY225" s="34" t="s">
        <v>1725</v>
      </c>
      <c r="AZ225" s="34" t="s">
        <v>1747</v>
      </c>
      <c r="BA225" s="28" t="s">
        <v>1752</v>
      </c>
      <c r="BC225" s="33">
        <f t="shared" si="219"/>
        <v>0</v>
      </c>
      <c r="BD225" s="33">
        <f t="shared" si="220"/>
        <v>0</v>
      </c>
      <c r="BE225" s="33">
        <v>0</v>
      </c>
      <c r="BF225" s="33">
        <f>225</f>
        <v>225</v>
      </c>
      <c r="BH225" s="16">
        <f t="shared" si="221"/>
        <v>0</v>
      </c>
      <c r="BI225" s="16">
        <f t="shared" si="222"/>
        <v>0</v>
      </c>
      <c r="BJ225" s="16">
        <f t="shared" si="223"/>
        <v>0</v>
      </c>
    </row>
    <row r="226" spans="1:62" x14ac:dyDescent="0.2">
      <c r="A226" s="4" t="s">
        <v>190</v>
      </c>
      <c r="B226" s="4" t="s">
        <v>727</v>
      </c>
      <c r="C226" s="131" t="s">
        <v>1299</v>
      </c>
      <c r="D226" s="132"/>
      <c r="E226" s="132"/>
      <c r="F226" s="4" t="s">
        <v>1665</v>
      </c>
      <c r="G226" s="68">
        <v>1</v>
      </c>
      <c r="H226" s="162">
        <v>0</v>
      </c>
      <c r="I226" s="16">
        <f t="shared" si="200"/>
        <v>0</v>
      </c>
      <c r="J226" s="16">
        <f t="shared" si="201"/>
        <v>0</v>
      </c>
      <c r="K226" s="16">
        <f t="shared" si="202"/>
        <v>0</v>
      </c>
      <c r="L226" s="27"/>
      <c r="Z226" s="33">
        <f t="shared" si="203"/>
        <v>0</v>
      </c>
      <c r="AB226" s="33">
        <f t="shared" si="204"/>
        <v>0</v>
      </c>
      <c r="AC226" s="33">
        <f t="shared" si="205"/>
        <v>0</v>
      </c>
      <c r="AD226" s="33">
        <f t="shared" si="206"/>
        <v>0</v>
      </c>
      <c r="AE226" s="33">
        <f t="shared" si="207"/>
        <v>0</v>
      </c>
      <c r="AF226" s="33">
        <f t="shared" si="208"/>
        <v>0</v>
      </c>
      <c r="AG226" s="33">
        <f t="shared" si="209"/>
        <v>0</v>
      </c>
      <c r="AH226" s="33">
        <f t="shared" si="210"/>
        <v>0</v>
      </c>
      <c r="AI226" s="28"/>
      <c r="AJ226" s="16">
        <f t="shared" si="211"/>
        <v>0</v>
      </c>
      <c r="AK226" s="16">
        <f t="shared" si="212"/>
        <v>0</v>
      </c>
      <c r="AL226" s="16">
        <f t="shared" si="213"/>
        <v>0</v>
      </c>
      <c r="AN226" s="33">
        <v>21</v>
      </c>
      <c r="AO226" s="33">
        <f t="shared" si="214"/>
        <v>0</v>
      </c>
      <c r="AP226" s="33">
        <f t="shared" si="215"/>
        <v>0</v>
      </c>
      <c r="AQ226" s="27" t="s">
        <v>13</v>
      </c>
      <c r="AV226" s="33">
        <f t="shared" si="216"/>
        <v>0</v>
      </c>
      <c r="AW226" s="33">
        <f t="shared" si="217"/>
        <v>0</v>
      </c>
      <c r="AX226" s="33">
        <f t="shared" si="218"/>
        <v>0</v>
      </c>
      <c r="AY226" s="34" t="s">
        <v>1725</v>
      </c>
      <c r="AZ226" s="34" t="s">
        <v>1747</v>
      </c>
      <c r="BA226" s="28" t="s">
        <v>1752</v>
      </c>
      <c r="BC226" s="33">
        <f t="shared" si="219"/>
        <v>0</v>
      </c>
      <c r="BD226" s="33">
        <f t="shared" si="220"/>
        <v>0</v>
      </c>
      <c r="BE226" s="33">
        <v>0</v>
      </c>
      <c r="BF226" s="33">
        <f>226</f>
        <v>226</v>
      </c>
      <c r="BH226" s="16">
        <f t="shared" si="221"/>
        <v>0</v>
      </c>
      <c r="BI226" s="16">
        <f t="shared" si="222"/>
        <v>0</v>
      </c>
      <c r="BJ226" s="16">
        <f t="shared" si="223"/>
        <v>0</v>
      </c>
    </row>
    <row r="227" spans="1:62" x14ac:dyDescent="0.2">
      <c r="A227" s="4" t="s">
        <v>191</v>
      </c>
      <c r="B227" s="4" t="s">
        <v>728</v>
      </c>
      <c r="C227" s="131" t="s">
        <v>1300</v>
      </c>
      <c r="D227" s="132"/>
      <c r="E227" s="132"/>
      <c r="F227" s="4" t="s">
        <v>1665</v>
      </c>
      <c r="G227" s="68">
        <v>1</v>
      </c>
      <c r="H227" s="162">
        <v>0</v>
      </c>
      <c r="I227" s="16">
        <f t="shared" si="200"/>
        <v>0</v>
      </c>
      <c r="J227" s="16">
        <f t="shared" si="201"/>
        <v>0</v>
      </c>
      <c r="K227" s="16">
        <f t="shared" si="202"/>
        <v>0</v>
      </c>
      <c r="L227" s="27"/>
      <c r="Z227" s="33">
        <f t="shared" si="203"/>
        <v>0</v>
      </c>
      <c r="AB227" s="33">
        <f t="shared" si="204"/>
        <v>0</v>
      </c>
      <c r="AC227" s="33">
        <f t="shared" si="205"/>
        <v>0</v>
      </c>
      <c r="AD227" s="33">
        <f t="shared" si="206"/>
        <v>0</v>
      </c>
      <c r="AE227" s="33">
        <f t="shared" si="207"/>
        <v>0</v>
      </c>
      <c r="AF227" s="33">
        <f t="shared" si="208"/>
        <v>0</v>
      </c>
      <c r="AG227" s="33">
        <f t="shared" si="209"/>
        <v>0</v>
      </c>
      <c r="AH227" s="33">
        <f t="shared" si="210"/>
        <v>0</v>
      </c>
      <c r="AI227" s="28"/>
      <c r="AJ227" s="16">
        <f t="shared" si="211"/>
        <v>0</v>
      </c>
      <c r="AK227" s="16">
        <f t="shared" si="212"/>
        <v>0</v>
      </c>
      <c r="AL227" s="16">
        <f t="shared" si="213"/>
        <v>0</v>
      </c>
      <c r="AN227" s="33">
        <v>21</v>
      </c>
      <c r="AO227" s="33">
        <f t="shared" si="214"/>
        <v>0</v>
      </c>
      <c r="AP227" s="33">
        <f t="shared" si="215"/>
        <v>0</v>
      </c>
      <c r="AQ227" s="27" t="s">
        <v>13</v>
      </c>
      <c r="AV227" s="33">
        <f t="shared" si="216"/>
        <v>0</v>
      </c>
      <c r="AW227" s="33">
        <f t="shared" si="217"/>
        <v>0</v>
      </c>
      <c r="AX227" s="33">
        <f t="shared" si="218"/>
        <v>0</v>
      </c>
      <c r="AY227" s="34" t="s">
        <v>1725</v>
      </c>
      <c r="AZ227" s="34" t="s">
        <v>1747</v>
      </c>
      <c r="BA227" s="28" t="s">
        <v>1752</v>
      </c>
      <c r="BC227" s="33">
        <f t="shared" si="219"/>
        <v>0</v>
      </c>
      <c r="BD227" s="33">
        <f t="shared" si="220"/>
        <v>0</v>
      </c>
      <c r="BE227" s="33">
        <v>0</v>
      </c>
      <c r="BF227" s="33">
        <f>227</f>
        <v>227</v>
      </c>
      <c r="BH227" s="16">
        <f t="shared" si="221"/>
        <v>0</v>
      </c>
      <c r="BI227" s="16">
        <f t="shared" si="222"/>
        <v>0</v>
      </c>
      <c r="BJ227" s="16">
        <f t="shared" si="223"/>
        <v>0</v>
      </c>
    </row>
    <row r="228" spans="1:62" x14ac:dyDescent="0.2">
      <c r="A228" s="4" t="s">
        <v>192</v>
      </c>
      <c r="B228" s="4" t="s">
        <v>729</v>
      </c>
      <c r="C228" s="131" t="s">
        <v>1301</v>
      </c>
      <c r="D228" s="132"/>
      <c r="E228" s="132"/>
      <c r="F228" s="4" t="s">
        <v>1670</v>
      </c>
      <c r="G228" s="68">
        <v>1</v>
      </c>
      <c r="H228" s="162">
        <v>0</v>
      </c>
      <c r="I228" s="16">
        <f t="shared" si="200"/>
        <v>0</v>
      </c>
      <c r="J228" s="16">
        <f t="shared" si="201"/>
        <v>0</v>
      </c>
      <c r="K228" s="16">
        <f t="shared" si="202"/>
        <v>0</v>
      </c>
      <c r="L228" s="27"/>
      <c r="Z228" s="33">
        <f t="shared" si="203"/>
        <v>0</v>
      </c>
      <c r="AB228" s="33">
        <f t="shared" si="204"/>
        <v>0</v>
      </c>
      <c r="AC228" s="33">
        <f t="shared" si="205"/>
        <v>0</v>
      </c>
      <c r="AD228" s="33">
        <f t="shared" si="206"/>
        <v>0</v>
      </c>
      <c r="AE228" s="33">
        <f t="shared" si="207"/>
        <v>0</v>
      </c>
      <c r="AF228" s="33">
        <f t="shared" si="208"/>
        <v>0</v>
      </c>
      <c r="AG228" s="33">
        <f t="shared" si="209"/>
        <v>0</v>
      </c>
      <c r="AH228" s="33">
        <f t="shared" si="210"/>
        <v>0</v>
      </c>
      <c r="AI228" s="28"/>
      <c r="AJ228" s="16">
        <f t="shared" si="211"/>
        <v>0</v>
      </c>
      <c r="AK228" s="16">
        <f t="shared" si="212"/>
        <v>0</v>
      </c>
      <c r="AL228" s="16">
        <f t="shared" si="213"/>
        <v>0</v>
      </c>
      <c r="AN228" s="33">
        <v>21</v>
      </c>
      <c r="AO228" s="33">
        <f t="shared" si="214"/>
        <v>0</v>
      </c>
      <c r="AP228" s="33">
        <f t="shared" si="215"/>
        <v>0</v>
      </c>
      <c r="AQ228" s="27" t="s">
        <v>13</v>
      </c>
      <c r="AV228" s="33">
        <f t="shared" si="216"/>
        <v>0</v>
      </c>
      <c r="AW228" s="33">
        <f t="shared" si="217"/>
        <v>0</v>
      </c>
      <c r="AX228" s="33">
        <f t="shared" si="218"/>
        <v>0</v>
      </c>
      <c r="AY228" s="34" t="s">
        <v>1725</v>
      </c>
      <c r="AZ228" s="34" t="s">
        <v>1747</v>
      </c>
      <c r="BA228" s="28" t="s">
        <v>1752</v>
      </c>
      <c r="BC228" s="33">
        <f t="shared" si="219"/>
        <v>0</v>
      </c>
      <c r="BD228" s="33">
        <f t="shared" si="220"/>
        <v>0</v>
      </c>
      <c r="BE228" s="33">
        <v>0</v>
      </c>
      <c r="BF228" s="33">
        <f>228</f>
        <v>228</v>
      </c>
      <c r="BH228" s="16">
        <f t="shared" si="221"/>
        <v>0</v>
      </c>
      <c r="BI228" s="16">
        <f t="shared" si="222"/>
        <v>0</v>
      </c>
      <c r="BJ228" s="16">
        <f t="shared" si="223"/>
        <v>0</v>
      </c>
    </row>
    <row r="229" spans="1:62" x14ac:dyDescent="0.2">
      <c r="A229" s="4" t="s">
        <v>193</v>
      </c>
      <c r="B229" s="4" t="s">
        <v>730</v>
      </c>
      <c r="C229" s="131" t="s">
        <v>1302</v>
      </c>
      <c r="D229" s="132"/>
      <c r="E229" s="132"/>
      <c r="F229" s="4" t="s">
        <v>1670</v>
      </c>
      <c r="G229" s="68">
        <v>1</v>
      </c>
      <c r="H229" s="162">
        <v>0</v>
      </c>
      <c r="I229" s="16">
        <f t="shared" si="200"/>
        <v>0</v>
      </c>
      <c r="J229" s="16">
        <f t="shared" si="201"/>
        <v>0</v>
      </c>
      <c r="K229" s="16">
        <f t="shared" si="202"/>
        <v>0</v>
      </c>
      <c r="L229" s="27"/>
      <c r="Z229" s="33">
        <f t="shared" si="203"/>
        <v>0</v>
      </c>
      <c r="AB229" s="33">
        <f t="shared" si="204"/>
        <v>0</v>
      </c>
      <c r="AC229" s="33">
        <f t="shared" si="205"/>
        <v>0</v>
      </c>
      <c r="AD229" s="33">
        <f t="shared" si="206"/>
        <v>0</v>
      </c>
      <c r="AE229" s="33">
        <f t="shared" si="207"/>
        <v>0</v>
      </c>
      <c r="AF229" s="33">
        <f t="shared" si="208"/>
        <v>0</v>
      </c>
      <c r="AG229" s="33">
        <f t="shared" si="209"/>
        <v>0</v>
      </c>
      <c r="AH229" s="33">
        <f t="shared" si="210"/>
        <v>0</v>
      </c>
      <c r="AI229" s="28"/>
      <c r="AJ229" s="16">
        <f t="shared" si="211"/>
        <v>0</v>
      </c>
      <c r="AK229" s="16">
        <f t="shared" si="212"/>
        <v>0</v>
      </c>
      <c r="AL229" s="16">
        <f t="shared" si="213"/>
        <v>0</v>
      </c>
      <c r="AN229" s="33">
        <v>21</v>
      </c>
      <c r="AO229" s="33">
        <f t="shared" si="214"/>
        <v>0</v>
      </c>
      <c r="AP229" s="33">
        <f t="shared" si="215"/>
        <v>0</v>
      </c>
      <c r="AQ229" s="27" t="s">
        <v>13</v>
      </c>
      <c r="AV229" s="33">
        <f t="shared" si="216"/>
        <v>0</v>
      </c>
      <c r="AW229" s="33">
        <f t="shared" si="217"/>
        <v>0</v>
      </c>
      <c r="AX229" s="33">
        <f t="shared" si="218"/>
        <v>0</v>
      </c>
      <c r="AY229" s="34" t="s">
        <v>1725</v>
      </c>
      <c r="AZ229" s="34" t="s">
        <v>1747</v>
      </c>
      <c r="BA229" s="28" t="s">
        <v>1752</v>
      </c>
      <c r="BC229" s="33">
        <f t="shared" si="219"/>
        <v>0</v>
      </c>
      <c r="BD229" s="33">
        <f t="shared" si="220"/>
        <v>0</v>
      </c>
      <c r="BE229" s="33">
        <v>0</v>
      </c>
      <c r="BF229" s="33">
        <f>229</f>
        <v>229</v>
      </c>
      <c r="BH229" s="16">
        <f t="shared" si="221"/>
        <v>0</v>
      </c>
      <c r="BI229" s="16">
        <f t="shared" si="222"/>
        <v>0</v>
      </c>
      <c r="BJ229" s="16">
        <f t="shared" si="223"/>
        <v>0</v>
      </c>
    </row>
    <row r="230" spans="1:62" x14ac:dyDescent="0.2">
      <c r="A230" s="4" t="s">
        <v>194</v>
      </c>
      <c r="B230" s="4" t="s">
        <v>731</v>
      </c>
      <c r="C230" s="131" t="s">
        <v>1303</v>
      </c>
      <c r="D230" s="132"/>
      <c r="E230" s="132"/>
      <c r="F230" s="4" t="s">
        <v>1665</v>
      </c>
      <c r="G230" s="68">
        <v>1</v>
      </c>
      <c r="H230" s="162">
        <v>0</v>
      </c>
      <c r="I230" s="16">
        <f t="shared" si="200"/>
        <v>0</v>
      </c>
      <c r="J230" s="16">
        <f t="shared" si="201"/>
        <v>0</v>
      </c>
      <c r="K230" s="16">
        <f t="shared" si="202"/>
        <v>0</v>
      </c>
      <c r="L230" s="27"/>
      <c r="Z230" s="33">
        <f t="shared" si="203"/>
        <v>0</v>
      </c>
      <c r="AB230" s="33">
        <f t="shared" si="204"/>
        <v>0</v>
      </c>
      <c r="AC230" s="33">
        <f t="shared" si="205"/>
        <v>0</v>
      </c>
      <c r="AD230" s="33">
        <f t="shared" si="206"/>
        <v>0</v>
      </c>
      <c r="AE230" s="33">
        <f t="shared" si="207"/>
        <v>0</v>
      </c>
      <c r="AF230" s="33">
        <f t="shared" si="208"/>
        <v>0</v>
      </c>
      <c r="AG230" s="33">
        <f t="shared" si="209"/>
        <v>0</v>
      </c>
      <c r="AH230" s="33">
        <f t="shared" si="210"/>
        <v>0</v>
      </c>
      <c r="AI230" s="28"/>
      <c r="AJ230" s="16">
        <f t="shared" si="211"/>
        <v>0</v>
      </c>
      <c r="AK230" s="16">
        <f t="shared" si="212"/>
        <v>0</v>
      </c>
      <c r="AL230" s="16">
        <f t="shared" si="213"/>
        <v>0</v>
      </c>
      <c r="AN230" s="33">
        <v>21</v>
      </c>
      <c r="AO230" s="33">
        <f t="shared" si="214"/>
        <v>0</v>
      </c>
      <c r="AP230" s="33">
        <f t="shared" si="215"/>
        <v>0</v>
      </c>
      <c r="AQ230" s="27" t="s">
        <v>13</v>
      </c>
      <c r="AV230" s="33">
        <f t="shared" si="216"/>
        <v>0</v>
      </c>
      <c r="AW230" s="33">
        <f t="shared" si="217"/>
        <v>0</v>
      </c>
      <c r="AX230" s="33">
        <f t="shared" si="218"/>
        <v>0</v>
      </c>
      <c r="AY230" s="34" t="s">
        <v>1725</v>
      </c>
      <c r="AZ230" s="34" t="s">
        <v>1747</v>
      </c>
      <c r="BA230" s="28" t="s">
        <v>1752</v>
      </c>
      <c r="BC230" s="33">
        <f t="shared" si="219"/>
        <v>0</v>
      </c>
      <c r="BD230" s="33">
        <f t="shared" si="220"/>
        <v>0</v>
      </c>
      <c r="BE230" s="33">
        <v>0</v>
      </c>
      <c r="BF230" s="33">
        <f>230</f>
        <v>230</v>
      </c>
      <c r="BH230" s="16">
        <f t="shared" si="221"/>
        <v>0</v>
      </c>
      <c r="BI230" s="16">
        <f t="shared" si="222"/>
        <v>0</v>
      </c>
      <c r="BJ230" s="16">
        <f t="shared" si="223"/>
        <v>0</v>
      </c>
    </row>
    <row r="231" spans="1:62" x14ac:dyDescent="0.2">
      <c r="A231" s="4" t="s">
        <v>195</v>
      </c>
      <c r="B231" s="4" t="s">
        <v>732</v>
      </c>
      <c r="C231" s="131" t="s">
        <v>1304</v>
      </c>
      <c r="D231" s="132"/>
      <c r="E231" s="132"/>
      <c r="F231" s="4" t="s">
        <v>1665</v>
      </c>
      <c r="G231" s="68">
        <v>1</v>
      </c>
      <c r="H231" s="162">
        <v>0</v>
      </c>
      <c r="I231" s="16">
        <f t="shared" si="200"/>
        <v>0</v>
      </c>
      <c r="J231" s="16">
        <f t="shared" si="201"/>
        <v>0</v>
      </c>
      <c r="K231" s="16">
        <f t="shared" si="202"/>
        <v>0</v>
      </c>
      <c r="L231" s="27"/>
      <c r="Z231" s="33">
        <f t="shared" si="203"/>
        <v>0</v>
      </c>
      <c r="AB231" s="33">
        <f t="shared" si="204"/>
        <v>0</v>
      </c>
      <c r="AC231" s="33">
        <f t="shared" si="205"/>
        <v>0</v>
      </c>
      <c r="AD231" s="33">
        <f t="shared" si="206"/>
        <v>0</v>
      </c>
      <c r="AE231" s="33">
        <f t="shared" si="207"/>
        <v>0</v>
      </c>
      <c r="AF231" s="33">
        <f t="shared" si="208"/>
        <v>0</v>
      </c>
      <c r="AG231" s="33">
        <f t="shared" si="209"/>
        <v>0</v>
      </c>
      <c r="AH231" s="33">
        <f t="shared" si="210"/>
        <v>0</v>
      </c>
      <c r="AI231" s="28"/>
      <c r="AJ231" s="16">
        <f t="shared" si="211"/>
        <v>0</v>
      </c>
      <c r="AK231" s="16">
        <f t="shared" si="212"/>
        <v>0</v>
      </c>
      <c r="AL231" s="16">
        <f t="shared" si="213"/>
        <v>0</v>
      </c>
      <c r="AN231" s="33">
        <v>21</v>
      </c>
      <c r="AO231" s="33">
        <f t="shared" si="214"/>
        <v>0</v>
      </c>
      <c r="AP231" s="33">
        <f t="shared" si="215"/>
        <v>0</v>
      </c>
      <c r="AQ231" s="27" t="s">
        <v>13</v>
      </c>
      <c r="AV231" s="33">
        <f t="shared" si="216"/>
        <v>0</v>
      </c>
      <c r="AW231" s="33">
        <f t="shared" si="217"/>
        <v>0</v>
      </c>
      <c r="AX231" s="33">
        <f t="shared" si="218"/>
        <v>0</v>
      </c>
      <c r="AY231" s="34" t="s">
        <v>1725</v>
      </c>
      <c r="AZ231" s="34" t="s">
        <v>1747</v>
      </c>
      <c r="BA231" s="28" t="s">
        <v>1752</v>
      </c>
      <c r="BC231" s="33">
        <f t="shared" si="219"/>
        <v>0</v>
      </c>
      <c r="BD231" s="33">
        <f t="shared" si="220"/>
        <v>0</v>
      </c>
      <c r="BE231" s="33">
        <v>0</v>
      </c>
      <c r="BF231" s="33">
        <f>231</f>
        <v>231</v>
      </c>
      <c r="BH231" s="16">
        <f t="shared" si="221"/>
        <v>0</v>
      </c>
      <c r="BI231" s="16">
        <f t="shared" si="222"/>
        <v>0</v>
      </c>
      <c r="BJ231" s="16">
        <f t="shared" si="223"/>
        <v>0</v>
      </c>
    </row>
    <row r="232" spans="1:62" x14ac:dyDescent="0.2">
      <c r="A232" s="4" t="s">
        <v>196</v>
      </c>
      <c r="B232" s="4" t="s">
        <v>733</v>
      </c>
      <c r="C232" s="131" t="s">
        <v>1305</v>
      </c>
      <c r="D232" s="132"/>
      <c r="E232" s="132"/>
      <c r="F232" s="4" t="s">
        <v>1665</v>
      </c>
      <c r="G232" s="68">
        <v>1</v>
      </c>
      <c r="H232" s="162">
        <v>0</v>
      </c>
      <c r="I232" s="16">
        <f t="shared" si="200"/>
        <v>0</v>
      </c>
      <c r="J232" s="16">
        <f t="shared" si="201"/>
        <v>0</v>
      </c>
      <c r="K232" s="16">
        <f t="shared" si="202"/>
        <v>0</v>
      </c>
      <c r="L232" s="27"/>
      <c r="Z232" s="33">
        <f t="shared" si="203"/>
        <v>0</v>
      </c>
      <c r="AB232" s="33">
        <f t="shared" si="204"/>
        <v>0</v>
      </c>
      <c r="AC232" s="33">
        <f t="shared" si="205"/>
        <v>0</v>
      </c>
      <c r="AD232" s="33">
        <f t="shared" si="206"/>
        <v>0</v>
      </c>
      <c r="AE232" s="33">
        <f t="shared" si="207"/>
        <v>0</v>
      </c>
      <c r="AF232" s="33">
        <f t="shared" si="208"/>
        <v>0</v>
      </c>
      <c r="AG232" s="33">
        <f t="shared" si="209"/>
        <v>0</v>
      </c>
      <c r="AH232" s="33">
        <f t="shared" si="210"/>
        <v>0</v>
      </c>
      <c r="AI232" s="28"/>
      <c r="AJ232" s="16">
        <f t="shared" si="211"/>
        <v>0</v>
      </c>
      <c r="AK232" s="16">
        <f t="shared" si="212"/>
        <v>0</v>
      </c>
      <c r="AL232" s="16">
        <f t="shared" si="213"/>
        <v>0</v>
      </c>
      <c r="AN232" s="33">
        <v>21</v>
      </c>
      <c r="AO232" s="33">
        <f t="shared" si="214"/>
        <v>0</v>
      </c>
      <c r="AP232" s="33">
        <f t="shared" si="215"/>
        <v>0</v>
      </c>
      <c r="AQ232" s="27" t="s">
        <v>13</v>
      </c>
      <c r="AV232" s="33">
        <f t="shared" si="216"/>
        <v>0</v>
      </c>
      <c r="AW232" s="33">
        <f t="shared" si="217"/>
        <v>0</v>
      </c>
      <c r="AX232" s="33">
        <f t="shared" si="218"/>
        <v>0</v>
      </c>
      <c r="AY232" s="34" t="s">
        <v>1725</v>
      </c>
      <c r="AZ232" s="34" t="s">
        <v>1747</v>
      </c>
      <c r="BA232" s="28" t="s">
        <v>1752</v>
      </c>
      <c r="BC232" s="33">
        <f t="shared" si="219"/>
        <v>0</v>
      </c>
      <c r="BD232" s="33">
        <f t="shared" si="220"/>
        <v>0</v>
      </c>
      <c r="BE232" s="33">
        <v>0</v>
      </c>
      <c r="BF232" s="33">
        <f>232</f>
        <v>232</v>
      </c>
      <c r="BH232" s="16">
        <f t="shared" si="221"/>
        <v>0</v>
      </c>
      <c r="BI232" s="16">
        <f t="shared" si="222"/>
        <v>0</v>
      </c>
      <c r="BJ232" s="16">
        <f t="shared" si="223"/>
        <v>0</v>
      </c>
    </row>
    <row r="233" spans="1:62" x14ac:dyDescent="0.2">
      <c r="C233" s="140" t="s">
        <v>1306</v>
      </c>
      <c r="D233" s="141"/>
      <c r="E233" s="141"/>
      <c r="H233" s="164"/>
    </row>
    <row r="234" spans="1:62" x14ac:dyDescent="0.2">
      <c r="A234" s="5"/>
      <c r="B234" s="13" t="s">
        <v>734</v>
      </c>
      <c r="C234" s="136" t="s">
        <v>1307</v>
      </c>
      <c r="D234" s="137"/>
      <c r="E234" s="137"/>
      <c r="F234" s="5" t="s">
        <v>6</v>
      </c>
      <c r="G234" s="5" t="s">
        <v>6</v>
      </c>
      <c r="H234" s="163" t="s">
        <v>6</v>
      </c>
      <c r="I234" s="36">
        <f>SUM(I235:I268)</f>
        <v>0</v>
      </c>
      <c r="J234" s="36">
        <f>SUM(J235:J268)</f>
        <v>0</v>
      </c>
      <c r="K234" s="36">
        <f>SUM(K235:K268)</f>
        <v>0</v>
      </c>
      <c r="L234" s="28"/>
      <c r="AI234" s="28"/>
      <c r="AS234" s="36">
        <f>SUM(AJ235:AJ268)</f>
        <v>0</v>
      </c>
      <c r="AT234" s="36">
        <f>SUM(AK235:AK268)</f>
        <v>0</v>
      </c>
      <c r="AU234" s="36">
        <f>SUM(AL235:AL268)</f>
        <v>0</v>
      </c>
    </row>
    <row r="235" spans="1:62" x14ac:dyDescent="0.2">
      <c r="A235" s="4" t="s">
        <v>197</v>
      </c>
      <c r="B235" s="4" t="s">
        <v>735</v>
      </c>
      <c r="C235" s="131" t="s">
        <v>1308</v>
      </c>
      <c r="D235" s="132"/>
      <c r="E235" s="132"/>
      <c r="F235" s="4" t="s">
        <v>1666</v>
      </c>
      <c r="G235" s="68">
        <v>7.5</v>
      </c>
      <c r="H235" s="162">
        <v>0</v>
      </c>
      <c r="I235" s="16">
        <f>G235*AO235</f>
        <v>0</v>
      </c>
      <c r="J235" s="16">
        <f>G235*AP235</f>
        <v>0</v>
      </c>
      <c r="K235" s="16">
        <f>G235*H235</f>
        <v>0</v>
      </c>
      <c r="L235" s="27"/>
      <c r="Z235" s="33">
        <f>IF(AQ235="5",BJ235,0)</f>
        <v>0</v>
      </c>
      <c r="AB235" s="33">
        <f>IF(AQ235="1",BH235,0)</f>
        <v>0</v>
      </c>
      <c r="AC235" s="33">
        <f>IF(AQ235="1",BI235,0)</f>
        <v>0</v>
      </c>
      <c r="AD235" s="33">
        <f>IF(AQ235="7",BH235,0)</f>
        <v>0</v>
      </c>
      <c r="AE235" s="33">
        <f>IF(AQ235="7",BI235,0)</f>
        <v>0</v>
      </c>
      <c r="AF235" s="33">
        <f>IF(AQ235="2",BH235,0)</f>
        <v>0</v>
      </c>
      <c r="AG235" s="33">
        <f>IF(AQ235="2",BI235,0)</f>
        <v>0</v>
      </c>
      <c r="AH235" s="33">
        <f>IF(AQ235="0",BJ235,0)</f>
        <v>0</v>
      </c>
      <c r="AI235" s="28"/>
      <c r="AJ235" s="16">
        <f>IF(AN235=0,K235,0)</f>
        <v>0</v>
      </c>
      <c r="AK235" s="16">
        <f>IF(AN235=15,K235,0)</f>
        <v>0</v>
      </c>
      <c r="AL235" s="16">
        <f>IF(AN235=21,K235,0)</f>
        <v>0</v>
      </c>
      <c r="AN235" s="33">
        <v>21</v>
      </c>
      <c r="AO235" s="33">
        <f>H235*0</f>
        <v>0</v>
      </c>
      <c r="AP235" s="33">
        <f>H235*(1-0)</f>
        <v>0</v>
      </c>
      <c r="AQ235" s="27" t="s">
        <v>13</v>
      </c>
      <c r="AV235" s="33">
        <f>AW235+AX235</f>
        <v>0</v>
      </c>
      <c r="AW235" s="33">
        <f>G235*AO235</f>
        <v>0</v>
      </c>
      <c r="AX235" s="33">
        <f>G235*AP235</f>
        <v>0</v>
      </c>
      <c r="AY235" s="34" t="s">
        <v>1726</v>
      </c>
      <c r="AZ235" s="34" t="s">
        <v>1747</v>
      </c>
      <c r="BA235" s="28" t="s">
        <v>1752</v>
      </c>
      <c r="BC235" s="33">
        <f>AW235+AX235</f>
        <v>0</v>
      </c>
      <c r="BD235" s="33">
        <f>H235/(100-BE235)*100</f>
        <v>0</v>
      </c>
      <c r="BE235" s="33">
        <v>0</v>
      </c>
      <c r="BF235" s="33">
        <f>235</f>
        <v>235</v>
      </c>
      <c r="BH235" s="16">
        <f>G235*AO235</f>
        <v>0</v>
      </c>
      <c r="BI235" s="16">
        <f>G235*AP235</f>
        <v>0</v>
      </c>
      <c r="BJ235" s="16">
        <f>G235*H235</f>
        <v>0</v>
      </c>
    </row>
    <row r="236" spans="1:62" x14ac:dyDescent="0.2">
      <c r="C236" s="140" t="s">
        <v>1309</v>
      </c>
      <c r="D236" s="141"/>
      <c r="E236" s="141"/>
      <c r="H236" s="164"/>
    </row>
    <row r="237" spans="1:62" x14ac:dyDescent="0.2">
      <c r="A237" s="4" t="s">
        <v>198</v>
      </c>
      <c r="B237" s="4" t="s">
        <v>736</v>
      </c>
      <c r="C237" s="131" t="s">
        <v>1310</v>
      </c>
      <c r="D237" s="132"/>
      <c r="E237" s="132"/>
      <c r="F237" s="4" t="s">
        <v>1665</v>
      </c>
      <c r="G237" s="68">
        <v>1</v>
      </c>
      <c r="H237" s="162">
        <v>0</v>
      </c>
      <c r="I237" s="16">
        <f>G237*AO237</f>
        <v>0</v>
      </c>
      <c r="J237" s="16">
        <f>G237*AP237</f>
        <v>0</v>
      </c>
      <c r="K237" s="16">
        <f>G237*H237</f>
        <v>0</v>
      </c>
      <c r="L237" s="27"/>
      <c r="Z237" s="33">
        <f>IF(AQ237="5",BJ237,0)</f>
        <v>0</v>
      </c>
      <c r="AB237" s="33">
        <f>IF(AQ237="1",BH237,0)</f>
        <v>0</v>
      </c>
      <c r="AC237" s="33">
        <f>IF(AQ237="1",BI237,0)</f>
        <v>0</v>
      </c>
      <c r="AD237" s="33">
        <f>IF(AQ237="7",BH237,0)</f>
        <v>0</v>
      </c>
      <c r="AE237" s="33">
        <f>IF(AQ237="7",BI237,0)</f>
        <v>0</v>
      </c>
      <c r="AF237" s="33">
        <f>IF(AQ237="2",BH237,0)</f>
        <v>0</v>
      </c>
      <c r="AG237" s="33">
        <f>IF(AQ237="2",BI237,0)</f>
        <v>0</v>
      </c>
      <c r="AH237" s="33">
        <f>IF(AQ237="0",BJ237,0)</f>
        <v>0</v>
      </c>
      <c r="AI237" s="28"/>
      <c r="AJ237" s="16">
        <f>IF(AN237=0,K237,0)</f>
        <v>0</v>
      </c>
      <c r="AK237" s="16">
        <f>IF(AN237=15,K237,0)</f>
        <v>0</v>
      </c>
      <c r="AL237" s="16">
        <f>IF(AN237=21,K237,0)</f>
        <v>0</v>
      </c>
      <c r="AN237" s="33">
        <v>21</v>
      </c>
      <c r="AO237" s="33">
        <f>H237*0</f>
        <v>0</v>
      </c>
      <c r="AP237" s="33">
        <f>H237*(1-0)</f>
        <v>0</v>
      </c>
      <c r="AQ237" s="27" t="s">
        <v>13</v>
      </c>
      <c r="AV237" s="33">
        <f>AW237+AX237</f>
        <v>0</v>
      </c>
      <c r="AW237" s="33">
        <f>G237*AO237</f>
        <v>0</v>
      </c>
      <c r="AX237" s="33">
        <f>G237*AP237</f>
        <v>0</v>
      </c>
      <c r="AY237" s="34" t="s">
        <v>1726</v>
      </c>
      <c r="AZ237" s="34" t="s">
        <v>1747</v>
      </c>
      <c r="BA237" s="28" t="s">
        <v>1752</v>
      </c>
      <c r="BC237" s="33">
        <f>AW237+AX237</f>
        <v>0</v>
      </c>
      <c r="BD237" s="33">
        <f>H237/(100-BE237)*100</f>
        <v>0</v>
      </c>
      <c r="BE237" s="33">
        <v>0</v>
      </c>
      <c r="BF237" s="33">
        <f>237</f>
        <v>237</v>
      </c>
      <c r="BH237" s="16">
        <f>G237*AO237</f>
        <v>0</v>
      </c>
      <c r="BI237" s="16">
        <f>G237*AP237</f>
        <v>0</v>
      </c>
      <c r="BJ237" s="16">
        <f>G237*H237</f>
        <v>0</v>
      </c>
    </row>
    <row r="238" spans="1:62" x14ac:dyDescent="0.2">
      <c r="A238" s="4" t="s">
        <v>199</v>
      </c>
      <c r="B238" s="4" t="s">
        <v>737</v>
      </c>
      <c r="C238" s="131" t="s">
        <v>1311</v>
      </c>
      <c r="D238" s="132"/>
      <c r="E238" s="132"/>
      <c r="F238" s="4" t="s">
        <v>1665</v>
      </c>
      <c r="G238" s="68">
        <v>2</v>
      </c>
      <c r="H238" s="162">
        <v>0</v>
      </c>
      <c r="I238" s="16">
        <f>G238*AO238</f>
        <v>0</v>
      </c>
      <c r="J238" s="16">
        <f>G238*AP238</f>
        <v>0</v>
      </c>
      <c r="K238" s="16">
        <f>G238*H238</f>
        <v>0</v>
      </c>
      <c r="L238" s="27"/>
      <c r="Z238" s="33">
        <f>IF(AQ238="5",BJ238,0)</f>
        <v>0</v>
      </c>
      <c r="AB238" s="33">
        <f>IF(AQ238="1",BH238,0)</f>
        <v>0</v>
      </c>
      <c r="AC238" s="33">
        <f>IF(AQ238="1",BI238,0)</f>
        <v>0</v>
      </c>
      <c r="AD238" s="33">
        <f>IF(AQ238="7",BH238,0)</f>
        <v>0</v>
      </c>
      <c r="AE238" s="33">
        <f>IF(AQ238="7",BI238,0)</f>
        <v>0</v>
      </c>
      <c r="AF238" s="33">
        <f>IF(AQ238="2",BH238,0)</f>
        <v>0</v>
      </c>
      <c r="AG238" s="33">
        <f>IF(AQ238="2",BI238,0)</f>
        <v>0</v>
      </c>
      <c r="AH238" s="33">
        <f>IF(AQ238="0",BJ238,0)</f>
        <v>0</v>
      </c>
      <c r="AI238" s="28"/>
      <c r="AJ238" s="16">
        <f>IF(AN238=0,K238,0)</f>
        <v>0</v>
      </c>
      <c r="AK238" s="16">
        <f>IF(AN238=15,K238,0)</f>
        <v>0</v>
      </c>
      <c r="AL238" s="16">
        <f>IF(AN238=21,K238,0)</f>
        <v>0</v>
      </c>
      <c r="AN238" s="33">
        <v>21</v>
      </c>
      <c r="AO238" s="33">
        <f>H238*0</f>
        <v>0</v>
      </c>
      <c r="AP238" s="33">
        <f>H238*(1-0)</f>
        <v>0</v>
      </c>
      <c r="AQ238" s="27" t="s">
        <v>13</v>
      </c>
      <c r="AV238" s="33">
        <f>AW238+AX238</f>
        <v>0</v>
      </c>
      <c r="AW238" s="33">
        <f>G238*AO238</f>
        <v>0</v>
      </c>
      <c r="AX238" s="33">
        <f>G238*AP238</f>
        <v>0</v>
      </c>
      <c r="AY238" s="34" t="s">
        <v>1726</v>
      </c>
      <c r="AZ238" s="34" t="s">
        <v>1747</v>
      </c>
      <c r="BA238" s="28" t="s">
        <v>1752</v>
      </c>
      <c r="BC238" s="33">
        <f>AW238+AX238</f>
        <v>0</v>
      </c>
      <c r="BD238" s="33">
        <f>H238/(100-BE238)*100</f>
        <v>0</v>
      </c>
      <c r="BE238" s="33">
        <v>0</v>
      </c>
      <c r="BF238" s="33">
        <f>238</f>
        <v>238</v>
      </c>
      <c r="BH238" s="16">
        <f>G238*AO238</f>
        <v>0</v>
      </c>
      <c r="BI238" s="16">
        <f>G238*AP238</f>
        <v>0</v>
      </c>
      <c r="BJ238" s="16">
        <f>G238*H238</f>
        <v>0</v>
      </c>
    </row>
    <row r="239" spans="1:62" x14ac:dyDescent="0.2">
      <c r="A239" s="4" t="s">
        <v>200</v>
      </c>
      <c r="B239" s="4" t="s">
        <v>738</v>
      </c>
      <c r="C239" s="131" t="s">
        <v>1312</v>
      </c>
      <c r="D239" s="132"/>
      <c r="E239" s="132"/>
      <c r="F239" s="4" t="s">
        <v>1666</v>
      </c>
      <c r="G239" s="68">
        <v>13.5</v>
      </c>
      <c r="H239" s="162">
        <v>0</v>
      </c>
      <c r="I239" s="16">
        <f>G239*AO239</f>
        <v>0</v>
      </c>
      <c r="J239" s="16">
        <f>G239*AP239</f>
        <v>0</v>
      </c>
      <c r="K239" s="16">
        <f>G239*H239</f>
        <v>0</v>
      </c>
      <c r="L239" s="27"/>
      <c r="Z239" s="33">
        <f>IF(AQ239="5",BJ239,0)</f>
        <v>0</v>
      </c>
      <c r="AB239" s="33">
        <f>IF(AQ239="1",BH239,0)</f>
        <v>0</v>
      </c>
      <c r="AC239" s="33">
        <f>IF(AQ239="1",BI239,0)</f>
        <v>0</v>
      </c>
      <c r="AD239" s="33">
        <f>IF(AQ239="7",BH239,0)</f>
        <v>0</v>
      </c>
      <c r="AE239" s="33">
        <f>IF(AQ239="7",BI239,0)</f>
        <v>0</v>
      </c>
      <c r="AF239" s="33">
        <f>IF(AQ239="2",BH239,0)</f>
        <v>0</v>
      </c>
      <c r="AG239" s="33">
        <f>IF(AQ239="2",BI239,0)</f>
        <v>0</v>
      </c>
      <c r="AH239" s="33">
        <f>IF(AQ239="0",BJ239,0)</f>
        <v>0</v>
      </c>
      <c r="AI239" s="28"/>
      <c r="AJ239" s="16">
        <f>IF(AN239=0,K239,0)</f>
        <v>0</v>
      </c>
      <c r="AK239" s="16">
        <f>IF(AN239=15,K239,0)</f>
        <v>0</v>
      </c>
      <c r="AL239" s="16">
        <f>IF(AN239=21,K239,0)</f>
        <v>0</v>
      </c>
      <c r="AN239" s="33">
        <v>21</v>
      </c>
      <c r="AO239" s="33">
        <f>H239*0</f>
        <v>0</v>
      </c>
      <c r="AP239" s="33">
        <f>H239*(1-0)</f>
        <v>0</v>
      </c>
      <c r="AQ239" s="27" t="s">
        <v>13</v>
      </c>
      <c r="AV239" s="33">
        <f>AW239+AX239</f>
        <v>0</v>
      </c>
      <c r="AW239" s="33">
        <f>G239*AO239</f>
        <v>0</v>
      </c>
      <c r="AX239" s="33">
        <f>G239*AP239</f>
        <v>0</v>
      </c>
      <c r="AY239" s="34" t="s">
        <v>1726</v>
      </c>
      <c r="AZ239" s="34" t="s">
        <v>1747</v>
      </c>
      <c r="BA239" s="28" t="s">
        <v>1752</v>
      </c>
      <c r="BC239" s="33">
        <f>AW239+AX239</f>
        <v>0</v>
      </c>
      <c r="BD239" s="33">
        <f>H239/(100-BE239)*100</f>
        <v>0</v>
      </c>
      <c r="BE239" s="33">
        <v>0</v>
      </c>
      <c r="BF239" s="33">
        <f>239</f>
        <v>239</v>
      </c>
      <c r="BH239" s="16">
        <f>G239*AO239</f>
        <v>0</v>
      </c>
      <c r="BI239" s="16">
        <f>G239*AP239</f>
        <v>0</v>
      </c>
      <c r="BJ239" s="16">
        <f>G239*H239</f>
        <v>0</v>
      </c>
    </row>
    <row r="240" spans="1:62" x14ac:dyDescent="0.2">
      <c r="C240" s="140" t="s">
        <v>1313</v>
      </c>
      <c r="D240" s="141"/>
      <c r="E240" s="141"/>
      <c r="H240" s="164"/>
    </row>
    <row r="241" spans="1:62" x14ac:dyDescent="0.2">
      <c r="A241" s="4" t="s">
        <v>201</v>
      </c>
      <c r="B241" s="4" t="s">
        <v>739</v>
      </c>
      <c r="C241" s="131" t="s">
        <v>1314</v>
      </c>
      <c r="D241" s="132"/>
      <c r="E241" s="132"/>
      <c r="F241" s="4" t="s">
        <v>1666</v>
      </c>
      <c r="G241" s="68">
        <v>13.5</v>
      </c>
      <c r="H241" s="162">
        <v>0</v>
      </c>
      <c r="I241" s="16">
        <f>G241*AO241</f>
        <v>0</v>
      </c>
      <c r="J241" s="16">
        <f>G241*AP241</f>
        <v>0</v>
      </c>
      <c r="K241" s="16">
        <f>G241*H241</f>
        <v>0</v>
      </c>
      <c r="L241" s="27"/>
      <c r="Z241" s="33">
        <f>IF(AQ241="5",BJ241,0)</f>
        <v>0</v>
      </c>
      <c r="AB241" s="33">
        <f>IF(AQ241="1",BH241,0)</f>
        <v>0</v>
      </c>
      <c r="AC241" s="33">
        <f>IF(AQ241="1",BI241,0)</f>
        <v>0</v>
      </c>
      <c r="AD241" s="33">
        <f>IF(AQ241="7",BH241,0)</f>
        <v>0</v>
      </c>
      <c r="AE241" s="33">
        <f>IF(AQ241="7",BI241,0)</f>
        <v>0</v>
      </c>
      <c r="AF241" s="33">
        <f>IF(AQ241="2",BH241,0)</f>
        <v>0</v>
      </c>
      <c r="AG241" s="33">
        <f>IF(AQ241="2",BI241,0)</f>
        <v>0</v>
      </c>
      <c r="AH241" s="33">
        <f>IF(AQ241="0",BJ241,0)</f>
        <v>0</v>
      </c>
      <c r="AI241" s="28"/>
      <c r="AJ241" s="16">
        <f>IF(AN241=0,K241,0)</f>
        <v>0</v>
      </c>
      <c r="AK241" s="16">
        <f>IF(AN241=15,K241,0)</f>
        <v>0</v>
      </c>
      <c r="AL241" s="16">
        <f>IF(AN241=21,K241,0)</f>
        <v>0</v>
      </c>
      <c r="AN241" s="33">
        <v>21</v>
      </c>
      <c r="AO241" s="33">
        <f>H241*0</f>
        <v>0</v>
      </c>
      <c r="AP241" s="33">
        <f>H241*(1-0)</f>
        <v>0</v>
      </c>
      <c r="AQ241" s="27" t="s">
        <v>13</v>
      </c>
      <c r="AV241" s="33">
        <f>AW241+AX241</f>
        <v>0</v>
      </c>
      <c r="AW241" s="33">
        <f>G241*AO241</f>
        <v>0</v>
      </c>
      <c r="AX241" s="33">
        <f>G241*AP241</f>
        <v>0</v>
      </c>
      <c r="AY241" s="34" t="s">
        <v>1726</v>
      </c>
      <c r="AZ241" s="34" t="s">
        <v>1747</v>
      </c>
      <c r="BA241" s="28" t="s">
        <v>1752</v>
      </c>
      <c r="BC241" s="33">
        <f>AW241+AX241</f>
        <v>0</v>
      </c>
      <c r="BD241" s="33">
        <f>H241/(100-BE241)*100</f>
        <v>0</v>
      </c>
      <c r="BE241" s="33">
        <v>0</v>
      </c>
      <c r="BF241" s="33">
        <f>241</f>
        <v>241</v>
      </c>
      <c r="BH241" s="16">
        <f>G241*AO241</f>
        <v>0</v>
      </c>
      <c r="BI241" s="16">
        <f>G241*AP241</f>
        <v>0</v>
      </c>
      <c r="BJ241" s="16">
        <f>G241*H241</f>
        <v>0</v>
      </c>
    </row>
    <row r="242" spans="1:62" x14ac:dyDescent="0.2">
      <c r="C242" s="140" t="s">
        <v>1315</v>
      </c>
      <c r="D242" s="141"/>
      <c r="E242" s="141"/>
      <c r="H242" s="164"/>
    </row>
    <row r="243" spans="1:62" x14ac:dyDescent="0.2">
      <c r="A243" s="4" t="s">
        <v>202</v>
      </c>
      <c r="B243" s="4" t="s">
        <v>740</v>
      </c>
      <c r="C243" s="131" t="s">
        <v>1316</v>
      </c>
      <c r="D243" s="132"/>
      <c r="E243" s="132"/>
      <c r="F243" s="4" t="s">
        <v>1665</v>
      </c>
      <c r="G243" s="68">
        <v>4</v>
      </c>
      <c r="H243" s="162">
        <v>0</v>
      </c>
      <c r="I243" s="16">
        <f>G243*AO243</f>
        <v>0</v>
      </c>
      <c r="J243" s="16">
        <f>G243*AP243</f>
        <v>0</v>
      </c>
      <c r="K243" s="16">
        <f>G243*H243</f>
        <v>0</v>
      </c>
      <c r="L243" s="27"/>
      <c r="Z243" s="33">
        <f>IF(AQ243="5",BJ243,0)</f>
        <v>0</v>
      </c>
      <c r="AB243" s="33">
        <f>IF(AQ243="1",BH243,0)</f>
        <v>0</v>
      </c>
      <c r="AC243" s="33">
        <f>IF(AQ243="1",BI243,0)</f>
        <v>0</v>
      </c>
      <c r="AD243" s="33">
        <f>IF(AQ243="7",BH243,0)</f>
        <v>0</v>
      </c>
      <c r="AE243" s="33">
        <f>IF(AQ243="7",BI243,0)</f>
        <v>0</v>
      </c>
      <c r="AF243" s="33">
        <f>IF(AQ243="2",BH243,0)</f>
        <v>0</v>
      </c>
      <c r="AG243" s="33">
        <f>IF(AQ243="2",BI243,0)</f>
        <v>0</v>
      </c>
      <c r="AH243" s="33">
        <f>IF(AQ243="0",BJ243,0)</f>
        <v>0</v>
      </c>
      <c r="AI243" s="28"/>
      <c r="AJ243" s="16">
        <f>IF(AN243=0,K243,0)</f>
        <v>0</v>
      </c>
      <c r="AK243" s="16">
        <f>IF(AN243=15,K243,0)</f>
        <v>0</v>
      </c>
      <c r="AL243" s="16">
        <f>IF(AN243=21,K243,0)</f>
        <v>0</v>
      </c>
      <c r="AN243" s="33">
        <v>21</v>
      </c>
      <c r="AO243" s="33">
        <f>H243*0</f>
        <v>0</v>
      </c>
      <c r="AP243" s="33">
        <f>H243*(1-0)</f>
        <v>0</v>
      </c>
      <c r="AQ243" s="27" t="s">
        <v>13</v>
      </c>
      <c r="AV243" s="33">
        <f>AW243+AX243</f>
        <v>0</v>
      </c>
      <c r="AW243" s="33">
        <f>G243*AO243</f>
        <v>0</v>
      </c>
      <c r="AX243" s="33">
        <f>G243*AP243</f>
        <v>0</v>
      </c>
      <c r="AY243" s="34" t="s">
        <v>1726</v>
      </c>
      <c r="AZ243" s="34" t="s">
        <v>1747</v>
      </c>
      <c r="BA243" s="28" t="s">
        <v>1752</v>
      </c>
      <c r="BC243" s="33">
        <f>AW243+AX243</f>
        <v>0</v>
      </c>
      <c r="BD243" s="33">
        <f>H243/(100-BE243)*100</f>
        <v>0</v>
      </c>
      <c r="BE243" s="33">
        <v>0</v>
      </c>
      <c r="BF243" s="33">
        <f>243</f>
        <v>243</v>
      </c>
      <c r="BH243" s="16">
        <f>G243*AO243</f>
        <v>0</v>
      </c>
      <c r="BI243" s="16">
        <f>G243*AP243</f>
        <v>0</v>
      </c>
      <c r="BJ243" s="16">
        <f>G243*H243</f>
        <v>0</v>
      </c>
    </row>
    <row r="244" spans="1:62" x14ac:dyDescent="0.2">
      <c r="C244" s="140" t="s">
        <v>1317</v>
      </c>
      <c r="D244" s="141"/>
      <c r="E244" s="141"/>
      <c r="H244" s="164"/>
    </row>
    <row r="245" spans="1:62" x14ac:dyDescent="0.2">
      <c r="A245" s="4" t="s">
        <v>203</v>
      </c>
      <c r="B245" s="4" t="s">
        <v>741</v>
      </c>
      <c r="C245" s="131" t="s">
        <v>1318</v>
      </c>
      <c r="D245" s="132"/>
      <c r="E245" s="132"/>
      <c r="F245" s="4" t="s">
        <v>1665</v>
      </c>
      <c r="G245" s="68">
        <v>1</v>
      </c>
      <c r="H245" s="162">
        <v>0</v>
      </c>
      <c r="I245" s="16">
        <f>G245*AO245</f>
        <v>0</v>
      </c>
      <c r="J245" s="16">
        <f>G245*AP245</f>
        <v>0</v>
      </c>
      <c r="K245" s="16">
        <f>G245*H245</f>
        <v>0</v>
      </c>
      <c r="L245" s="27"/>
      <c r="Z245" s="33">
        <f>IF(AQ245="5",BJ245,0)</f>
        <v>0</v>
      </c>
      <c r="AB245" s="33">
        <f>IF(AQ245="1",BH245,0)</f>
        <v>0</v>
      </c>
      <c r="AC245" s="33">
        <f>IF(AQ245="1",BI245,0)</f>
        <v>0</v>
      </c>
      <c r="AD245" s="33">
        <f>IF(AQ245="7",BH245,0)</f>
        <v>0</v>
      </c>
      <c r="AE245" s="33">
        <f>IF(AQ245="7",BI245,0)</f>
        <v>0</v>
      </c>
      <c r="AF245" s="33">
        <f>IF(AQ245="2",BH245,0)</f>
        <v>0</v>
      </c>
      <c r="AG245" s="33">
        <f>IF(AQ245="2",BI245,0)</f>
        <v>0</v>
      </c>
      <c r="AH245" s="33">
        <f>IF(AQ245="0",BJ245,0)</f>
        <v>0</v>
      </c>
      <c r="AI245" s="28"/>
      <c r="AJ245" s="16">
        <f>IF(AN245=0,K245,0)</f>
        <v>0</v>
      </c>
      <c r="AK245" s="16">
        <f>IF(AN245=15,K245,0)</f>
        <v>0</v>
      </c>
      <c r="AL245" s="16">
        <f>IF(AN245=21,K245,0)</f>
        <v>0</v>
      </c>
      <c r="AN245" s="33">
        <v>21</v>
      </c>
      <c r="AO245" s="33">
        <f>H245*0</f>
        <v>0</v>
      </c>
      <c r="AP245" s="33">
        <f>H245*(1-0)</f>
        <v>0</v>
      </c>
      <c r="AQ245" s="27" t="s">
        <v>13</v>
      </c>
      <c r="AV245" s="33">
        <f>AW245+AX245</f>
        <v>0</v>
      </c>
      <c r="AW245" s="33">
        <f>G245*AO245</f>
        <v>0</v>
      </c>
      <c r="AX245" s="33">
        <f>G245*AP245</f>
        <v>0</v>
      </c>
      <c r="AY245" s="34" t="s">
        <v>1726</v>
      </c>
      <c r="AZ245" s="34" t="s">
        <v>1747</v>
      </c>
      <c r="BA245" s="28" t="s">
        <v>1752</v>
      </c>
      <c r="BC245" s="33">
        <f>AW245+AX245</f>
        <v>0</v>
      </c>
      <c r="BD245" s="33">
        <f>H245/(100-BE245)*100</f>
        <v>0</v>
      </c>
      <c r="BE245" s="33">
        <v>0</v>
      </c>
      <c r="BF245" s="33">
        <f>245</f>
        <v>245</v>
      </c>
      <c r="BH245" s="16">
        <f>G245*AO245</f>
        <v>0</v>
      </c>
      <c r="BI245" s="16">
        <f>G245*AP245</f>
        <v>0</v>
      </c>
      <c r="BJ245" s="16">
        <f>G245*H245</f>
        <v>0</v>
      </c>
    </row>
    <row r="246" spans="1:62" x14ac:dyDescent="0.2">
      <c r="C246" s="140" t="s">
        <v>1319</v>
      </c>
      <c r="D246" s="141"/>
      <c r="E246" s="141"/>
      <c r="H246" s="164"/>
    </row>
    <row r="247" spans="1:62" x14ac:dyDescent="0.2">
      <c r="A247" s="4" t="s">
        <v>204</v>
      </c>
      <c r="B247" s="4" t="s">
        <v>742</v>
      </c>
      <c r="C247" s="131" t="s">
        <v>1320</v>
      </c>
      <c r="D247" s="132"/>
      <c r="E247" s="132"/>
      <c r="F247" s="4" t="s">
        <v>1665</v>
      </c>
      <c r="G247" s="68">
        <v>1</v>
      </c>
      <c r="H247" s="162">
        <v>0</v>
      </c>
      <c r="I247" s="16">
        <f>G247*AO247</f>
        <v>0</v>
      </c>
      <c r="J247" s="16">
        <f>G247*AP247</f>
        <v>0</v>
      </c>
      <c r="K247" s="16">
        <f>G247*H247</f>
        <v>0</v>
      </c>
      <c r="L247" s="27"/>
      <c r="Z247" s="33">
        <f>IF(AQ247="5",BJ247,0)</f>
        <v>0</v>
      </c>
      <c r="AB247" s="33">
        <f>IF(AQ247="1",BH247,0)</f>
        <v>0</v>
      </c>
      <c r="AC247" s="33">
        <f>IF(AQ247="1",BI247,0)</f>
        <v>0</v>
      </c>
      <c r="AD247" s="33">
        <f>IF(AQ247="7",BH247,0)</f>
        <v>0</v>
      </c>
      <c r="AE247" s="33">
        <f>IF(AQ247="7",BI247,0)</f>
        <v>0</v>
      </c>
      <c r="AF247" s="33">
        <f>IF(AQ247="2",BH247,0)</f>
        <v>0</v>
      </c>
      <c r="AG247" s="33">
        <f>IF(AQ247="2",BI247,0)</f>
        <v>0</v>
      </c>
      <c r="AH247" s="33">
        <f>IF(AQ247="0",BJ247,0)</f>
        <v>0</v>
      </c>
      <c r="AI247" s="28"/>
      <c r="AJ247" s="16">
        <f>IF(AN247=0,K247,0)</f>
        <v>0</v>
      </c>
      <c r="AK247" s="16">
        <f>IF(AN247=15,K247,0)</f>
        <v>0</v>
      </c>
      <c r="AL247" s="16">
        <f>IF(AN247=21,K247,0)</f>
        <v>0</v>
      </c>
      <c r="AN247" s="33">
        <v>21</v>
      </c>
      <c r="AO247" s="33">
        <f>H247*0</f>
        <v>0</v>
      </c>
      <c r="AP247" s="33">
        <f>H247*(1-0)</f>
        <v>0</v>
      </c>
      <c r="AQ247" s="27" t="s">
        <v>13</v>
      </c>
      <c r="AV247" s="33">
        <f>AW247+AX247</f>
        <v>0</v>
      </c>
      <c r="AW247" s="33">
        <f>G247*AO247</f>
        <v>0</v>
      </c>
      <c r="AX247" s="33">
        <f>G247*AP247</f>
        <v>0</v>
      </c>
      <c r="AY247" s="34" t="s">
        <v>1726</v>
      </c>
      <c r="AZ247" s="34" t="s">
        <v>1747</v>
      </c>
      <c r="BA247" s="28" t="s">
        <v>1752</v>
      </c>
      <c r="BC247" s="33">
        <f>AW247+AX247</f>
        <v>0</v>
      </c>
      <c r="BD247" s="33">
        <f>H247/(100-BE247)*100</f>
        <v>0</v>
      </c>
      <c r="BE247" s="33">
        <v>0</v>
      </c>
      <c r="BF247" s="33">
        <f>247</f>
        <v>247</v>
      </c>
      <c r="BH247" s="16">
        <f>G247*AO247</f>
        <v>0</v>
      </c>
      <c r="BI247" s="16">
        <f>G247*AP247</f>
        <v>0</v>
      </c>
      <c r="BJ247" s="16">
        <f>G247*H247</f>
        <v>0</v>
      </c>
    </row>
    <row r="248" spans="1:62" x14ac:dyDescent="0.2">
      <c r="C248" s="140" t="s">
        <v>1321</v>
      </c>
      <c r="D248" s="141"/>
      <c r="E248" s="141"/>
      <c r="H248" s="164"/>
    </row>
    <row r="249" spans="1:62" x14ac:dyDescent="0.2">
      <c r="A249" s="4" t="s">
        <v>205</v>
      </c>
      <c r="B249" s="4" t="s">
        <v>743</v>
      </c>
      <c r="C249" s="131" t="s">
        <v>1322</v>
      </c>
      <c r="D249" s="132"/>
      <c r="E249" s="132"/>
      <c r="F249" s="4" t="s">
        <v>1665</v>
      </c>
      <c r="G249" s="68">
        <v>1</v>
      </c>
      <c r="H249" s="162">
        <v>0</v>
      </c>
      <c r="I249" s="16">
        <f t="shared" ref="I249:I255" si="224">G249*AO249</f>
        <v>0</v>
      </c>
      <c r="J249" s="16">
        <f t="shared" ref="J249:J255" si="225">G249*AP249</f>
        <v>0</v>
      </c>
      <c r="K249" s="16">
        <f t="shared" ref="K249:K255" si="226">G249*H249</f>
        <v>0</v>
      </c>
      <c r="L249" s="27"/>
      <c r="Z249" s="33">
        <f t="shared" ref="Z249:Z255" si="227">IF(AQ249="5",BJ249,0)</f>
        <v>0</v>
      </c>
      <c r="AB249" s="33">
        <f t="shared" ref="AB249:AB255" si="228">IF(AQ249="1",BH249,0)</f>
        <v>0</v>
      </c>
      <c r="AC249" s="33">
        <f t="shared" ref="AC249:AC255" si="229">IF(AQ249="1",BI249,0)</f>
        <v>0</v>
      </c>
      <c r="AD249" s="33">
        <f t="shared" ref="AD249:AD255" si="230">IF(AQ249="7",BH249,0)</f>
        <v>0</v>
      </c>
      <c r="AE249" s="33">
        <f t="shared" ref="AE249:AE255" si="231">IF(AQ249="7",BI249,0)</f>
        <v>0</v>
      </c>
      <c r="AF249" s="33">
        <f t="shared" ref="AF249:AF255" si="232">IF(AQ249="2",BH249,0)</f>
        <v>0</v>
      </c>
      <c r="AG249" s="33">
        <f t="shared" ref="AG249:AG255" si="233">IF(AQ249="2",BI249,0)</f>
        <v>0</v>
      </c>
      <c r="AH249" s="33">
        <f t="shared" ref="AH249:AH255" si="234">IF(AQ249="0",BJ249,0)</f>
        <v>0</v>
      </c>
      <c r="AI249" s="28"/>
      <c r="AJ249" s="16">
        <f t="shared" ref="AJ249:AJ255" si="235">IF(AN249=0,K249,0)</f>
        <v>0</v>
      </c>
      <c r="AK249" s="16">
        <f t="shared" ref="AK249:AK255" si="236">IF(AN249=15,K249,0)</f>
        <v>0</v>
      </c>
      <c r="AL249" s="16">
        <f t="shared" ref="AL249:AL255" si="237">IF(AN249=21,K249,0)</f>
        <v>0</v>
      </c>
      <c r="AN249" s="33">
        <v>21</v>
      </c>
      <c r="AO249" s="33">
        <f t="shared" ref="AO249:AO255" si="238">H249*0</f>
        <v>0</v>
      </c>
      <c r="AP249" s="33">
        <f t="shared" ref="AP249:AP255" si="239">H249*(1-0)</f>
        <v>0</v>
      </c>
      <c r="AQ249" s="27" t="s">
        <v>13</v>
      </c>
      <c r="AV249" s="33">
        <f t="shared" ref="AV249:AV255" si="240">AW249+AX249</f>
        <v>0</v>
      </c>
      <c r="AW249" s="33">
        <f t="shared" ref="AW249:AW255" si="241">G249*AO249</f>
        <v>0</v>
      </c>
      <c r="AX249" s="33">
        <f t="shared" ref="AX249:AX255" si="242">G249*AP249</f>
        <v>0</v>
      </c>
      <c r="AY249" s="34" t="s">
        <v>1726</v>
      </c>
      <c r="AZ249" s="34" t="s">
        <v>1747</v>
      </c>
      <c r="BA249" s="28" t="s">
        <v>1752</v>
      </c>
      <c r="BC249" s="33">
        <f t="shared" ref="BC249:BC255" si="243">AW249+AX249</f>
        <v>0</v>
      </c>
      <c r="BD249" s="33">
        <f t="shared" ref="BD249:BD255" si="244">H249/(100-BE249)*100</f>
        <v>0</v>
      </c>
      <c r="BE249" s="33">
        <v>0</v>
      </c>
      <c r="BF249" s="33">
        <f>249</f>
        <v>249</v>
      </c>
      <c r="BH249" s="16">
        <f t="shared" ref="BH249:BH255" si="245">G249*AO249</f>
        <v>0</v>
      </c>
      <c r="BI249" s="16">
        <f t="shared" ref="BI249:BI255" si="246">G249*AP249</f>
        <v>0</v>
      </c>
      <c r="BJ249" s="16">
        <f t="shared" ref="BJ249:BJ255" si="247">G249*H249</f>
        <v>0</v>
      </c>
    </row>
    <row r="250" spans="1:62" x14ac:dyDescent="0.2">
      <c r="A250" s="4" t="s">
        <v>206</v>
      </c>
      <c r="B250" s="4" t="s">
        <v>744</v>
      </c>
      <c r="C250" s="131" t="s">
        <v>1323</v>
      </c>
      <c r="D250" s="132"/>
      <c r="E250" s="132"/>
      <c r="F250" s="4" t="s">
        <v>1665</v>
      </c>
      <c r="G250" s="68">
        <v>1</v>
      </c>
      <c r="H250" s="162">
        <v>0</v>
      </c>
      <c r="I250" s="16">
        <f t="shared" si="224"/>
        <v>0</v>
      </c>
      <c r="J250" s="16">
        <f t="shared" si="225"/>
        <v>0</v>
      </c>
      <c r="K250" s="16">
        <f t="shared" si="226"/>
        <v>0</v>
      </c>
      <c r="L250" s="27"/>
      <c r="Z250" s="33">
        <f t="shared" si="227"/>
        <v>0</v>
      </c>
      <c r="AB250" s="33">
        <f t="shared" si="228"/>
        <v>0</v>
      </c>
      <c r="AC250" s="33">
        <f t="shared" si="229"/>
        <v>0</v>
      </c>
      <c r="AD250" s="33">
        <f t="shared" si="230"/>
        <v>0</v>
      </c>
      <c r="AE250" s="33">
        <f t="shared" si="231"/>
        <v>0</v>
      </c>
      <c r="AF250" s="33">
        <f t="shared" si="232"/>
        <v>0</v>
      </c>
      <c r="AG250" s="33">
        <f t="shared" si="233"/>
        <v>0</v>
      </c>
      <c r="AH250" s="33">
        <f t="shared" si="234"/>
        <v>0</v>
      </c>
      <c r="AI250" s="28"/>
      <c r="AJ250" s="16">
        <f t="shared" si="235"/>
        <v>0</v>
      </c>
      <c r="AK250" s="16">
        <f t="shared" si="236"/>
        <v>0</v>
      </c>
      <c r="AL250" s="16">
        <f t="shared" si="237"/>
        <v>0</v>
      </c>
      <c r="AN250" s="33">
        <v>21</v>
      </c>
      <c r="AO250" s="33">
        <f t="shared" si="238"/>
        <v>0</v>
      </c>
      <c r="AP250" s="33">
        <f t="shared" si="239"/>
        <v>0</v>
      </c>
      <c r="AQ250" s="27" t="s">
        <v>13</v>
      </c>
      <c r="AV250" s="33">
        <f t="shared" si="240"/>
        <v>0</v>
      </c>
      <c r="AW250" s="33">
        <f t="shared" si="241"/>
        <v>0</v>
      </c>
      <c r="AX250" s="33">
        <f t="shared" si="242"/>
        <v>0</v>
      </c>
      <c r="AY250" s="34" t="s">
        <v>1726</v>
      </c>
      <c r="AZ250" s="34" t="s">
        <v>1747</v>
      </c>
      <c r="BA250" s="28" t="s">
        <v>1752</v>
      </c>
      <c r="BC250" s="33">
        <f t="shared" si="243"/>
        <v>0</v>
      </c>
      <c r="BD250" s="33">
        <f t="shared" si="244"/>
        <v>0</v>
      </c>
      <c r="BE250" s="33">
        <v>0</v>
      </c>
      <c r="BF250" s="33">
        <f>250</f>
        <v>250</v>
      </c>
      <c r="BH250" s="16">
        <f t="shared" si="245"/>
        <v>0</v>
      </c>
      <c r="BI250" s="16">
        <f t="shared" si="246"/>
        <v>0</v>
      </c>
      <c r="BJ250" s="16">
        <f t="shared" si="247"/>
        <v>0</v>
      </c>
    </row>
    <row r="251" spans="1:62" x14ac:dyDescent="0.2">
      <c r="A251" s="4" t="s">
        <v>207</v>
      </c>
      <c r="B251" s="4" t="s">
        <v>745</v>
      </c>
      <c r="C251" s="131" t="s">
        <v>1324</v>
      </c>
      <c r="D251" s="132"/>
      <c r="E251" s="132"/>
      <c r="F251" s="4" t="s">
        <v>1665</v>
      </c>
      <c r="G251" s="68">
        <v>1</v>
      </c>
      <c r="H251" s="162">
        <v>0</v>
      </c>
      <c r="I251" s="16">
        <f t="shared" si="224"/>
        <v>0</v>
      </c>
      <c r="J251" s="16">
        <f t="shared" si="225"/>
        <v>0</v>
      </c>
      <c r="K251" s="16">
        <f t="shared" si="226"/>
        <v>0</v>
      </c>
      <c r="L251" s="27"/>
      <c r="Z251" s="33">
        <f t="shared" si="227"/>
        <v>0</v>
      </c>
      <c r="AB251" s="33">
        <f t="shared" si="228"/>
        <v>0</v>
      </c>
      <c r="AC251" s="33">
        <f t="shared" si="229"/>
        <v>0</v>
      </c>
      <c r="AD251" s="33">
        <f t="shared" si="230"/>
        <v>0</v>
      </c>
      <c r="AE251" s="33">
        <f t="shared" si="231"/>
        <v>0</v>
      </c>
      <c r="AF251" s="33">
        <f t="shared" si="232"/>
        <v>0</v>
      </c>
      <c r="AG251" s="33">
        <f t="shared" si="233"/>
        <v>0</v>
      </c>
      <c r="AH251" s="33">
        <f t="shared" si="234"/>
        <v>0</v>
      </c>
      <c r="AI251" s="28"/>
      <c r="AJ251" s="16">
        <f t="shared" si="235"/>
        <v>0</v>
      </c>
      <c r="AK251" s="16">
        <f t="shared" si="236"/>
        <v>0</v>
      </c>
      <c r="AL251" s="16">
        <f t="shared" si="237"/>
        <v>0</v>
      </c>
      <c r="AN251" s="33">
        <v>21</v>
      </c>
      <c r="AO251" s="33">
        <f t="shared" si="238"/>
        <v>0</v>
      </c>
      <c r="AP251" s="33">
        <f t="shared" si="239"/>
        <v>0</v>
      </c>
      <c r="AQ251" s="27" t="s">
        <v>13</v>
      </c>
      <c r="AV251" s="33">
        <f t="shared" si="240"/>
        <v>0</v>
      </c>
      <c r="AW251" s="33">
        <f t="shared" si="241"/>
        <v>0</v>
      </c>
      <c r="AX251" s="33">
        <f t="shared" si="242"/>
        <v>0</v>
      </c>
      <c r="AY251" s="34" t="s">
        <v>1726</v>
      </c>
      <c r="AZ251" s="34" t="s">
        <v>1747</v>
      </c>
      <c r="BA251" s="28" t="s">
        <v>1752</v>
      </c>
      <c r="BC251" s="33">
        <f t="shared" si="243"/>
        <v>0</v>
      </c>
      <c r="BD251" s="33">
        <f t="shared" si="244"/>
        <v>0</v>
      </c>
      <c r="BE251" s="33">
        <v>0</v>
      </c>
      <c r="BF251" s="33">
        <f>251</f>
        <v>251</v>
      </c>
      <c r="BH251" s="16">
        <f t="shared" si="245"/>
        <v>0</v>
      </c>
      <c r="BI251" s="16">
        <f t="shared" si="246"/>
        <v>0</v>
      </c>
      <c r="BJ251" s="16">
        <f t="shared" si="247"/>
        <v>0</v>
      </c>
    </row>
    <row r="252" spans="1:62" x14ac:dyDescent="0.2">
      <c r="A252" s="4" t="s">
        <v>208</v>
      </c>
      <c r="B252" s="4" t="s">
        <v>746</v>
      </c>
      <c r="C252" s="131" t="s">
        <v>1325</v>
      </c>
      <c r="D252" s="132"/>
      <c r="E252" s="132"/>
      <c r="F252" s="4" t="s">
        <v>1665</v>
      </c>
      <c r="G252" s="68">
        <v>1</v>
      </c>
      <c r="H252" s="162">
        <v>0</v>
      </c>
      <c r="I252" s="16">
        <f t="shared" si="224"/>
        <v>0</v>
      </c>
      <c r="J252" s="16">
        <f t="shared" si="225"/>
        <v>0</v>
      </c>
      <c r="K252" s="16">
        <f t="shared" si="226"/>
        <v>0</v>
      </c>
      <c r="L252" s="27"/>
      <c r="Z252" s="33">
        <f t="shared" si="227"/>
        <v>0</v>
      </c>
      <c r="AB252" s="33">
        <f t="shared" si="228"/>
        <v>0</v>
      </c>
      <c r="AC252" s="33">
        <f t="shared" si="229"/>
        <v>0</v>
      </c>
      <c r="AD252" s="33">
        <f t="shared" si="230"/>
        <v>0</v>
      </c>
      <c r="AE252" s="33">
        <f t="shared" si="231"/>
        <v>0</v>
      </c>
      <c r="AF252" s="33">
        <f t="shared" si="232"/>
        <v>0</v>
      </c>
      <c r="AG252" s="33">
        <f t="shared" si="233"/>
        <v>0</v>
      </c>
      <c r="AH252" s="33">
        <f t="shared" si="234"/>
        <v>0</v>
      </c>
      <c r="AI252" s="28"/>
      <c r="AJ252" s="16">
        <f t="shared" si="235"/>
        <v>0</v>
      </c>
      <c r="AK252" s="16">
        <f t="shared" si="236"/>
        <v>0</v>
      </c>
      <c r="AL252" s="16">
        <f t="shared" si="237"/>
        <v>0</v>
      </c>
      <c r="AN252" s="33">
        <v>21</v>
      </c>
      <c r="AO252" s="33">
        <f t="shared" si="238"/>
        <v>0</v>
      </c>
      <c r="AP252" s="33">
        <f t="shared" si="239"/>
        <v>0</v>
      </c>
      <c r="AQ252" s="27" t="s">
        <v>13</v>
      </c>
      <c r="AV252" s="33">
        <f t="shared" si="240"/>
        <v>0</v>
      </c>
      <c r="AW252" s="33">
        <f t="shared" si="241"/>
        <v>0</v>
      </c>
      <c r="AX252" s="33">
        <f t="shared" si="242"/>
        <v>0</v>
      </c>
      <c r="AY252" s="34" t="s">
        <v>1726</v>
      </c>
      <c r="AZ252" s="34" t="s">
        <v>1747</v>
      </c>
      <c r="BA252" s="28" t="s">
        <v>1752</v>
      </c>
      <c r="BC252" s="33">
        <f t="shared" si="243"/>
        <v>0</v>
      </c>
      <c r="BD252" s="33">
        <f t="shared" si="244"/>
        <v>0</v>
      </c>
      <c r="BE252" s="33">
        <v>0</v>
      </c>
      <c r="BF252" s="33">
        <f>252</f>
        <v>252</v>
      </c>
      <c r="BH252" s="16">
        <f t="shared" si="245"/>
        <v>0</v>
      </c>
      <c r="BI252" s="16">
        <f t="shared" si="246"/>
        <v>0</v>
      </c>
      <c r="BJ252" s="16">
        <f t="shared" si="247"/>
        <v>0</v>
      </c>
    </row>
    <row r="253" spans="1:62" x14ac:dyDescent="0.2">
      <c r="A253" s="4" t="s">
        <v>209</v>
      </c>
      <c r="B253" s="4" t="s">
        <v>747</v>
      </c>
      <c r="C253" s="131" t="s">
        <v>1326</v>
      </c>
      <c r="D253" s="132"/>
      <c r="E253" s="132"/>
      <c r="F253" s="4" t="s">
        <v>1665</v>
      </c>
      <c r="G253" s="68">
        <v>1</v>
      </c>
      <c r="H253" s="162">
        <v>0</v>
      </c>
      <c r="I253" s="16">
        <f t="shared" si="224"/>
        <v>0</v>
      </c>
      <c r="J253" s="16">
        <f t="shared" si="225"/>
        <v>0</v>
      </c>
      <c r="K253" s="16">
        <f t="shared" si="226"/>
        <v>0</v>
      </c>
      <c r="L253" s="27"/>
      <c r="Z253" s="33">
        <f t="shared" si="227"/>
        <v>0</v>
      </c>
      <c r="AB253" s="33">
        <f t="shared" si="228"/>
        <v>0</v>
      </c>
      <c r="AC253" s="33">
        <f t="shared" si="229"/>
        <v>0</v>
      </c>
      <c r="AD253" s="33">
        <f t="shared" si="230"/>
        <v>0</v>
      </c>
      <c r="AE253" s="33">
        <f t="shared" si="231"/>
        <v>0</v>
      </c>
      <c r="AF253" s="33">
        <f t="shared" si="232"/>
        <v>0</v>
      </c>
      <c r="AG253" s="33">
        <f t="shared" si="233"/>
        <v>0</v>
      </c>
      <c r="AH253" s="33">
        <f t="shared" si="234"/>
        <v>0</v>
      </c>
      <c r="AI253" s="28"/>
      <c r="AJ253" s="16">
        <f t="shared" si="235"/>
        <v>0</v>
      </c>
      <c r="AK253" s="16">
        <f t="shared" si="236"/>
        <v>0</v>
      </c>
      <c r="AL253" s="16">
        <f t="shared" si="237"/>
        <v>0</v>
      </c>
      <c r="AN253" s="33">
        <v>21</v>
      </c>
      <c r="AO253" s="33">
        <f t="shared" si="238"/>
        <v>0</v>
      </c>
      <c r="AP253" s="33">
        <f t="shared" si="239"/>
        <v>0</v>
      </c>
      <c r="AQ253" s="27" t="s">
        <v>13</v>
      </c>
      <c r="AV253" s="33">
        <f t="shared" si="240"/>
        <v>0</v>
      </c>
      <c r="AW253" s="33">
        <f t="shared" si="241"/>
        <v>0</v>
      </c>
      <c r="AX253" s="33">
        <f t="shared" si="242"/>
        <v>0</v>
      </c>
      <c r="AY253" s="34" t="s">
        <v>1726</v>
      </c>
      <c r="AZ253" s="34" t="s">
        <v>1747</v>
      </c>
      <c r="BA253" s="28" t="s">
        <v>1752</v>
      </c>
      <c r="BC253" s="33">
        <f t="shared" si="243"/>
        <v>0</v>
      </c>
      <c r="BD253" s="33">
        <f t="shared" si="244"/>
        <v>0</v>
      </c>
      <c r="BE253" s="33">
        <v>0</v>
      </c>
      <c r="BF253" s="33">
        <f>253</f>
        <v>253</v>
      </c>
      <c r="BH253" s="16">
        <f t="shared" si="245"/>
        <v>0</v>
      </c>
      <c r="BI253" s="16">
        <f t="shared" si="246"/>
        <v>0</v>
      </c>
      <c r="BJ253" s="16">
        <f t="shared" si="247"/>
        <v>0</v>
      </c>
    </row>
    <row r="254" spans="1:62" x14ac:dyDescent="0.2">
      <c r="A254" s="4" t="s">
        <v>210</v>
      </c>
      <c r="B254" s="4" t="s">
        <v>748</v>
      </c>
      <c r="C254" s="131" t="s">
        <v>1327</v>
      </c>
      <c r="D254" s="132"/>
      <c r="E254" s="132"/>
      <c r="F254" s="4" t="s">
        <v>1665</v>
      </c>
      <c r="G254" s="68">
        <v>2</v>
      </c>
      <c r="H254" s="162">
        <v>0</v>
      </c>
      <c r="I254" s="16">
        <f t="shared" si="224"/>
        <v>0</v>
      </c>
      <c r="J254" s="16">
        <f t="shared" si="225"/>
        <v>0</v>
      </c>
      <c r="K254" s="16">
        <f t="shared" si="226"/>
        <v>0</v>
      </c>
      <c r="L254" s="27"/>
      <c r="Z254" s="33">
        <f t="shared" si="227"/>
        <v>0</v>
      </c>
      <c r="AB254" s="33">
        <f t="shared" si="228"/>
        <v>0</v>
      </c>
      <c r="AC254" s="33">
        <f t="shared" si="229"/>
        <v>0</v>
      </c>
      <c r="AD254" s="33">
        <f t="shared" si="230"/>
        <v>0</v>
      </c>
      <c r="AE254" s="33">
        <f t="shared" si="231"/>
        <v>0</v>
      </c>
      <c r="AF254" s="33">
        <f t="shared" si="232"/>
        <v>0</v>
      </c>
      <c r="AG254" s="33">
        <f t="shared" si="233"/>
        <v>0</v>
      </c>
      <c r="AH254" s="33">
        <f t="shared" si="234"/>
        <v>0</v>
      </c>
      <c r="AI254" s="28"/>
      <c r="AJ254" s="16">
        <f t="shared" si="235"/>
        <v>0</v>
      </c>
      <c r="AK254" s="16">
        <f t="shared" si="236"/>
        <v>0</v>
      </c>
      <c r="AL254" s="16">
        <f t="shared" si="237"/>
        <v>0</v>
      </c>
      <c r="AN254" s="33">
        <v>21</v>
      </c>
      <c r="AO254" s="33">
        <f t="shared" si="238"/>
        <v>0</v>
      </c>
      <c r="AP254" s="33">
        <f t="shared" si="239"/>
        <v>0</v>
      </c>
      <c r="AQ254" s="27" t="s">
        <v>13</v>
      </c>
      <c r="AV254" s="33">
        <f t="shared" si="240"/>
        <v>0</v>
      </c>
      <c r="AW254" s="33">
        <f t="shared" si="241"/>
        <v>0</v>
      </c>
      <c r="AX254" s="33">
        <f t="shared" si="242"/>
        <v>0</v>
      </c>
      <c r="AY254" s="34" t="s">
        <v>1726</v>
      </c>
      <c r="AZ254" s="34" t="s">
        <v>1747</v>
      </c>
      <c r="BA254" s="28" t="s">
        <v>1752</v>
      </c>
      <c r="BC254" s="33">
        <f t="shared" si="243"/>
        <v>0</v>
      </c>
      <c r="BD254" s="33">
        <f t="shared" si="244"/>
        <v>0</v>
      </c>
      <c r="BE254" s="33">
        <v>0</v>
      </c>
      <c r="BF254" s="33">
        <f>254</f>
        <v>254</v>
      </c>
      <c r="BH254" s="16">
        <f t="shared" si="245"/>
        <v>0</v>
      </c>
      <c r="BI254" s="16">
        <f t="shared" si="246"/>
        <v>0</v>
      </c>
      <c r="BJ254" s="16">
        <f t="shared" si="247"/>
        <v>0</v>
      </c>
    </row>
    <row r="255" spans="1:62" x14ac:dyDescent="0.2">
      <c r="A255" s="4" t="s">
        <v>211</v>
      </c>
      <c r="B255" s="4" t="s">
        <v>749</v>
      </c>
      <c r="C255" s="131" t="s">
        <v>1328</v>
      </c>
      <c r="D255" s="132"/>
      <c r="E255" s="132"/>
      <c r="F255" s="4" t="s">
        <v>1665</v>
      </c>
      <c r="G255" s="68">
        <v>2</v>
      </c>
      <c r="H255" s="162">
        <v>0</v>
      </c>
      <c r="I255" s="16">
        <f t="shared" si="224"/>
        <v>0</v>
      </c>
      <c r="J255" s="16">
        <f t="shared" si="225"/>
        <v>0</v>
      </c>
      <c r="K255" s="16">
        <f t="shared" si="226"/>
        <v>0</v>
      </c>
      <c r="L255" s="27"/>
      <c r="Z255" s="33">
        <f t="shared" si="227"/>
        <v>0</v>
      </c>
      <c r="AB255" s="33">
        <f t="shared" si="228"/>
        <v>0</v>
      </c>
      <c r="AC255" s="33">
        <f t="shared" si="229"/>
        <v>0</v>
      </c>
      <c r="AD255" s="33">
        <f t="shared" si="230"/>
        <v>0</v>
      </c>
      <c r="AE255" s="33">
        <f t="shared" si="231"/>
        <v>0</v>
      </c>
      <c r="AF255" s="33">
        <f t="shared" si="232"/>
        <v>0</v>
      </c>
      <c r="AG255" s="33">
        <f t="shared" si="233"/>
        <v>0</v>
      </c>
      <c r="AH255" s="33">
        <f t="shared" si="234"/>
        <v>0</v>
      </c>
      <c r="AI255" s="28"/>
      <c r="AJ255" s="16">
        <f t="shared" si="235"/>
        <v>0</v>
      </c>
      <c r="AK255" s="16">
        <f t="shared" si="236"/>
        <v>0</v>
      </c>
      <c r="AL255" s="16">
        <f t="shared" si="237"/>
        <v>0</v>
      </c>
      <c r="AN255" s="33">
        <v>21</v>
      </c>
      <c r="AO255" s="33">
        <f t="shared" si="238"/>
        <v>0</v>
      </c>
      <c r="AP255" s="33">
        <f t="shared" si="239"/>
        <v>0</v>
      </c>
      <c r="AQ255" s="27" t="s">
        <v>13</v>
      </c>
      <c r="AV255" s="33">
        <f t="shared" si="240"/>
        <v>0</v>
      </c>
      <c r="AW255" s="33">
        <f t="shared" si="241"/>
        <v>0</v>
      </c>
      <c r="AX255" s="33">
        <f t="shared" si="242"/>
        <v>0</v>
      </c>
      <c r="AY255" s="34" t="s">
        <v>1726</v>
      </c>
      <c r="AZ255" s="34" t="s">
        <v>1747</v>
      </c>
      <c r="BA255" s="28" t="s">
        <v>1752</v>
      </c>
      <c r="BC255" s="33">
        <f t="shared" si="243"/>
        <v>0</v>
      </c>
      <c r="BD255" s="33">
        <f t="shared" si="244"/>
        <v>0</v>
      </c>
      <c r="BE255" s="33">
        <v>0</v>
      </c>
      <c r="BF255" s="33">
        <f>255</f>
        <v>255</v>
      </c>
      <c r="BH255" s="16">
        <f t="shared" si="245"/>
        <v>0</v>
      </c>
      <c r="BI255" s="16">
        <f t="shared" si="246"/>
        <v>0</v>
      </c>
      <c r="BJ255" s="16">
        <f t="shared" si="247"/>
        <v>0</v>
      </c>
    </row>
    <row r="256" spans="1:62" x14ac:dyDescent="0.2">
      <c r="C256" s="140" t="s">
        <v>1329</v>
      </c>
      <c r="D256" s="141"/>
      <c r="E256" s="141"/>
      <c r="H256" s="164"/>
    </row>
    <row r="257" spans="1:62" x14ac:dyDescent="0.2">
      <c r="A257" s="4" t="s">
        <v>212</v>
      </c>
      <c r="B257" s="4" t="s">
        <v>750</v>
      </c>
      <c r="C257" s="131" t="s">
        <v>1330</v>
      </c>
      <c r="D257" s="132"/>
      <c r="E257" s="132"/>
      <c r="F257" s="4" t="s">
        <v>1665</v>
      </c>
      <c r="G257" s="68">
        <v>2</v>
      </c>
      <c r="H257" s="162">
        <v>0</v>
      </c>
      <c r="I257" s="16">
        <f t="shared" ref="I257:I268" si="248">G257*AO257</f>
        <v>0</v>
      </c>
      <c r="J257" s="16">
        <f t="shared" ref="J257:J268" si="249">G257*AP257</f>
        <v>0</v>
      </c>
      <c r="K257" s="16">
        <f t="shared" ref="K257:K268" si="250">G257*H257</f>
        <v>0</v>
      </c>
      <c r="L257" s="27"/>
      <c r="Z257" s="33">
        <f t="shared" ref="Z257:Z268" si="251">IF(AQ257="5",BJ257,0)</f>
        <v>0</v>
      </c>
      <c r="AB257" s="33">
        <f t="shared" ref="AB257:AB268" si="252">IF(AQ257="1",BH257,0)</f>
        <v>0</v>
      </c>
      <c r="AC257" s="33">
        <f t="shared" ref="AC257:AC268" si="253">IF(AQ257="1",BI257,0)</f>
        <v>0</v>
      </c>
      <c r="AD257" s="33">
        <f t="shared" ref="AD257:AD268" si="254">IF(AQ257="7",BH257,0)</f>
        <v>0</v>
      </c>
      <c r="AE257" s="33">
        <f t="shared" ref="AE257:AE268" si="255">IF(AQ257="7",BI257,0)</f>
        <v>0</v>
      </c>
      <c r="AF257" s="33">
        <f t="shared" ref="AF257:AF268" si="256">IF(AQ257="2",BH257,0)</f>
        <v>0</v>
      </c>
      <c r="AG257" s="33">
        <f t="shared" ref="AG257:AG268" si="257">IF(AQ257="2",BI257,0)</f>
        <v>0</v>
      </c>
      <c r="AH257" s="33">
        <f t="shared" ref="AH257:AH268" si="258">IF(AQ257="0",BJ257,0)</f>
        <v>0</v>
      </c>
      <c r="AI257" s="28"/>
      <c r="AJ257" s="16">
        <f t="shared" ref="AJ257:AJ268" si="259">IF(AN257=0,K257,0)</f>
        <v>0</v>
      </c>
      <c r="AK257" s="16">
        <f t="shared" ref="AK257:AK268" si="260">IF(AN257=15,K257,0)</f>
        <v>0</v>
      </c>
      <c r="AL257" s="16">
        <f t="shared" ref="AL257:AL268" si="261">IF(AN257=21,K257,0)</f>
        <v>0</v>
      </c>
      <c r="AN257" s="33">
        <v>21</v>
      </c>
      <c r="AO257" s="33">
        <f t="shared" ref="AO257:AO268" si="262">H257*0</f>
        <v>0</v>
      </c>
      <c r="AP257" s="33">
        <f t="shared" ref="AP257:AP268" si="263">H257*(1-0)</f>
        <v>0</v>
      </c>
      <c r="AQ257" s="27" t="s">
        <v>13</v>
      </c>
      <c r="AV257" s="33">
        <f t="shared" ref="AV257:AV268" si="264">AW257+AX257</f>
        <v>0</v>
      </c>
      <c r="AW257" s="33">
        <f t="shared" ref="AW257:AW268" si="265">G257*AO257</f>
        <v>0</v>
      </c>
      <c r="AX257" s="33">
        <f t="shared" ref="AX257:AX268" si="266">G257*AP257</f>
        <v>0</v>
      </c>
      <c r="AY257" s="34" t="s">
        <v>1726</v>
      </c>
      <c r="AZ257" s="34" t="s">
        <v>1747</v>
      </c>
      <c r="BA257" s="28" t="s">
        <v>1752</v>
      </c>
      <c r="BC257" s="33">
        <f t="shared" ref="BC257:BC268" si="267">AW257+AX257</f>
        <v>0</v>
      </c>
      <c r="BD257" s="33">
        <f t="shared" ref="BD257:BD268" si="268">H257/(100-BE257)*100</f>
        <v>0</v>
      </c>
      <c r="BE257" s="33">
        <v>0</v>
      </c>
      <c r="BF257" s="33">
        <f>257</f>
        <v>257</v>
      </c>
      <c r="BH257" s="16">
        <f t="shared" ref="BH257:BH268" si="269">G257*AO257</f>
        <v>0</v>
      </c>
      <c r="BI257" s="16">
        <f t="shared" ref="BI257:BI268" si="270">G257*AP257</f>
        <v>0</v>
      </c>
      <c r="BJ257" s="16">
        <f t="shared" ref="BJ257:BJ268" si="271">G257*H257</f>
        <v>0</v>
      </c>
    </row>
    <row r="258" spans="1:62" x14ac:dyDescent="0.2">
      <c r="A258" s="4" t="s">
        <v>213</v>
      </c>
      <c r="B258" s="4" t="s">
        <v>751</v>
      </c>
      <c r="C258" s="131" t="s">
        <v>1295</v>
      </c>
      <c r="D258" s="132"/>
      <c r="E258" s="132"/>
      <c r="F258" s="4" t="s">
        <v>1668</v>
      </c>
      <c r="G258" s="68">
        <v>15</v>
      </c>
      <c r="H258" s="162">
        <v>0</v>
      </c>
      <c r="I258" s="16">
        <f t="shared" si="248"/>
        <v>0</v>
      </c>
      <c r="J258" s="16">
        <f t="shared" si="249"/>
        <v>0</v>
      </c>
      <c r="K258" s="16">
        <f t="shared" si="250"/>
        <v>0</v>
      </c>
      <c r="L258" s="27"/>
      <c r="Z258" s="33">
        <f t="shared" si="251"/>
        <v>0</v>
      </c>
      <c r="AB258" s="33">
        <f t="shared" si="252"/>
        <v>0</v>
      </c>
      <c r="AC258" s="33">
        <f t="shared" si="253"/>
        <v>0</v>
      </c>
      <c r="AD258" s="33">
        <f t="shared" si="254"/>
        <v>0</v>
      </c>
      <c r="AE258" s="33">
        <f t="shared" si="255"/>
        <v>0</v>
      </c>
      <c r="AF258" s="33">
        <f t="shared" si="256"/>
        <v>0</v>
      </c>
      <c r="AG258" s="33">
        <f t="shared" si="257"/>
        <v>0</v>
      </c>
      <c r="AH258" s="33">
        <f t="shared" si="258"/>
        <v>0</v>
      </c>
      <c r="AI258" s="28"/>
      <c r="AJ258" s="16">
        <f t="shared" si="259"/>
        <v>0</v>
      </c>
      <c r="AK258" s="16">
        <f t="shared" si="260"/>
        <v>0</v>
      </c>
      <c r="AL258" s="16">
        <f t="shared" si="261"/>
        <v>0</v>
      </c>
      <c r="AN258" s="33">
        <v>21</v>
      </c>
      <c r="AO258" s="33">
        <f t="shared" si="262"/>
        <v>0</v>
      </c>
      <c r="AP258" s="33">
        <f t="shared" si="263"/>
        <v>0</v>
      </c>
      <c r="AQ258" s="27" t="s">
        <v>13</v>
      </c>
      <c r="AV258" s="33">
        <f t="shared" si="264"/>
        <v>0</v>
      </c>
      <c r="AW258" s="33">
        <f t="shared" si="265"/>
        <v>0</v>
      </c>
      <c r="AX258" s="33">
        <f t="shared" si="266"/>
        <v>0</v>
      </c>
      <c r="AY258" s="34" t="s">
        <v>1726</v>
      </c>
      <c r="AZ258" s="34" t="s">
        <v>1747</v>
      </c>
      <c r="BA258" s="28" t="s">
        <v>1752</v>
      </c>
      <c r="BC258" s="33">
        <f t="shared" si="267"/>
        <v>0</v>
      </c>
      <c r="BD258" s="33">
        <f t="shared" si="268"/>
        <v>0</v>
      </c>
      <c r="BE258" s="33">
        <v>0</v>
      </c>
      <c r="BF258" s="33">
        <f>258</f>
        <v>258</v>
      </c>
      <c r="BH258" s="16">
        <f t="shared" si="269"/>
        <v>0</v>
      </c>
      <c r="BI258" s="16">
        <f t="shared" si="270"/>
        <v>0</v>
      </c>
      <c r="BJ258" s="16">
        <f t="shared" si="271"/>
        <v>0</v>
      </c>
    </row>
    <row r="259" spans="1:62" x14ac:dyDescent="0.2">
      <c r="A259" s="4" t="s">
        <v>214</v>
      </c>
      <c r="B259" s="4" t="s">
        <v>752</v>
      </c>
      <c r="C259" s="131" t="s">
        <v>1331</v>
      </c>
      <c r="D259" s="132"/>
      <c r="E259" s="132"/>
      <c r="F259" s="4" t="s">
        <v>1665</v>
      </c>
      <c r="G259" s="68">
        <v>1</v>
      </c>
      <c r="H259" s="162">
        <v>0</v>
      </c>
      <c r="I259" s="16">
        <f t="shared" si="248"/>
        <v>0</v>
      </c>
      <c r="J259" s="16">
        <f t="shared" si="249"/>
        <v>0</v>
      </c>
      <c r="K259" s="16">
        <f t="shared" si="250"/>
        <v>0</v>
      </c>
      <c r="L259" s="27"/>
      <c r="Z259" s="33">
        <f t="shared" si="251"/>
        <v>0</v>
      </c>
      <c r="AB259" s="33">
        <f t="shared" si="252"/>
        <v>0</v>
      </c>
      <c r="AC259" s="33">
        <f t="shared" si="253"/>
        <v>0</v>
      </c>
      <c r="AD259" s="33">
        <f t="shared" si="254"/>
        <v>0</v>
      </c>
      <c r="AE259" s="33">
        <f t="shared" si="255"/>
        <v>0</v>
      </c>
      <c r="AF259" s="33">
        <f t="shared" si="256"/>
        <v>0</v>
      </c>
      <c r="AG259" s="33">
        <f t="shared" si="257"/>
        <v>0</v>
      </c>
      <c r="AH259" s="33">
        <f t="shared" si="258"/>
        <v>0</v>
      </c>
      <c r="AI259" s="28"/>
      <c r="AJ259" s="16">
        <f t="shared" si="259"/>
        <v>0</v>
      </c>
      <c r="AK259" s="16">
        <f t="shared" si="260"/>
        <v>0</v>
      </c>
      <c r="AL259" s="16">
        <f t="shared" si="261"/>
        <v>0</v>
      </c>
      <c r="AN259" s="33">
        <v>21</v>
      </c>
      <c r="AO259" s="33">
        <f t="shared" si="262"/>
        <v>0</v>
      </c>
      <c r="AP259" s="33">
        <f t="shared" si="263"/>
        <v>0</v>
      </c>
      <c r="AQ259" s="27" t="s">
        <v>13</v>
      </c>
      <c r="AV259" s="33">
        <f t="shared" si="264"/>
        <v>0</v>
      </c>
      <c r="AW259" s="33">
        <f t="shared" si="265"/>
        <v>0</v>
      </c>
      <c r="AX259" s="33">
        <f t="shared" si="266"/>
        <v>0</v>
      </c>
      <c r="AY259" s="34" t="s">
        <v>1726</v>
      </c>
      <c r="AZ259" s="34" t="s">
        <v>1747</v>
      </c>
      <c r="BA259" s="28" t="s">
        <v>1752</v>
      </c>
      <c r="BC259" s="33">
        <f t="shared" si="267"/>
        <v>0</v>
      </c>
      <c r="BD259" s="33">
        <f t="shared" si="268"/>
        <v>0</v>
      </c>
      <c r="BE259" s="33">
        <v>0</v>
      </c>
      <c r="BF259" s="33">
        <f>259</f>
        <v>259</v>
      </c>
      <c r="BH259" s="16">
        <f t="shared" si="269"/>
        <v>0</v>
      </c>
      <c r="BI259" s="16">
        <f t="shared" si="270"/>
        <v>0</v>
      </c>
      <c r="BJ259" s="16">
        <f t="shared" si="271"/>
        <v>0</v>
      </c>
    </row>
    <row r="260" spans="1:62" x14ac:dyDescent="0.2">
      <c r="A260" s="4" t="s">
        <v>215</v>
      </c>
      <c r="B260" s="4" t="s">
        <v>753</v>
      </c>
      <c r="C260" s="131" t="s">
        <v>1332</v>
      </c>
      <c r="D260" s="132"/>
      <c r="E260" s="132"/>
      <c r="F260" s="4" t="s">
        <v>1665</v>
      </c>
      <c r="G260" s="68">
        <v>1</v>
      </c>
      <c r="H260" s="162">
        <v>0</v>
      </c>
      <c r="I260" s="16">
        <f t="shared" si="248"/>
        <v>0</v>
      </c>
      <c r="J260" s="16">
        <f t="shared" si="249"/>
        <v>0</v>
      </c>
      <c r="K260" s="16">
        <f t="shared" si="250"/>
        <v>0</v>
      </c>
      <c r="L260" s="27"/>
      <c r="Z260" s="33">
        <f t="shared" si="251"/>
        <v>0</v>
      </c>
      <c r="AB260" s="33">
        <f t="shared" si="252"/>
        <v>0</v>
      </c>
      <c r="AC260" s="33">
        <f t="shared" si="253"/>
        <v>0</v>
      </c>
      <c r="AD260" s="33">
        <f t="shared" si="254"/>
        <v>0</v>
      </c>
      <c r="AE260" s="33">
        <f t="shared" si="255"/>
        <v>0</v>
      </c>
      <c r="AF260" s="33">
        <f t="shared" si="256"/>
        <v>0</v>
      </c>
      <c r="AG260" s="33">
        <f t="shared" si="257"/>
        <v>0</v>
      </c>
      <c r="AH260" s="33">
        <f t="shared" si="258"/>
        <v>0</v>
      </c>
      <c r="AI260" s="28"/>
      <c r="AJ260" s="16">
        <f t="shared" si="259"/>
        <v>0</v>
      </c>
      <c r="AK260" s="16">
        <f t="shared" si="260"/>
        <v>0</v>
      </c>
      <c r="AL260" s="16">
        <f t="shared" si="261"/>
        <v>0</v>
      </c>
      <c r="AN260" s="33">
        <v>21</v>
      </c>
      <c r="AO260" s="33">
        <f t="shared" si="262"/>
        <v>0</v>
      </c>
      <c r="AP260" s="33">
        <f t="shared" si="263"/>
        <v>0</v>
      </c>
      <c r="AQ260" s="27" t="s">
        <v>13</v>
      </c>
      <c r="AV260" s="33">
        <f t="shared" si="264"/>
        <v>0</v>
      </c>
      <c r="AW260" s="33">
        <f t="shared" si="265"/>
        <v>0</v>
      </c>
      <c r="AX260" s="33">
        <f t="shared" si="266"/>
        <v>0</v>
      </c>
      <c r="AY260" s="34" t="s">
        <v>1726</v>
      </c>
      <c r="AZ260" s="34" t="s">
        <v>1747</v>
      </c>
      <c r="BA260" s="28" t="s">
        <v>1752</v>
      </c>
      <c r="BC260" s="33">
        <f t="shared" si="267"/>
        <v>0</v>
      </c>
      <c r="BD260" s="33">
        <f t="shared" si="268"/>
        <v>0</v>
      </c>
      <c r="BE260" s="33">
        <v>0</v>
      </c>
      <c r="BF260" s="33">
        <f>260</f>
        <v>260</v>
      </c>
      <c r="BH260" s="16">
        <f t="shared" si="269"/>
        <v>0</v>
      </c>
      <c r="BI260" s="16">
        <f t="shared" si="270"/>
        <v>0</v>
      </c>
      <c r="BJ260" s="16">
        <f t="shared" si="271"/>
        <v>0</v>
      </c>
    </row>
    <row r="261" spans="1:62" x14ac:dyDescent="0.2">
      <c r="A261" s="4" t="s">
        <v>216</v>
      </c>
      <c r="B261" s="4" t="s">
        <v>754</v>
      </c>
      <c r="C261" s="131" t="s">
        <v>1333</v>
      </c>
      <c r="D261" s="132"/>
      <c r="E261" s="132"/>
      <c r="F261" s="4" t="s">
        <v>1665</v>
      </c>
      <c r="G261" s="68">
        <v>1</v>
      </c>
      <c r="H261" s="162">
        <v>0</v>
      </c>
      <c r="I261" s="16">
        <f t="shared" si="248"/>
        <v>0</v>
      </c>
      <c r="J261" s="16">
        <f t="shared" si="249"/>
        <v>0</v>
      </c>
      <c r="K261" s="16">
        <f t="shared" si="250"/>
        <v>0</v>
      </c>
      <c r="L261" s="27"/>
      <c r="Z261" s="33">
        <f t="shared" si="251"/>
        <v>0</v>
      </c>
      <c r="AB261" s="33">
        <f t="shared" si="252"/>
        <v>0</v>
      </c>
      <c r="AC261" s="33">
        <f t="shared" si="253"/>
        <v>0</v>
      </c>
      <c r="AD261" s="33">
        <f t="shared" si="254"/>
        <v>0</v>
      </c>
      <c r="AE261" s="33">
        <f t="shared" si="255"/>
        <v>0</v>
      </c>
      <c r="AF261" s="33">
        <f t="shared" si="256"/>
        <v>0</v>
      </c>
      <c r="AG261" s="33">
        <f t="shared" si="257"/>
        <v>0</v>
      </c>
      <c r="AH261" s="33">
        <f t="shared" si="258"/>
        <v>0</v>
      </c>
      <c r="AI261" s="28"/>
      <c r="AJ261" s="16">
        <f t="shared" si="259"/>
        <v>0</v>
      </c>
      <c r="AK261" s="16">
        <f t="shared" si="260"/>
        <v>0</v>
      </c>
      <c r="AL261" s="16">
        <f t="shared" si="261"/>
        <v>0</v>
      </c>
      <c r="AN261" s="33">
        <v>21</v>
      </c>
      <c r="AO261" s="33">
        <f t="shared" si="262"/>
        <v>0</v>
      </c>
      <c r="AP261" s="33">
        <f t="shared" si="263"/>
        <v>0</v>
      </c>
      <c r="AQ261" s="27" t="s">
        <v>13</v>
      </c>
      <c r="AV261" s="33">
        <f t="shared" si="264"/>
        <v>0</v>
      </c>
      <c r="AW261" s="33">
        <f t="shared" si="265"/>
        <v>0</v>
      </c>
      <c r="AX261" s="33">
        <f t="shared" si="266"/>
        <v>0</v>
      </c>
      <c r="AY261" s="34" t="s">
        <v>1726</v>
      </c>
      <c r="AZ261" s="34" t="s">
        <v>1747</v>
      </c>
      <c r="BA261" s="28" t="s">
        <v>1752</v>
      </c>
      <c r="BC261" s="33">
        <f t="shared" si="267"/>
        <v>0</v>
      </c>
      <c r="BD261" s="33">
        <f t="shared" si="268"/>
        <v>0</v>
      </c>
      <c r="BE261" s="33">
        <v>0</v>
      </c>
      <c r="BF261" s="33">
        <f>261</f>
        <v>261</v>
      </c>
      <c r="BH261" s="16">
        <f t="shared" si="269"/>
        <v>0</v>
      </c>
      <c r="BI261" s="16">
        <f t="shared" si="270"/>
        <v>0</v>
      </c>
      <c r="BJ261" s="16">
        <f t="shared" si="271"/>
        <v>0</v>
      </c>
    </row>
    <row r="262" spans="1:62" x14ac:dyDescent="0.2">
      <c r="A262" s="4" t="s">
        <v>217</v>
      </c>
      <c r="B262" s="4" t="s">
        <v>755</v>
      </c>
      <c r="C262" s="131" t="s">
        <v>1334</v>
      </c>
      <c r="D262" s="132"/>
      <c r="E262" s="132"/>
      <c r="F262" s="4" t="s">
        <v>1670</v>
      </c>
      <c r="G262" s="68">
        <v>1</v>
      </c>
      <c r="H262" s="162">
        <v>0</v>
      </c>
      <c r="I262" s="16">
        <f t="shared" si="248"/>
        <v>0</v>
      </c>
      <c r="J262" s="16">
        <f t="shared" si="249"/>
        <v>0</v>
      </c>
      <c r="K262" s="16">
        <f t="shared" si="250"/>
        <v>0</v>
      </c>
      <c r="L262" s="27"/>
      <c r="Z262" s="33">
        <f t="shared" si="251"/>
        <v>0</v>
      </c>
      <c r="AB262" s="33">
        <f t="shared" si="252"/>
        <v>0</v>
      </c>
      <c r="AC262" s="33">
        <f t="shared" si="253"/>
        <v>0</v>
      </c>
      <c r="AD262" s="33">
        <f t="shared" si="254"/>
        <v>0</v>
      </c>
      <c r="AE262" s="33">
        <f t="shared" si="255"/>
        <v>0</v>
      </c>
      <c r="AF262" s="33">
        <f t="shared" si="256"/>
        <v>0</v>
      </c>
      <c r="AG262" s="33">
        <f t="shared" si="257"/>
        <v>0</v>
      </c>
      <c r="AH262" s="33">
        <f t="shared" si="258"/>
        <v>0</v>
      </c>
      <c r="AI262" s="28"/>
      <c r="AJ262" s="16">
        <f t="shared" si="259"/>
        <v>0</v>
      </c>
      <c r="AK262" s="16">
        <f t="shared" si="260"/>
        <v>0</v>
      </c>
      <c r="AL262" s="16">
        <f t="shared" si="261"/>
        <v>0</v>
      </c>
      <c r="AN262" s="33">
        <v>21</v>
      </c>
      <c r="AO262" s="33">
        <f t="shared" si="262"/>
        <v>0</v>
      </c>
      <c r="AP262" s="33">
        <f t="shared" si="263"/>
        <v>0</v>
      </c>
      <c r="AQ262" s="27" t="s">
        <v>13</v>
      </c>
      <c r="AV262" s="33">
        <f t="shared" si="264"/>
        <v>0</v>
      </c>
      <c r="AW262" s="33">
        <f t="shared" si="265"/>
        <v>0</v>
      </c>
      <c r="AX262" s="33">
        <f t="shared" si="266"/>
        <v>0</v>
      </c>
      <c r="AY262" s="34" t="s">
        <v>1726</v>
      </c>
      <c r="AZ262" s="34" t="s">
        <v>1747</v>
      </c>
      <c r="BA262" s="28" t="s">
        <v>1752</v>
      </c>
      <c r="BC262" s="33">
        <f t="shared" si="267"/>
        <v>0</v>
      </c>
      <c r="BD262" s="33">
        <f t="shared" si="268"/>
        <v>0</v>
      </c>
      <c r="BE262" s="33">
        <v>0</v>
      </c>
      <c r="BF262" s="33">
        <f>262</f>
        <v>262</v>
      </c>
      <c r="BH262" s="16">
        <f t="shared" si="269"/>
        <v>0</v>
      </c>
      <c r="BI262" s="16">
        <f t="shared" si="270"/>
        <v>0</v>
      </c>
      <c r="BJ262" s="16">
        <f t="shared" si="271"/>
        <v>0</v>
      </c>
    </row>
    <row r="263" spans="1:62" x14ac:dyDescent="0.2">
      <c r="A263" s="4" t="s">
        <v>218</v>
      </c>
      <c r="B263" s="4" t="s">
        <v>756</v>
      </c>
      <c r="C263" s="131" t="s">
        <v>1335</v>
      </c>
      <c r="D263" s="132"/>
      <c r="E263" s="132"/>
      <c r="F263" s="4" t="s">
        <v>1670</v>
      </c>
      <c r="G263" s="68">
        <v>1</v>
      </c>
      <c r="H263" s="162">
        <v>0</v>
      </c>
      <c r="I263" s="16">
        <f t="shared" si="248"/>
        <v>0</v>
      </c>
      <c r="J263" s="16">
        <f t="shared" si="249"/>
        <v>0</v>
      </c>
      <c r="K263" s="16">
        <f t="shared" si="250"/>
        <v>0</v>
      </c>
      <c r="L263" s="27"/>
      <c r="Z263" s="33">
        <f t="shared" si="251"/>
        <v>0</v>
      </c>
      <c r="AB263" s="33">
        <f t="shared" si="252"/>
        <v>0</v>
      </c>
      <c r="AC263" s="33">
        <f t="shared" si="253"/>
        <v>0</v>
      </c>
      <c r="AD263" s="33">
        <f t="shared" si="254"/>
        <v>0</v>
      </c>
      <c r="AE263" s="33">
        <f t="shared" si="255"/>
        <v>0</v>
      </c>
      <c r="AF263" s="33">
        <f t="shared" si="256"/>
        <v>0</v>
      </c>
      <c r="AG263" s="33">
        <f t="shared" si="257"/>
        <v>0</v>
      </c>
      <c r="AH263" s="33">
        <f t="shared" si="258"/>
        <v>0</v>
      </c>
      <c r="AI263" s="28"/>
      <c r="AJ263" s="16">
        <f t="shared" si="259"/>
        <v>0</v>
      </c>
      <c r="AK263" s="16">
        <f t="shared" si="260"/>
        <v>0</v>
      </c>
      <c r="AL263" s="16">
        <f t="shared" si="261"/>
        <v>0</v>
      </c>
      <c r="AN263" s="33">
        <v>21</v>
      </c>
      <c r="AO263" s="33">
        <f t="shared" si="262"/>
        <v>0</v>
      </c>
      <c r="AP263" s="33">
        <f t="shared" si="263"/>
        <v>0</v>
      </c>
      <c r="AQ263" s="27" t="s">
        <v>13</v>
      </c>
      <c r="AV263" s="33">
        <f t="shared" si="264"/>
        <v>0</v>
      </c>
      <c r="AW263" s="33">
        <f t="shared" si="265"/>
        <v>0</v>
      </c>
      <c r="AX263" s="33">
        <f t="shared" si="266"/>
        <v>0</v>
      </c>
      <c r="AY263" s="34" t="s">
        <v>1726</v>
      </c>
      <c r="AZ263" s="34" t="s">
        <v>1747</v>
      </c>
      <c r="BA263" s="28" t="s">
        <v>1752</v>
      </c>
      <c r="BC263" s="33">
        <f t="shared" si="267"/>
        <v>0</v>
      </c>
      <c r="BD263" s="33">
        <f t="shared" si="268"/>
        <v>0</v>
      </c>
      <c r="BE263" s="33">
        <v>0</v>
      </c>
      <c r="BF263" s="33">
        <f>263</f>
        <v>263</v>
      </c>
      <c r="BH263" s="16">
        <f t="shared" si="269"/>
        <v>0</v>
      </c>
      <c r="BI263" s="16">
        <f t="shared" si="270"/>
        <v>0</v>
      </c>
      <c r="BJ263" s="16">
        <f t="shared" si="271"/>
        <v>0</v>
      </c>
    </row>
    <row r="264" spans="1:62" x14ac:dyDescent="0.2">
      <c r="A264" s="4" t="s">
        <v>219</v>
      </c>
      <c r="B264" s="4" t="s">
        <v>757</v>
      </c>
      <c r="C264" s="131" t="s">
        <v>1336</v>
      </c>
      <c r="D264" s="132"/>
      <c r="E264" s="132"/>
      <c r="F264" s="4" t="s">
        <v>1670</v>
      </c>
      <c r="G264" s="68">
        <v>1</v>
      </c>
      <c r="H264" s="162">
        <v>0</v>
      </c>
      <c r="I264" s="16">
        <f t="shared" si="248"/>
        <v>0</v>
      </c>
      <c r="J264" s="16">
        <f t="shared" si="249"/>
        <v>0</v>
      </c>
      <c r="K264" s="16">
        <f t="shared" si="250"/>
        <v>0</v>
      </c>
      <c r="L264" s="27"/>
      <c r="Z264" s="33">
        <f t="shared" si="251"/>
        <v>0</v>
      </c>
      <c r="AB264" s="33">
        <f t="shared" si="252"/>
        <v>0</v>
      </c>
      <c r="AC264" s="33">
        <f t="shared" si="253"/>
        <v>0</v>
      </c>
      <c r="AD264" s="33">
        <f t="shared" si="254"/>
        <v>0</v>
      </c>
      <c r="AE264" s="33">
        <f t="shared" si="255"/>
        <v>0</v>
      </c>
      <c r="AF264" s="33">
        <f t="shared" si="256"/>
        <v>0</v>
      </c>
      <c r="AG264" s="33">
        <f t="shared" si="257"/>
        <v>0</v>
      </c>
      <c r="AH264" s="33">
        <f t="shared" si="258"/>
        <v>0</v>
      </c>
      <c r="AI264" s="28"/>
      <c r="AJ264" s="16">
        <f t="shared" si="259"/>
        <v>0</v>
      </c>
      <c r="AK264" s="16">
        <f t="shared" si="260"/>
        <v>0</v>
      </c>
      <c r="AL264" s="16">
        <f t="shared" si="261"/>
        <v>0</v>
      </c>
      <c r="AN264" s="33">
        <v>21</v>
      </c>
      <c r="AO264" s="33">
        <f t="shared" si="262"/>
        <v>0</v>
      </c>
      <c r="AP264" s="33">
        <f t="shared" si="263"/>
        <v>0</v>
      </c>
      <c r="AQ264" s="27" t="s">
        <v>13</v>
      </c>
      <c r="AV264" s="33">
        <f t="shared" si="264"/>
        <v>0</v>
      </c>
      <c r="AW264" s="33">
        <f t="shared" si="265"/>
        <v>0</v>
      </c>
      <c r="AX264" s="33">
        <f t="shared" si="266"/>
        <v>0</v>
      </c>
      <c r="AY264" s="34" t="s">
        <v>1726</v>
      </c>
      <c r="AZ264" s="34" t="s">
        <v>1747</v>
      </c>
      <c r="BA264" s="28" t="s">
        <v>1752</v>
      </c>
      <c r="BC264" s="33">
        <f t="shared" si="267"/>
        <v>0</v>
      </c>
      <c r="BD264" s="33">
        <f t="shared" si="268"/>
        <v>0</v>
      </c>
      <c r="BE264" s="33">
        <v>0</v>
      </c>
      <c r="BF264" s="33">
        <f>264</f>
        <v>264</v>
      </c>
      <c r="BH264" s="16">
        <f t="shared" si="269"/>
        <v>0</v>
      </c>
      <c r="BI264" s="16">
        <f t="shared" si="270"/>
        <v>0</v>
      </c>
      <c r="BJ264" s="16">
        <f t="shared" si="271"/>
        <v>0</v>
      </c>
    </row>
    <row r="265" spans="1:62" x14ac:dyDescent="0.2">
      <c r="A265" s="4" t="s">
        <v>220</v>
      </c>
      <c r="B265" s="4" t="s">
        <v>758</v>
      </c>
      <c r="C265" s="131" t="s">
        <v>1337</v>
      </c>
      <c r="D265" s="132"/>
      <c r="E265" s="132"/>
      <c r="F265" s="4" t="s">
        <v>1668</v>
      </c>
      <c r="G265" s="68">
        <v>20</v>
      </c>
      <c r="H265" s="162">
        <v>0</v>
      </c>
      <c r="I265" s="16">
        <f t="shared" si="248"/>
        <v>0</v>
      </c>
      <c r="J265" s="16">
        <f t="shared" si="249"/>
        <v>0</v>
      </c>
      <c r="K265" s="16">
        <f t="shared" si="250"/>
        <v>0</v>
      </c>
      <c r="L265" s="27"/>
      <c r="Z265" s="33">
        <f t="shared" si="251"/>
        <v>0</v>
      </c>
      <c r="AB265" s="33">
        <f t="shared" si="252"/>
        <v>0</v>
      </c>
      <c r="AC265" s="33">
        <f t="shared" si="253"/>
        <v>0</v>
      </c>
      <c r="AD265" s="33">
        <f t="shared" si="254"/>
        <v>0</v>
      </c>
      <c r="AE265" s="33">
        <f t="shared" si="255"/>
        <v>0</v>
      </c>
      <c r="AF265" s="33">
        <f t="shared" si="256"/>
        <v>0</v>
      </c>
      <c r="AG265" s="33">
        <f t="shared" si="257"/>
        <v>0</v>
      </c>
      <c r="AH265" s="33">
        <f t="shared" si="258"/>
        <v>0</v>
      </c>
      <c r="AI265" s="28"/>
      <c r="AJ265" s="16">
        <f t="shared" si="259"/>
        <v>0</v>
      </c>
      <c r="AK265" s="16">
        <f t="shared" si="260"/>
        <v>0</v>
      </c>
      <c r="AL265" s="16">
        <f t="shared" si="261"/>
        <v>0</v>
      </c>
      <c r="AN265" s="33">
        <v>21</v>
      </c>
      <c r="AO265" s="33">
        <f t="shared" si="262"/>
        <v>0</v>
      </c>
      <c r="AP265" s="33">
        <f t="shared" si="263"/>
        <v>0</v>
      </c>
      <c r="AQ265" s="27" t="s">
        <v>13</v>
      </c>
      <c r="AV265" s="33">
        <f t="shared" si="264"/>
        <v>0</v>
      </c>
      <c r="AW265" s="33">
        <f t="shared" si="265"/>
        <v>0</v>
      </c>
      <c r="AX265" s="33">
        <f t="shared" si="266"/>
        <v>0</v>
      </c>
      <c r="AY265" s="34" t="s">
        <v>1726</v>
      </c>
      <c r="AZ265" s="34" t="s">
        <v>1747</v>
      </c>
      <c r="BA265" s="28" t="s">
        <v>1752</v>
      </c>
      <c r="BC265" s="33">
        <f t="shared" si="267"/>
        <v>0</v>
      </c>
      <c r="BD265" s="33">
        <f t="shared" si="268"/>
        <v>0</v>
      </c>
      <c r="BE265" s="33">
        <v>0</v>
      </c>
      <c r="BF265" s="33">
        <f>265</f>
        <v>265</v>
      </c>
      <c r="BH265" s="16">
        <f t="shared" si="269"/>
        <v>0</v>
      </c>
      <c r="BI265" s="16">
        <f t="shared" si="270"/>
        <v>0</v>
      </c>
      <c r="BJ265" s="16">
        <f t="shared" si="271"/>
        <v>0</v>
      </c>
    </row>
    <row r="266" spans="1:62" x14ac:dyDescent="0.2">
      <c r="A266" s="4" t="s">
        <v>221</v>
      </c>
      <c r="B266" s="4" t="s">
        <v>759</v>
      </c>
      <c r="C266" s="131" t="s">
        <v>1303</v>
      </c>
      <c r="D266" s="132"/>
      <c r="E266" s="132"/>
      <c r="F266" s="4" t="s">
        <v>1665</v>
      </c>
      <c r="G266" s="68">
        <v>1</v>
      </c>
      <c r="H266" s="162">
        <v>0</v>
      </c>
      <c r="I266" s="16">
        <f t="shared" si="248"/>
        <v>0</v>
      </c>
      <c r="J266" s="16">
        <f t="shared" si="249"/>
        <v>0</v>
      </c>
      <c r="K266" s="16">
        <f t="shared" si="250"/>
        <v>0</v>
      </c>
      <c r="L266" s="27"/>
      <c r="Z266" s="33">
        <f t="shared" si="251"/>
        <v>0</v>
      </c>
      <c r="AB266" s="33">
        <f t="shared" si="252"/>
        <v>0</v>
      </c>
      <c r="AC266" s="33">
        <f t="shared" si="253"/>
        <v>0</v>
      </c>
      <c r="AD266" s="33">
        <f t="shared" si="254"/>
        <v>0</v>
      </c>
      <c r="AE266" s="33">
        <f t="shared" si="255"/>
        <v>0</v>
      </c>
      <c r="AF266" s="33">
        <f t="shared" si="256"/>
        <v>0</v>
      </c>
      <c r="AG266" s="33">
        <f t="shared" si="257"/>
        <v>0</v>
      </c>
      <c r="AH266" s="33">
        <f t="shared" si="258"/>
        <v>0</v>
      </c>
      <c r="AI266" s="28"/>
      <c r="AJ266" s="16">
        <f t="shared" si="259"/>
        <v>0</v>
      </c>
      <c r="AK266" s="16">
        <f t="shared" si="260"/>
        <v>0</v>
      </c>
      <c r="AL266" s="16">
        <f t="shared" si="261"/>
        <v>0</v>
      </c>
      <c r="AN266" s="33">
        <v>21</v>
      </c>
      <c r="AO266" s="33">
        <f t="shared" si="262"/>
        <v>0</v>
      </c>
      <c r="AP266" s="33">
        <f t="shared" si="263"/>
        <v>0</v>
      </c>
      <c r="AQ266" s="27" t="s">
        <v>13</v>
      </c>
      <c r="AV266" s="33">
        <f t="shared" si="264"/>
        <v>0</v>
      </c>
      <c r="AW266" s="33">
        <f t="shared" si="265"/>
        <v>0</v>
      </c>
      <c r="AX266" s="33">
        <f t="shared" si="266"/>
        <v>0</v>
      </c>
      <c r="AY266" s="34" t="s">
        <v>1726</v>
      </c>
      <c r="AZ266" s="34" t="s">
        <v>1747</v>
      </c>
      <c r="BA266" s="28" t="s">
        <v>1752</v>
      </c>
      <c r="BC266" s="33">
        <f t="shared" si="267"/>
        <v>0</v>
      </c>
      <c r="BD266" s="33">
        <f t="shared" si="268"/>
        <v>0</v>
      </c>
      <c r="BE266" s="33">
        <v>0</v>
      </c>
      <c r="BF266" s="33">
        <f>266</f>
        <v>266</v>
      </c>
      <c r="BH266" s="16">
        <f t="shared" si="269"/>
        <v>0</v>
      </c>
      <c r="BI266" s="16">
        <f t="shared" si="270"/>
        <v>0</v>
      </c>
      <c r="BJ266" s="16">
        <f t="shared" si="271"/>
        <v>0</v>
      </c>
    </row>
    <row r="267" spans="1:62" x14ac:dyDescent="0.2">
      <c r="A267" s="4" t="s">
        <v>222</v>
      </c>
      <c r="B267" s="4" t="s">
        <v>760</v>
      </c>
      <c r="C267" s="131" t="s">
        <v>1304</v>
      </c>
      <c r="D267" s="132"/>
      <c r="E267" s="132"/>
      <c r="F267" s="4" t="s">
        <v>1665</v>
      </c>
      <c r="G267" s="68">
        <v>1</v>
      </c>
      <c r="H267" s="162">
        <v>0</v>
      </c>
      <c r="I267" s="16">
        <f t="shared" si="248"/>
        <v>0</v>
      </c>
      <c r="J267" s="16">
        <f t="shared" si="249"/>
        <v>0</v>
      </c>
      <c r="K267" s="16">
        <f t="shared" si="250"/>
        <v>0</v>
      </c>
      <c r="L267" s="27"/>
      <c r="Z267" s="33">
        <f t="shared" si="251"/>
        <v>0</v>
      </c>
      <c r="AB267" s="33">
        <f t="shared" si="252"/>
        <v>0</v>
      </c>
      <c r="AC267" s="33">
        <f t="shared" si="253"/>
        <v>0</v>
      </c>
      <c r="AD267" s="33">
        <f t="shared" si="254"/>
        <v>0</v>
      </c>
      <c r="AE267" s="33">
        <f t="shared" si="255"/>
        <v>0</v>
      </c>
      <c r="AF267" s="33">
        <f t="shared" si="256"/>
        <v>0</v>
      </c>
      <c r="AG267" s="33">
        <f t="shared" si="257"/>
        <v>0</v>
      </c>
      <c r="AH267" s="33">
        <f t="shared" si="258"/>
        <v>0</v>
      </c>
      <c r="AI267" s="28"/>
      <c r="AJ267" s="16">
        <f t="shared" si="259"/>
        <v>0</v>
      </c>
      <c r="AK267" s="16">
        <f t="shared" si="260"/>
        <v>0</v>
      </c>
      <c r="AL267" s="16">
        <f t="shared" si="261"/>
        <v>0</v>
      </c>
      <c r="AN267" s="33">
        <v>21</v>
      </c>
      <c r="AO267" s="33">
        <f t="shared" si="262"/>
        <v>0</v>
      </c>
      <c r="AP267" s="33">
        <f t="shared" si="263"/>
        <v>0</v>
      </c>
      <c r="AQ267" s="27" t="s">
        <v>13</v>
      </c>
      <c r="AV267" s="33">
        <f t="shared" si="264"/>
        <v>0</v>
      </c>
      <c r="AW267" s="33">
        <f t="shared" si="265"/>
        <v>0</v>
      </c>
      <c r="AX267" s="33">
        <f t="shared" si="266"/>
        <v>0</v>
      </c>
      <c r="AY267" s="34" t="s">
        <v>1726</v>
      </c>
      <c r="AZ267" s="34" t="s">
        <v>1747</v>
      </c>
      <c r="BA267" s="28" t="s">
        <v>1752</v>
      </c>
      <c r="BC267" s="33">
        <f t="shared" si="267"/>
        <v>0</v>
      </c>
      <c r="BD267" s="33">
        <f t="shared" si="268"/>
        <v>0</v>
      </c>
      <c r="BE267" s="33">
        <v>0</v>
      </c>
      <c r="BF267" s="33">
        <f>267</f>
        <v>267</v>
      </c>
      <c r="BH267" s="16">
        <f t="shared" si="269"/>
        <v>0</v>
      </c>
      <c r="BI267" s="16">
        <f t="shared" si="270"/>
        <v>0</v>
      </c>
      <c r="BJ267" s="16">
        <f t="shared" si="271"/>
        <v>0</v>
      </c>
    </row>
    <row r="268" spans="1:62" x14ac:dyDescent="0.2">
      <c r="A268" s="4" t="s">
        <v>223</v>
      </c>
      <c r="B268" s="4" t="s">
        <v>761</v>
      </c>
      <c r="C268" s="131" t="s">
        <v>1305</v>
      </c>
      <c r="D268" s="132"/>
      <c r="E268" s="132"/>
      <c r="F268" s="4" t="s">
        <v>1665</v>
      </c>
      <c r="G268" s="68">
        <v>1</v>
      </c>
      <c r="H268" s="162">
        <v>0</v>
      </c>
      <c r="I268" s="16">
        <f t="shared" si="248"/>
        <v>0</v>
      </c>
      <c r="J268" s="16">
        <f t="shared" si="249"/>
        <v>0</v>
      </c>
      <c r="K268" s="16">
        <f t="shared" si="250"/>
        <v>0</v>
      </c>
      <c r="L268" s="27"/>
      <c r="Z268" s="33">
        <f t="shared" si="251"/>
        <v>0</v>
      </c>
      <c r="AB268" s="33">
        <f t="shared" si="252"/>
        <v>0</v>
      </c>
      <c r="AC268" s="33">
        <f t="shared" si="253"/>
        <v>0</v>
      </c>
      <c r="AD268" s="33">
        <f t="shared" si="254"/>
        <v>0</v>
      </c>
      <c r="AE268" s="33">
        <f t="shared" si="255"/>
        <v>0</v>
      </c>
      <c r="AF268" s="33">
        <f t="shared" si="256"/>
        <v>0</v>
      </c>
      <c r="AG268" s="33">
        <f t="shared" si="257"/>
        <v>0</v>
      </c>
      <c r="AH268" s="33">
        <f t="shared" si="258"/>
        <v>0</v>
      </c>
      <c r="AI268" s="28"/>
      <c r="AJ268" s="16">
        <f t="shared" si="259"/>
        <v>0</v>
      </c>
      <c r="AK268" s="16">
        <f t="shared" si="260"/>
        <v>0</v>
      </c>
      <c r="AL268" s="16">
        <f t="shared" si="261"/>
        <v>0</v>
      </c>
      <c r="AN268" s="33">
        <v>21</v>
      </c>
      <c r="AO268" s="33">
        <f t="shared" si="262"/>
        <v>0</v>
      </c>
      <c r="AP268" s="33">
        <f t="shared" si="263"/>
        <v>0</v>
      </c>
      <c r="AQ268" s="27" t="s">
        <v>13</v>
      </c>
      <c r="AV268" s="33">
        <f t="shared" si="264"/>
        <v>0</v>
      </c>
      <c r="AW268" s="33">
        <f t="shared" si="265"/>
        <v>0</v>
      </c>
      <c r="AX268" s="33">
        <f t="shared" si="266"/>
        <v>0</v>
      </c>
      <c r="AY268" s="34" t="s">
        <v>1726</v>
      </c>
      <c r="AZ268" s="34" t="s">
        <v>1747</v>
      </c>
      <c r="BA268" s="28" t="s">
        <v>1752</v>
      </c>
      <c r="BC268" s="33">
        <f t="shared" si="267"/>
        <v>0</v>
      </c>
      <c r="BD268" s="33">
        <f t="shared" si="268"/>
        <v>0</v>
      </c>
      <c r="BE268" s="33">
        <v>0</v>
      </c>
      <c r="BF268" s="33">
        <f>268</f>
        <v>268</v>
      </c>
      <c r="BH268" s="16">
        <f t="shared" si="269"/>
        <v>0</v>
      </c>
      <c r="BI268" s="16">
        <f t="shared" si="270"/>
        <v>0</v>
      </c>
      <c r="BJ268" s="16">
        <f t="shared" si="271"/>
        <v>0</v>
      </c>
    </row>
    <row r="269" spans="1:62" x14ac:dyDescent="0.2">
      <c r="C269" s="140" t="s">
        <v>1306</v>
      </c>
      <c r="D269" s="141"/>
      <c r="E269" s="141"/>
      <c r="H269" s="164"/>
    </row>
    <row r="270" spans="1:62" x14ac:dyDescent="0.2">
      <c r="A270" s="5"/>
      <c r="B270" s="13" t="s">
        <v>762</v>
      </c>
      <c r="C270" s="136" t="s">
        <v>1338</v>
      </c>
      <c r="D270" s="137"/>
      <c r="E270" s="137"/>
      <c r="F270" s="5" t="s">
        <v>6</v>
      </c>
      <c r="G270" s="5" t="s">
        <v>6</v>
      </c>
      <c r="H270" s="163" t="s">
        <v>6</v>
      </c>
      <c r="I270" s="36">
        <f>SUM(I271:I316)</f>
        <v>0</v>
      </c>
      <c r="J270" s="36">
        <f>SUM(J271:J316)</f>
        <v>0</v>
      </c>
      <c r="K270" s="36">
        <f>SUM(K271:K316)</f>
        <v>0</v>
      </c>
      <c r="L270" s="28"/>
      <c r="AI270" s="28"/>
      <c r="AS270" s="36">
        <f>SUM(AJ271:AJ316)</f>
        <v>0</v>
      </c>
      <c r="AT270" s="36">
        <f>SUM(AK271:AK316)</f>
        <v>0</v>
      </c>
      <c r="AU270" s="36">
        <f>SUM(AL271:AL316)</f>
        <v>0</v>
      </c>
    </row>
    <row r="271" spans="1:62" x14ac:dyDescent="0.2">
      <c r="A271" s="4" t="s">
        <v>224</v>
      </c>
      <c r="B271" s="4" t="s">
        <v>763</v>
      </c>
      <c r="C271" s="131" t="s">
        <v>1339</v>
      </c>
      <c r="D271" s="132"/>
      <c r="E271" s="132"/>
      <c r="F271" s="4" t="s">
        <v>1665</v>
      </c>
      <c r="G271" s="68">
        <v>1</v>
      </c>
      <c r="H271" s="162">
        <v>0</v>
      </c>
      <c r="I271" s="16">
        <f>G271*AO271</f>
        <v>0</v>
      </c>
      <c r="J271" s="16">
        <f>G271*AP271</f>
        <v>0</v>
      </c>
      <c r="K271" s="16">
        <f>G271*H271</f>
        <v>0</v>
      </c>
      <c r="L271" s="27"/>
      <c r="Z271" s="33">
        <f>IF(AQ271="5",BJ271,0)</f>
        <v>0</v>
      </c>
      <c r="AB271" s="33">
        <f>IF(AQ271="1",BH271,0)</f>
        <v>0</v>
      </c>
      <c r="AC271" s="33">
        <f>IF(AQ271="1",BI271,0)</f>
        <v>0</v>
      </c>
      <c r="AD271" s="33">
        <f>IF(AQ271="7",BH271,0)</f>
        <v>0</v>
      </c>
      <c r="AE271" s="33">
        <f>IF(AQ271="7",BI271,0)</f>
        <v>0</v>
      </c>
      <c r="AF271" s="33">
        <f>IF(AQ271="2",BH271,0)</f>
        <v>0</v>
      </c>
      <c r="AG271" s="33">
        <f>IF(AQ271="2",BI271,0)</f>
        <v>0</v>
      </c>
      <c r="AH271" s="33">
        <f>IF(AQ271="0",BJ271,0)</f>
        <v>0</v>
      </c>
      <c r="AI271" s="28"/>
      <c r="AJ271" s="16">
        <f>IF(AN271=0,K271,0)</f>
        <v>0</v>
      </c>
      <c r="AK271" s="16">
        <f>IF(AN271=15,K271,0)</f>
        <v>0</v>
      </c>
      <c r="AL271" s="16">
        <f>IF(AN271=21,K271,0)</f>
        <v>0</v>
      </c>
      <c r="AN271" s="33">
        <v>21</v>
      </c>
      <c r="AO271" s="33">
        <f>H271*0</f>
        <v>0</v>
      </c>
      <c r="AP271" s="33">
        <f>H271*(1-0)</f>
        <v>0</v>
      </c>
      <c r="AQ271" s="27" t="s">
        <v>13</v>
      </c>
      <c r="AV271" s="33">
        <f>AW271+AX271</f>
        <v>0</v>
      </c>
      <c r="AW271" s="33">
        <f>G271*AO271</f>
        <v>0</v>
      </c>
      <c r="AX271" s="33">
        <f>G271*AP271</f>
        <v>0</v>
      </c>
      <c r="AY271" s="34" t="s">
        <v>1727</v>
      </c>
      <c r="AZ271" s="34" t="s">
        <v>1747</v>
      </c>
      <c r="BA271" s="28" t="s">
        <v>1752</v>
      </c>
      <c r="BC271" s="33">
        <f>AW271+AX271</f>
        <v>0</v>
      </c>
      <c r="BD271" s="33">
        <f>H271/(100-BE271)*100</f>
        <v>0</v>
      </c>
      <c r="BE271" s="33">
        <v>0</v>
      </c>
      <c r="BF271" s="33">
        <f>271</f>
        <v>271</v>
      </c>
      <c r="BH271" s="16">
        <f>G271*AO271</f>
        <v>0</v>
      </c>
      <c r="BI271" s="16">
        <f>G271*AP271</f>
        <v>0</v>
      </c>
      <c r="BJ271" s="16">
        <f>G271*H271</f>
        <v>0</v>
      </c>
    </row>
    <row r="272" spans="1:62" x14ac:dyDescent="0.2">
      <c r="C272" s="140" t="s">
        <v>1340</v>
      </c>
      <c r="D272" s="141"/>
      <c r="E272" s="141"/>
      <c r="H272" s="164"/>
    </row>
    <row r="273" spans="1:62" x14ac:dyDescent="0.2">
      <c r="A273" s="4" t="s">
        <v>225</v>
      </c>
      <c r="B273" s="4" t="s">
        <v>764</v>
      </c>
      <c r="C273" s="131" t="s">
        <v>1341</v>
      </c>
      <c r="D273" s="132"/>
      <c r="E273" s="132"/>
      <c r="F273" s="4" t="s">
        <v>1671</v>
      </c>
      <c r="G273" s="68">
        <v>1</v>
      </c>
      <c r="H273" s="162">
        <v>0</v>
      </c>
      <c r="I273" s="16">
        <f t="shared" ref="I273:I280" si="272">G273*AO273</f>
        <v>0</v>
      </c>
      <c r="J273" s="16">
        <f t="shared" ref="J273:J280" si="273">G273*AP273</f>
        <v>0</v>
      </c>
      <c r="K273" s="16">
        <f t="shared" ref="K273:K280" si="274">G273*H273</f>
        <v>0</v>
      </c>
      <c r="L273" s="27"/>
      <c r="Z273" s="33">
        <f t="shared" ref="Z273:Z280" si="275">IF(AQ273="5",BJ273,0)</f>
        <v>0</v>
      </c>
      <c r="AB273" s="33">
        <f t="shared" ref="AB273:AB280" si="276">IF(AQ273="1",BH273,0)</f>
        <v>0</v>
      </c>
      <c r="AC273" s="33">
        <f t="shared" ref="AC273:AC280" si="277">IF(AQ273="1",BI273,0)</f>
        <v>0</v>
      </c>
      <c r="AD273" s="33">
        <f t="shared" ref="AD273:AD280" si="278">IF(AQ273="7",BH273,0)</f>
        <v>0</v>
      </c>
      <c r="AE273" s="33">
        <f t="shared" ref="AE273:AE280" si="279">IF(AQ273="7",BI273,0)</f>
        <v>0</v>
      </c>
      <c r="AF273" s="33">
        <f t="shared" ref="AF273:AF280" si="280">IF(AQ273="2",BH273,0)</f>
        <v>0</v>
      </c>
      <c r="AG273" s="33">
        <f t="shared" ref="AG273:AG280" si="281">IF(AQ273="2",BI273,0)</f>
        <v>0</v>
      </c>
      <c r="AH273" s="33">
        <f t="shared" ref="AH273:AH280" si="282">IF(AQ273="0",BJ273,0)</f>
        <v>0</v>
      </c>
      <c r="AI273" s="28"/>
      <c r="AJ273" s="16">
        <f t="shared" ref="AJ273:AJ280" si="283">IF(AN273=0,K273,0)</f>
        <v>0</v>
      </c>
      <c r="AK273" s="16">
        <f t="shared" ref="AK273:AK280" si="284">IF(AN273=15,K273,0)</f>
        <v>0</v>
      </c>
      <c r="AL273" s="16">
        <f t="shared" ref="AL273:AL280" si="285">IF(AN273=21,K273,0)</f>
        <v>0</v>
      </c>
      <c r="AN273" s="33">
        <v>21</v>
      </c>
      <c r="AO273" s="33">
        <f t="shared" ref="AO273:AO280" si="286">H273*0</f>
        <v>0</v>
      </c>
      <c r="AP273" s="33">
        <f t="shared" ref="AP273:AP280" si="287">H273*(1-0)</f>
        <v>0</v>
      </c>
      <c r="AQ273" s="27" t="s">
        <v>13</v>
      </c>
      <c r="AV273" s="33">
        <f t="shared" ref="AV273:AV280" si="288">AW273+AX273</f>
        <v>0</v>
      </c>
      <c r="AW273" s="33">
        <f t="shared" ref="AW273:AW280" si="289">G273*AO273</f>
        <v>0</v>
      </c>
      <c r="AX273" s="33">
        <f t="shared" ref="AX273:AX280" si="290">G273*AP273</f>
        <v>0</v>
      </c>
      <c r="AY273" s="34" t="s">
        <v>1727</v>
      </c>
      <c r="AZ273" s="34" t="s">
        <v>1747</v>
      </c>
      <c r="BA273" s="28" t="s">
        <v>1752</v>
      </c>
      <c r="BC273" s="33">
        <f t="shared" ref="BC273:BC280" si="291">AW273+AX273</f>
        <v>0</v>
      </c>
      <c r="BD273" s="33">
        <f t="shared" ref="BD273:BD280" si="292">H273/(100-BE273)*100</f>
        <v>0</v>
      </c>
      <c r="BE273" s="33">
        <v>0</v>
      </c>
      <c r="BF273" s="33">
        <f>273</f>
        <v>273</v>
      </c>
      <c r="BH273" s="16">
        <f t="shared" ref="BH273:BH280" si="293">G273*AO273</f>
        <v>0</v>
      </c>
      <c r="BI273" s="16">
        <f t="shared" ref="BI273:BI280" si="294">G273*AP273</f>
        <v>0</v>
      </c>
      <c r="BJ273" s="16">
        <f t="shared" ref="BJ273:BJ280" si="295">G273*H273</f>
        <v>0</v>
      </c>
    </row>
    <row r="274" spans="1:62" x14ac:dyDescent="0.2">
      <c r="A274" s="4" t="s">
        <v>226</v>
      </c>
      <c r="B274" s="4" t="s">
        <v>765</v>
      </c>
      <c r="C274" s="131" t="s">
        <v>1342</v>
      </c>
      <c r="D274" s="132"/>
      <c r="E274" s="132"/>
      <c r="F274" s="4" t="s">
        <v>1665</v>
      </c>
      <c r="G274" s="68">
        <v>4</v>
      </c>
      <c r="H274" s="162">
        <v>0</v>
      </c>
      <c r="I274" s="16">
        <f t="shared" si="272"/>
        <v>0</v>
      </c>
      <c r="J274" s="16">
        <f t="shared" si="273"/>
        <v>0</v>
      </c>
      <c r="K274" s="16">
        <f t="shared" si="274"/>
        <v>0</v>
      </c>
      <c r="L274" s="27"/>
      <c r="Z274" s="33">
        <f t="shared" si="275"/>
        <v>0</v>
      </c>
      <c r="AB274" s="33">
        <f t="shared" si="276"/>
        <v>0</v>
      </c>
      <c r="AC274" s="33">
        <f t="shared" si="277"/>
        <v>0</v>
      </c>
      <c r="AD274" s="33">
        <f t="shared" si="278"/>
        <v>0</v>
      </c>
      <c r="AE274" s="33">
        <f t="shared" si="279"/>
        <v>0</v>
      </c>
      <c r="AF274" s="33">
        <f t="shared" si="280"/>
        <v>0</v>
      </c>
      <c r="AG274" s="33">
        <f t="shared" si="281"/>
        <v>0</v>
      </c>
      <c r="AH274" s="33">
        <f t="shared" si="282"/>
        <v>0</v>
      </c>
      <c r="AI274" s="28"/>
      <c r="AJ274" s="16">
        <f t="shared" si="283"/>
        <v>0</v>
      </c>
      <c r="AK274" s="16">
        <f t="shared" si="284"/>
        <v>0</v>
      </c>
      <c r="AL274" s="16">
        <f t="shared" si="285"/>
        <v>0</v>
      </c>
      <c r="AN274" s="33">
        <v>21</v>
      </c>
      <c r="AO274" s="33">
        <f t="shared" si="286"/>
        <v>0</v>
      </c>
      <c r="AP274" s="33">
        <f t="shared" si="287"/>
        <v>0</v>
      </c>
      <c r="AQ274" s="27" t="s">
        <v>13</v>
      </c>
      <c r="AV274" s="33">
        <f t="shared" si="288"/>
        <v>0</v>
      </c>
      <c r="AW274" s="33">
        <f t="shared" si="289"/>
        <v>0</v>
      </c>
      <c r="AX274" s="33">
        <f t="shared" si="290"/>
        <v>0</v>
      </c>
      <c r="AY274" s="34" t="s">
        <v>1727</v>
      </c>
      <c r="AZ274" s="34" t="s">
        <v>1747</v>
      </c>
      <c r="BA274" s="28" t="s">
        <v>1752</v>
      </c>
      <c r="BC274" s="33">
        <f t="shared" si="291"/>
        <v>0</v>
      </c>
      <c r="BD274" s="33">
        <f t="shared" si="292"/>
        <v>0</v>
      </c>
      <c r="BE274" s="33">
        <v>0</v>
      </c>
      <c r="BF274" s="33">
        <f>274</f>
        <v>274</v>
      </c>
      <c r="BH274" s="16">
        <f t="shared" si="293"/>
        <v>0</v>
      </c>
      <c r="BI274" s="16">
        <f t="shared" si="294"/>
        <v>0</v>
      </c>
      <c r="BJ274" s="16">
        <f t="shared" si="295"/>
        <v>0</v>
      </c>
    </row>
    <row r="275" spans="1:62" x14ac:dyDescent="0.2">
      <c r="A275" s="4" t="s">
        <v>227</v>
      </c>
      <c r="B275" s="4" t="s">
        <v>766</v>
      </c>
      <c r="C275" s="131" t="s">
        <v>1343</v>
      </c>
      <c r="D275" s="132"/>
      <c r="E275" s="132"/>
      <c r="F275" s="4" t="s">
        <v>1665</v>
      </c>
      <c r="G275" s="68">
        <v>2</v>
      </c>
      <c r="H275" s="162">
        <v>0</v>
      </c>
      <c r="I275" s="16">
        <f t="shared" si="272"/>
        <v>0</v>
      </c>
      <c r="J275" s="16">
        <f t="shared" si="273"/>
        <v>0</v>
      </c>
      <c r="K275" s="16">
        <f t="shared" si="274"/>
        <v>0</v>
      </c>
      <c r="L275" s="27"/>
      <c r="Z275" s="33">
        <f t="shared" si="275"/>
        <v>0</v>
      </c>
      <c r="AB275" s="33">
        <f t="shared" si="276"/>
        <v>0</v>
      </c>
      <c r="AC275" s="33">
        <f t="shared" si="277"/>
        <v>0</v>
      </c>
      <c r="AD275" s="33">
        <f t="shared" si="278"/>
        <v>0</v>
      </c>
      <c r="AE275" s="33">
        <f t="shared" si="279"/>
        <v>0</v>
      </c>
      <c r="AF275" s="33">
        <f t="shared" si="280"/>
        <v>0</v>
      </c>
      <c r="AG275" s="33">
        <f t="shared" si="281"/>
        <v>0</v>
      </c>
      <c r="AH275" s="33">
        <f t="shared" si="282"/>
        <v>0</v>
      </c>
      <c r="AI275" s="28"/>
      <c r="AJ275" s="16">
        <f t="shared" si="283"/>
        <v>0</v>
      </c>
      <c r="AK275" s="16">
        <f t="shared" si="284"/>
        <v>0</v>
      </c>
      <c r="AL275" s="16">
        <f t="shared" si="285"/>
        <v>0</v>
      </c>
      <c r="AN275" s="33">
        <v>21</v>
      </c>
      <c r="AO275" s="33">
        <f t="shared" si="286"/>
        <v>0</v>
      </c>
      <c r="AP275" s="33">
        <f t="shared" si="287"/>
        <v>0</v>
      </c>
      <c r="AQ275" s="27" t="s">
        <v>13</v>
      </c>
      <c r="AV275" s="33">
        <f t="shared" si="288"/>
        <v>0</v>
      </c>
      <c r="AW275" s="33">
        <f t="shared" si="289"/>
        <v>0</v>
      </c>
      <c r="AX275" s="33">
        <f t="shared" si="290"/>
        <v>0</v>
      </c>
      <c r="AY275" s="34" t="s">
        <v>1727</v>
      </c>
      <c r="AZ275" s="34" t="s">
        <v>1747</v>
      </c>
      <c r="BA275" s="28" t="s">
        <v>1752</v>
      </c>
      <c r="BC275" s="33">
        <f t="shared" si="291"/>
        <v>0</v>
      </c>
      <c r="BD275" s="33">
        <f t="shared" si="292"/>
        <v>0</v>
      </c>
      <c r="BE275" s="33">
        <v>0</v>
      </c>
      <c r="BF275" s="33">
        <f>275</f>
        <v>275</v>
      </c>
      <c r="BH275" s="16">
        <f t="shared" si="293"/>
        <v>0</v>
      </c>
      <c r="BI275" s="16">
        <f t="shared" si="294"/>
        <v>0</v>
      </c>
      <c r="BJ275" s="16">
        <f t="shared" si="295"/>
        <v>0</v>
      </c>
    </row>
    <row r="276" spans="1:62" x14ac:dyDescent="0.2">
      <c r="A276" s="4" t="s">
        <v>228</v>
      </c>
      <c r="B276" s="4" t="s">
        <v>767</v>
      </c>
      <c r="C276" s="131" t="s">
        <v>1344</v>
      </c>
      <c r="D276" s="132"/>
      <c r="E276" s="132"/>
      <c r="F276" s="4" t="s">
        <v>1665</v>
      </c>
      <c r="G276" s="68">
        <v>2</v>
      </c>
      <c r="H276" s="162">
        <v>0</v>
      </c>
      <c r="I276" s="16">
        <f t="shared" si="272"/>
        <v>0</v>
      </c>
      <c r="J276" s="16">
        <f t="shared" si="273"/>
        <v>0</v>
      </c>
      <c r="K276" s="16">
        <f t="shared" si="274"/>
        <v>0</v>
      </c>
      <c r="L276" s="27"/>
      <c r="Z276" s="33">
        <f t="shared" si="275"/>
        <v>0</v>
      </c>
      <c r="AB276" s="33">
        <f t="shared" si="276"/>
        <v>0</v>
      </c>
      <c r="AC276" s="33">
        <f t="shared" si="277"/>
        <v>0</v>
      </c>
      <c r="AD276" s="33">
        <f t="shared" si="278"/>
        <v>0</v>
      </c>
      <c r="AE276" s="33">
        <f t="shared" si="279"/>
        <v>0</v>
      </c>
      <c r="AF276" s="33">
        <f t="shared" si="280"/>
        <v>0</v>
      </c>
      <c r="AG276" s="33">
        <f t="shared" si="281"/>
        <v>0</v>
      </c>
      <c r="AH276" s="33">
        <f t="shared" si="282"/>
        <v>0</v>
      </c>
      <c r="AI276" s="28"/>
      <c r="AJ276" s="16">
        <f t="shared" si="283"/>
        <v>0</v>
      </c>
      <c r="AK276" s="16">
        <f t="shared" si="284"/>
        <v>0</v>
      </c>
      <c r="AL276" s="16">
        <f t="shared" si="285"/>
        <v>0</v>
      </c>
      <c r="AN276" s="33">
        <v>21</v>
      </c>
      <c r="AO276" s="33">
        <f t="shared" si="286"/>
        <v>0</v>
      </c>
      <c r="AP276" s="33">
        <f t="shared" si="287"/>
        <v>0</v>
      </c>
      <c r="AQ276" s="27" t="s">
        <v>13</v>
      </c>
      <c r="AV276" s="33">
        <f t="shared" si="288"/>
        <v>0</v>
      </c>
      <c r="AW276" s="33">
        <f t="shared" si="289"/>
        <v>0</v>
      </c>
      <c r="AX276" s="33">
        <f t="shared" si="290"/>
        <v>0</v>
      </c>
      <c r="AY276" s="34" t="s">
        <v>1727</v>
      </c>
      <c r="AZ276" s="34" t="s">
        <v>1747</v>
      </c>
      <c r="BA276" s="28" t="s">
        <v>1752</v>
      </c>
      <c r="BC276" s="33">
        <f t="shared" si="291"/>
        <v>0</v>
      </c>
      <c r="BD276" s="33">
        <f t="shared" si="292"/>
        <v>0</v>
      </c>
      <c r="BE276" s="33">
        <v>0</v>
      </c>
      <c r="BF276" s="33">
        <f>276</f>
        <v>276</v>
      </c>
      <c r="BH276" s="16">
        <f t="shared" si="293"/>
        <v>0</v>
      </c>
      <c r="BI276" s="16">
        <f t="shared" si="294"/>
        <v>0</v>
      </c>
      <c r="BJ276" s="16">
        <f t="shared" si="295"/>
        <v>0</v>
      </c>
    </row>
    <row r="277" spans="1:62" x14ac:dyDescent="0.2">
      <c r="A277" s="4" t="s">
        <v>229</v>
      </c>
      <c r="B277" s="4" t="s">
        <v>768</v>
      </c>
      <c r="C277" s="131" t="s">
        <v>1345</v>
      </c>
      <c r="D277" s="132"/>
      <c r="E277" s="132"/>
      <c r="F277" s="4" t="s">
        <v>1665</v>
      </c>
      <c r="G277" s="68">
        <v>4</v>
      </c>
      <c r="H277" s="162">
        <v>0</v>
      </c>
      <c r="I277" s="16">
        <f t="shared" si="272"/>
        <v>0</v>
      </c>
      <c r="J277" s="16">
        <f t="shared" si="273"/>
        <v>0</v>
      </c>
      <c r="K277" s="16">
        <f t="shared" si="274"/>
        <v>0</v>
      </c>
      <c r="L277" s="27"/>
      <c r="Z277" s="33">
        <f t="shared" si="275"/>
        <v>0</v>
      </c>
      <c r="AB277" s="33">
        <f t="shared" si="276"/>
        <v>0</v>
      </c>
      <c r="AC277" s="33">
        <f t="shared" si="277"/>
        <v>0</v>
      </c>
      <c r="AD277" s="33">
        <f t="shared" si="278"/>
        <v>0</v>
      </c>
      <c r="AE277" s="33">
        <f t="shared" si="279"/>
        <v>0</v>
      </c>
      <c r="AF277" s="33">
        <f t="shared" si="280"/>
        <v>0</v>
      </c>
      <c r="AG277" s="33">
        <f t="shared" si="281"/>
        <v>0</v>
      </c>
      <c r="AH277" s="33">
        <f t="shared" si="282"/>
        <v>0</v>
      </c>
      <c r="AI277" s="28"/>
      <c r="AJ277" s="16">
        <f t="shared" si="283"/>
        <v>0</v>
      </c>
      <c r="AK277" s="16">
        <f t="shared" si="284"/>
        <v>0</v>
      </c>
      <c r="AL277" s="16">
        <f t="shared" si="285"/>
        <v>0</v>
      </c>
      <c r="AN277" s="33">
        <v>21</v>
      </c>
      <c r="AO277" s="33">
        <f t="shared" si="286"/>
        <v>0</v>
      </c>
      <c r="AP277" s="33">
        <f t="shared" si="287"/>
        <v>0</v>
      </c>
      <c r="AQ277" s="27" t="s">
        <v>13</v>
      </c>
      <c r="AV277" s="33">
        <f t="shared" si="288"/>
        <v>0</v>
      </c>
      <c r="AW277" s="33">
        <f t="shared" si="289"/>
        <v>0</v>
      </c>
      <c r="AX277" s="33">
        <f t="shared" si="290"/>
        <v>0</v>
      </c>
      <c r="AY277" s="34" t="s">
        <v>1727</v>
      </c>
      <c r="AZ277" s="34" t="s">
        <v>1747</v>
      </c>
      <c r="BA277" s="28" t="s">
        <v>1752</v>
      </c>
      <c r="BC277" s="33">
        <f t="shared" si="291"/>
        <v>0</v>
      </c>
      <c r="BD277" s="33">
        <f t="shared" si="292"/>
        <v>0</v>
      </c>
      <c r="BE277" s="33">
        <v>0</v>
      </c>
      <c r="BF277" s="33">
        <f>277</f>
        <v>277</v>
      </c>
      <c r="BH277" s="16">
        <f t="shared" si="293"/>
        <v>0</v>
      </c>
      <c r="BI277" s="16">
        <f t="shared" si="294"/>
        <v>0</v>
      </c>
      <c r="BJ277" s="16">
        <f t="shared" si="295"/>
        <v>0</v>
      </c>
    </row>
    <row r="278" spans="1:62" x14ac:dyDescent="0.2">
      <c r="A278" s="4" t="s">
        <v>230</v>
      </c>
      <c r="B278" s="4" t="s">
        <v>769</v>
      </c>
      <c r="C278" s="131" t="s">
        <v>1346</v>
      </c>
      <c r="D278" s="132"/>
      <c r="E278" s="132"/>
      <c r="F278" s="4" t="s">
        <v>1665</v>
      </c>
      <c r="G278" s="68">
        <v>2</v>
      </c>
      <c r="H278" s="162">
        <v>0</v>
      </c>
      <c r="I278" s="16">
        <f t="shared" si="272"/>
        <v>0</v>
      </c>
      <c r="J278" s="16">
        <f t="shared" si="273"/>
        <v>0</v>
      </c>
      <c r="K278" s="16">
        <f t="shared" si="274"/>
        <v>0</v>
      </c>
      <c r="L278" s="27"/>
      <c r="Z278" s="33">
        <f t="shared" si="275"/>
        <v>0</v>
      </c>
      <c r="AB278" s="33">
        <f t="shared" si="276"/>
        <v>0</v>
      </c>
      <c r="AC278" s="33">
        <f t="shared" si="277"/>
        <v>0</v>
      </c>
      <c r="AD278" s="33">
        <f t="shared" si="278"/>
        <v>0</v>
      </c>
      <c r="AE278" s="33">
        <f t="shared" si="279"/>
        <v>0</v>
      </c>
      <c r="AF278" s="33">
        <f t="shared" si="280"/>
        <v>0</v>
      </c>
      <c r="AG278" s="33">
        <f t="shared" si="281"/>
        <v>0</v>
      </c>
      <c r="AH278" s="33">
        <f t="shared" si="282"/>
        <v>0</v>
      </c>
      <c r="AI278" s="28"/>
      <c r="AJ278" s="16">
        <f t="shared" si="283"/>
        <v>0</v>
      </c>
      <c r="AK278" s="16">
        <f t="shared" si="284"/>
        <v>0</v>
      </c>
      <c r="AL278" s="16">
        <f t="shared" si="285"/>
        <v>0</v>
      </c>
      <c r="AN278" s="33">
        <v>21</v>
      </c>
      <c r="AO278" s="33">
        <f t="shared" si="286"/>
        <v>0</v>
      </c>
      <c r="AP278" s="33">
        <f t="shared" si="287"/>
        <v>0</v>
      </c>
      <c r="AQ278" s="27" t="s">
        <v>13</v>
      </c>
      <c r="AV278" s="33">
        <f t="shared" si="288"/>
        <v>0</v>
      </c>
      <c r="AW278" s="33">
        <f t="shared" si="289"/>
        <v>0</v>
      </c>
      <c r="AX278" s="33">
        <f t="shared" si="290"/>
        <v>0</v>
      </c>
      <c r="AY278" s="34" t="s">
        <v>1727</v>
      </c>
      <c r="AZ278" s="34" t="s">
        <v>1747</v>
      </c>
      <c r="BA278" s="28" t="s">
        <v>1752</v>
      </c>
      <c r="BC278" s="33">
        <f t="shared" si="291"/>
        <v>0</v>
      </c>
      <c r="BD278" s="33">
        <f t="shared" si="292"/>
        <v>0</v>
      </c>
      <c r="BE278" s="33">
        <v>0</v>
      </c>
      <c r="BF278" s="33">
        <f>278</f>
        <v>278</v>
      </c>
      <c r="BH278" s="16">
        <f t="shared" si="293"/>
        <v>0</v>
      </c>
      <c r="BI278" s="16">
        <f t="shared" si="294"/>
        <v>0</v>
      </c>
      <c r="BJ278" s="16">
        <f t="shared" si="295"/>
        <v>0</v>
      </c>
    </row>
    <row r="279" spans="1:62" x14ac:dyDescent="0.2">
      <c r="A279" s="4" t="s">
        <v>231</v>
      </c>
      <c r="B279" s="4" t="s">
        <v>770</v>
      </c>
      <c r="C279" s="131" t="s">
        <v>1347</v>
      </c>
      <c r="D279" s="132"/>
      <c r="E279" s="132"/>
      <c r="F279" s="4" t="s">
        <v>1665</v>
      </c>
      <c r="G279" s="68">
        <v>2</v>
      </c>
      <c r="H279" s="162">
        <v>0</v>
      </c>
      <c r="I279" s="16">
        <f t="shared" si="272"/>
        <v>0</v>
      </c>
      <c r="J279" s="16">
        <f t="shared" si="273"/>
        <v>0</v>
      </c>
      <c r="K279" s="16">
        <f t="shared" si="274"/>
        <v>0</v>
      </c>
      <c r="L279" s="27"/>
      <c r="Z279" s="33">
        <f t="shared" si="275"/>
        <v>0</v>
      </c>
      <c r="AB279" s="33">
        <f t="shared" si="276"/>
        <v>0</v>
      </c>
      <c r="AC279" s="33">
        <f t="shared" si="277"/>
        <v>0</v>
      </c>
      <c r="AD279" s="33">
        <f t="shared" si="278"/>
        <v>0</v>
      </c>
      <c r="AE279" s="33">
        <f t="shared" si="279"/>
        <v>0</v>
      </c>
      <c r="AF279" s="33">
        <f t="shared" si="280"/>
        <v>0</v>
      </c>
      <c r="AG279" s="33">
        <f t="shared" si="281"/>
        <v>0</v>
      </c>
      <c r="AH279" s="33">
        <f t="shared" si="282"/>
        <v>0</v>
      </c>
      <c r="AI279" s="28"/>
      <c r="AJ279" s="16">
        <f t="shared" si="283"/>
        <v>0</v>
      </c>
      <c r="AK279" s="16">
        <f t="shared" si="284"/>
        <v>0</v>
      </c>
      <c r="AL279" s="16">
        <f t="shared" si="285"/>
        <v>0</v>
      </c>
      <c r="AN279" s="33">
        <v>21</v>
      </c>
      <c r="AO279" s="33">
        <f t="shared" si="286"/>
        <v>0</v>
      </c>
      <c r="AP279" s="33">
        <f t="shared" si="287"/>
        <v>0</v>
      </c>
      <c r="AQ279" s="27" t="s">
        <v>13</v>
      </c>
      <c r="AV279" s="33">
        <f t="shared" si="288"/>
        <v>0</v>
      </c>
      <c r="AW279" s="33">
        <f t="shared" si="289"/>
        <v>0</v>
      </c>
      <c r="AX279" s="33">
        <f t="shared" si="290"/>
        <v>0</v>
      </c>
      <c r="AY279" s="34" t="s">
        <v>1727</v>
      </c>
      <c r="AZ279" s="34" t="s">
        <v>1747</v>
      </c>
      <c r="BA279" s="28" t="s">
        <v>1752</v>
      </c>
      <c r="BC279" s="33">
        <f t="shared" si="291"/>
        <v>0</v>
      </c>
      <c r="BD279" s="33">
        <f t="shared" si="292"/>
        <v>0</v>
      </c>
      <c r="BE279" s="33">
        <v>0</v>
      </c>
      <c r="BF279" s="33">
        <f>279</f>
        <v>279</v>
      </c>
      <c r="BH279" s="16">
        <f t="shared" si="293"/>
        <v>0</v>
      </c>
      <c r="BI279" s="16">
        <f t="shared" si="294"/>
        <v>0</v>
      </c>
      <c r="BJ279" s="16">
        <f t="shared" si="295"/>
        <v>0</v>
      </c>
    </row>
    <row r="280" spans="1:62" x14ac:dyDescent="0.2">
      <c r="A280" s="4" t="s">
        <v>232</v>
      </c>
      <c r="B280" s="4" t="s">
        <v>771</v>
      </c>
      <c r="C280" s="131" t="s">
        <v>1348</v>
      </c>
      <c r="D280" s="132"/>
      <c r="E280" s="132"/>
      <c r="F280" s="4" t="s">
        <v>1666</v>
      </c>
      <c r="G280" s="68">
        <v>2</v>
      </c>
      <c r="H280" s="162">
        <v>0</v>
      </c>
      <c r="I280" s="16">
        <f t="shared" si="272"/>
        <v>0</v>
      </c>
      <c r="J280" s="16">
        <f t="shared" si="273"/>
        <v>0</v>
      </c>
      <c r="K280" s="16">
        <f t="shared" si="274"/>
        <v>0</v>
      </c>
      <c r="L280" s="27"/>
      <c r="Z280" s="33">
        <f t="shared" si="275"/>
        <v>0</v>
      </c>
      <c r="AB280" s="33">
        <f t="shared" si="276"/>
        <v>0</v>
      </c>
      <c r="AC280" s="33">
        <f t="shared" si="277"/>
        <v>0</v>
      </c>
      <c r="AD280" s="33">
        <f t="shared" si="278"/>
        <v>0</v>
      </c>
      <c r="AE280" s="33">
        <f t="shared" si="279"/>
        <v>0</v>
      </c>
      <c r="AF280" s="33">
        <f t="shared" si="280"/>
        <v>0</v>
      </c>
      <c r="AG280" s="33">
        <f t="shared" si="281"/>
        <v>0</v>
      </c>
      <c r="AH280" s="33">
        <f t="shared" si="282"/>
        <v>0</v>
      </c>
      <c r="AI280" s="28"/>
      <c r="AJ280" s="16">
        <f t="shared" si="283"/>
        <v>0</v>
      </c>
      <c r="AK280" s="16">
        <f t="shared" si="284"/>
        <v>0</v>
      </c>
      <c r="AL280" s="16">
        <f t="shared" si="285"/>
        <v>0</v>
      </c>
      <c r="AN280" s="33">
        <v>21</v>
      </c>
      <c r="AO280" s="33">
        <f t="shared" si="286"/>
        <v>0</v>
      </c>
      <c r="AP280" s="33">
        <f t="shared" si="287"/>
        <v>0</v>
      </c>
      <c r="AQ280" s="27" t="s">
        <v>13</v>
      </c>
      <c r="AV280" s="33">
        <f t="shared" si="288"/>
        <v>0</v>
      </c>
      <c r="AW280" s="33">
        <f t="shared" si="289"/>
        <v>0</v>
      </c>
      <c r="AX280" s="33">
        <f t="shared" si="290"/>
        <v>0</v>
      </c>
      <c r="AY280" s="34" t="s">
        <v>1727</v>
      </c>
      <c r="AZ280" s="34" t="s">
        <v>1747</v>
      </c>
      <c r="BA280" s="28" t="s">
        <v>1752</v>
      </c>
      <c r="BC280" s="33">
        <f t="shared" si="291"/>
        <v>0</v>
      </c>
      <c r="BD280" s="33">
        <f t="shared" si="292"/>
        <v>0</v>
      </c>
      <c r="BE280" s="33">
        <v>0</v>
      </c>
      <c r="BF280" s="33">
        <f>280</f>
        <v>280</v>
      </c>
      <c r="BH280" s="16">
        <f t="shared" si="293"/>
        <v>0</v>
      </c>
      <c r="BI280" s="16">
        <f t="shared" si="294"/>
        <v>0</v>
      </c>
      <c r="BJ280" s="16">
        <f t="shared" si="295"/>
        <v>0</v>
      </c>
    </row>
    <row r="281" spans="1:62" x14ac:dyDescent="0.2">
      <c r="C281" s="140" t="s">
        <v>1349</v>
      </c>
      <c r="D281" s="141"/>
      <c r="E281" s="141"/>
      <c r="H281" s="164"/>
    </row>
    <row r="282" spans="1:62" x14ac:dyDescent="0.2">
      <c r="A282" s="4" t="s">
        <v>233</v>
      </c>
      <c r="B282" s="4" t="s">
        <v>772</v>
      </c>
      <c r="C282" s="131" t="s">
        <v>1350</v>
      </c>
      <c r="D282" s="132"/>
      <c r="E282" s="132"/>
      <c r="F282" s="4" t="s">
        <v>1666</v>
      </c>
      <c r="G282" s="68">
        <v>35</v>
      </c>
      <c r="H282" s="162">
        <v>0</v>
      </c>
      <c r="I282" s="16">
        <f>G282*AO282</f>
        <v>0</v>
      </c>
      <c r="J282" s="16">
        <f>G282*AP282</f>
        <v>0</v>
      </c>
      <c r="K282" s="16">
        <f>G282*H282</f>
        <v>0</v>
      </c>
      <c r="L282" s="27"/>
      <c r="Z282" s="33">
        <f>IF(AQ282="5",BJ282,0)</f>
        <v>0</v>
      </c>
      <c r="AB282" s="33">
        <f>IF(AQ282="1",BH282,0)</f>
        <v>0</v>
      </c>
      <c r="AC282" s="33">
        <f>IF(AQ282="1",BI282,0)</f>
        <v>0</v>
      </c>
      <c r="AD282" s="33">
        <f>IF(AQ282="7",BH282,0)</f>
        <v>0</v>
      </c>
      <c r="AE282" s="33">
        <f>IF(AQ282="7",BI282,0)</f>
        <v>0</v>
      </c>
      <c r="AF282" s="33">
        <f>IF(AQ282="2",BH282,0)</f>
        <v>0</v>
      </c>
      <c r="AG282" s="33">
        <f>IF(AQ282="2",BI282,0)</f>
        <v>0</v>
      </c>
      <c r="AH282" s="33">
        <f>IF(AQ282="0",BJ282,0)</f>
        <v>0</v>
      </c>
      <c r="AI282" s="28"/>
      <c r="AJ282" s="16">
        <f>IF(AN282=0,K282,0)</f>
        <v>0</v>
      </c>
      <c r="AK282" s="16">
        <f>IF(AN282=15,K282,0)</f>
        <v>0</v>
      </c>
      <c r="AL282" s="16">
        <f>IF(AN282=21,K282,0)</f>
        <v>0</v>
      </c>
      <c r="AN282" s="33">
        <v>21</v>
      </c>
      <c r="AO282" s="33">
        <f>H282*0</f>
        <v>0</v>
      </c>
      <c r="AP282" s="33">
        <f>H282*(1-0)</f>
        <v>0</v>
      </c>
      <c r="AQ282" s="27" t="s">
        <v>13</v>
      </c>
      <c r="AV282" s="33">
        <f>AW282+AX282</f>
        <v>0</v>
      </c>
      <c r="AW282" s="33">
        <f>G282*AO282</f>
        <v>0</v>
      </c>
      <c r="AX282" s="33">
        <f>G282*AP282</f>
        <v>0</v>
      </c>
      <c r="AY282" s="34" t="s">
        <v>1727</v>
      </c>
      <c r="AZ282" s="34" t="s">
        <v>1747</v>
      </c>
      <c r="BA282" s="28" t="s">
        <v>1752</v>
      </c>
      <c r="BC282" s="33">
        <f>AW282+AX282</f>
        <v>0</v>
      </c>
      <c r="BD282" s="33">
        <f>H282/(100-BE282)*100</f>
        <v>0</v>
      </c>
      <c r="BE282" s="33">
        <v>0</v>
      </c>
      <c r="BF282" s="33">
        <f>282</f>
        <v>282</v>
      </c>
      <c r="BH282" s="16">
        <f>G282*AO282</f>
        <v>0</v>
      </c>
      <c r="BI282" s="16">
        <f>G282*AP282</f>
        <v>0</v>
      </c>
      <c r="BJ282" s="16">
        <f>G282*H282</f>
        <v>0</v>
      </c>
    </row>
    <row r="283" spans="1:62" x14ac:dyDescent="0.2">
      <c r="C283" s="140" t="s">
        <v>1351</v>
      </c>
      <c r="D283" s="141"/>
      <c r="E283" s="141"/>
      <c r="H283" s="164"/>
    </row>
    <row r="284" spans="1:62" x14ac:dyDescent="0.2">
      <c r="A284" s="4" t="s">
        <v>234</v>
      </c>
      <c r="B284" s="4" t="s">
        <v>773</v>
      </c>
      <c r="C284" s="131" t="s">
        <v>1352</v>
      </c>
      <c r="D284" s="132"/>
      <c r="E284" s="132"/>
      <c r="F284" s="4" t="s">
        <v>1666</v>
      </c>
      <c r="G284" s="68">
        <v>30</v>
      </c>
      <c r="H284" s="162">
        <v>0</v>
      </c>
      <c r="I284" s="16">
        <f>G284*AO284</f>
        <v>0</v>
      </c>
      <c r="J284" s="16">
        <f>G284*AP284</f>
        <v>0</v>
      </c>
      <c r="K284" s="16">
        <f>G284*H284</f>
        <v>0</v>
      </c>
      <c r="L284" s="27"/>
      <c r="Z284" s="33">
        <f>IF(AQ284="5",BJ284,0)</f>
        <v>0</v>
      </c>
      <c r="AB284" s="33">
        <f>IF(AQ284="1",BH284,0)</f>
        <v>0</v>
      </c>
      <c r="AC284" s="33">
        <f>IF(AQ284="1",BI284,0)</f>
        <v>0</v>
      </c>
      <c r="AD284" s="33">
        <f>IF(AQ284="7",BH284,0)</f>
        <v>0</v>
      </c>
      <c r="AE284" s="33">
        <f>IF(AQ284="7",BI284,0)</f>
        <v>0</v>
      </c>
      <c r="AF284" s="33">
        <f>IF(AQ284="2",BH284,0)</f>
        <v>0</v>
      </c>
      <c r="AG284" s="33">
        <f>IF(AQ284="2",BI284,0)</f>
        <v>0</v>
      </c>
      <c r="AH284" s="33">
        <f>IF(AQ284="0",BJ284,0)</f>
        <v>0</v>
      </c>
      <c r="AI284" s="28"/>
      <c r="AJ284" s="16">
        <f>IF(AN284=0,K284,0)</f>
        <v>0</v>
      </c>
      <c r="AK284" s="16">
        <f>IF(AN284=15,K284,0)</f>
        <v>0</v>
      </c>
      <c r="AL284" s="16">
        <f>IF(AN284=21,K284,0)</f>
        <v>0</v>
      </c>
      <c r="AN284" s="33">
        <v>21</v>
      </c>
      <c r="AO284" s="33">
        <f>H284*0</f>
        <v>0</v>
      </c>
      <c r="AP284" s="33">
        <f>H284*(1-0)</f>
        <v>0</v>
      </c>
      <c r="AQ284" s="27" t="s">
        <v>13</v>
      </c>
      <c r="AV284" s="33">
        <f>AW284+AX284</f>
        <v>0</v>
      </c>
      <c r="AW284" s="33">
        <f>G284*AO284</f>
        <v>0</v>
      </c>
      <c r="AX284" s="33">
        <f>G284*AP284</f>
        <v>0</v>
      </c>
      <c r="AY284" s="34" t="s">
        <v>1727</v>
      </c>
      <c r="AZ284" s="34" t="s">
        <v>1747</v>
      </c>
      <c r="BA284" s="28" t="s">
        <v>1752</v>
      </c>
      <c r="BC284" s="33">
        <f>AW284+AX284</f>
        <v>0</v>
      </c>
      <c r="BD284" s="33">
        <f>H284/(100-BE284)*100</f>
        <v>0</v>
      </c>
      <c r="BE284" s="33">
        <v>0</v>
      </c>
      <c r="BF284" s="33">
        <f>284</f>
        <v>284</v>
      </c>
      <c r="BH284" s="16">
        <f>G284*AO284</f>
        <v>0</v>
      </c>
      <c r="BI284" s="16">
        <f>G284*AP284</f>
        <v>0</v>
      </c>
      <c r="BJ284" s="16">
        <f>G284*H284</f>
        <v>0</v>
      </c>
    </row>
    <row r="285" spans="1:62" x14ac:dyDescent="0.2">
      <c r="C285" s="140" t="s">
        <v>1351</v>
      </c>
      <c r="D285" s="141"/>
      <c r="E285" s="141"/>
      <c r="H285" s="164"/>
    </row>
    <row r="286" spans="1:62" x14ac:dyDescent="0.2">
      <c r="A286" s="4" t="s">
        <v>235</v>
      </c>
      <c r="B286" s="4" t="s">
        <v>774</v>
      </c>
      <c r="C286" s="131" t="s">
        <v>1353</v>
      </c>
      <c r="D286" s="132"/>
      <c r="E286" s="132"/>
      <c r="F286" s="4" t="s">
        <v>1663</v>
      </c>
      <c r="G286" s="68">
        <v>5</v>
      </c>
      <c r="H286" s="162">
        <v>0</v>
      </c>
      <c r="I286" s="16">
        <f>G286*AO286</f>
        <v>0</v>
      </c>
      <c r="J286" s="16">
        <f>G286*AP286</f>
        <v>0</v>
      </c>
      <c r="K286" s="16">
        <f>G286*H286</f>
        <v>0</v>
      </c>
      <c r="L286" s="27"/>
      <c r="Z286" s="33">
        <f>IF(AQ286="5",BJ286,0)</f>
        <v>0</v>
      </c>
      <c r="AB286" s="33">
        <f>IF(AQ286="1",BH286,0)</f>
        <v>0</v>
      </c>
      <c r="AC286" s="33">
        <f>IF(AQ286="1",BI286,0)</f>
        <v>0</v>
      </c>
      <c r="AD286" s="33">
        <f>IF(AQ286="7",BH286,0)</f>
        <v>0</v>
      </c>
      <c r="AE286" s="33">
        <f>IF(AQ286="7",BI286,0)</f>
        <v>0</v>
      </c>
      <c r="AF286" s="33">
        <f>IF(AQ286="2",BH286,0)</f>
        <v>0</v>
      </c>
      <c r="AG286" s="33">
        <f>IF(AQ286="2",BI286,0)</f>
        <v>0</v>
      </c>
      <c r="AH286" s="33">
        <f>IF(AQ286="0",BJ286,0)</f>
        <v>0</v>
      </c>
      <c r="AI286" s="28"/>
      <c r="AJ286" s="16">
        <f>IF(AN286=0,K286,0)</f>
        <v>0</v>
      </c>
      <c r="AK286" s="16">
        <f>IF(AN286=15,K286,0)</f>
        <v>0</v>
      </c>
      <c r="AL286" s="16">
        <f>IF(AN286=21,K286,0)</f>
        <v>0</v>
      </c>
      <c r="AN286" s="33">
        <v>21</v>
      </c>
      <c r="AO286" s="33">
        <f>H286*0</f>
        <v>0</v>
      </c>
      <c r="AP286" s="33">
        <f>H286*(1-0)</f>
        <v>0</v>
      </c>
      <c r="AQ286" s="27" t="s">
        <v>13</v>
      </c>
      <c r="AV286" s="33">
        <f>AW286+AX286</f>
        <v>0</v>
      </c>
      <c r="AW286" s="33">
        <f>G286*AO286</f>
        <v>0</v>
      </c>
      <c r="AX286" s="33">
        <f>G286*AP286</f>
        <v>0</v>
      </c>
      <c r="AY286" s="34" t="s">
        <v>1727</v>
      </c>
      <c r="AZ286" s="34" t="s">
        <v>1747</v>
      </c>
      <c r="BA286" s="28" t="s">
        <v>1752</v>
      </c>
      <c r="BC286" s="33">
        <f>AW286+AX286</f>
        <v>0</v>
      </c>
      <c r="BD286" s="33">
        <f>H286/(100-BE286)*100</f>
        <v>0</v>
      </c>
      <c r="BE286" s="33">
        <v>0</v>
      </c>
      <c r="BF286" s="33">
        <f>286</f>
        <v>286</v>
      </c>
      <c r="BH286" s="16">
        <f>G286*AO286</f>
        <v>0</v>
      </c>
      <c r="BI286" s="16">
        <f>G286*AP286</f>
        <v>0</v>
      </c>
      <c r="BJ286" s="16">
        <f>G286*H286</f>
        <v>0</v>
      </c>
    </row>
    <row r="287" spans="1:62" x14ac:dyDescent="0.2">
      <c r="A287" s="4" t="s">
        <v>236</v>
      </c>
      <c r="B287" s="4" t="s">
        <v>775</v>
      </c>
      <c r="C287" s="131" t="s">
        <v>1354</v>
      </c>
      <c r="D287" s="132"/>
      <c r="E287" s="132"/>
      <c r="F287" s="4" t="s">
        <v>1663</v>
      </c>
      <c r="G287" s="68">
        <v>35</v>
      </c>
      <c r="H287" s="162">
        <v>0</v>
      </c>
      <c r="I287" s="16">
        <f>G287*AO287</f>
        <v>0</v>
      </c>
      <c r="J287" s="16">
        <f>G287*AP287</f>
        <v>0</v>
      </c>
      <c r="K287" s="16">
        <f>G287*H287</f>
        <v>0</v>
      </c>
      <c r="L287" s="27"/>
      <c r="Z287" s="33">
        <f>IF(AQ287="5",BJ287,0)</f>
        <v>0</v>
      </c>
      <c r="AB287" s="33">
        <f>IF(AQ287="1",BH287,0)</f>
        <v>0</v>
      </c>
      <c r="AC287" s="33">
        <f>IF(AQ287="1",BI287,0)</f>
        <v>0</v>
      </c>
      <c r="AD287" s="33">
        <f>IF(AQ287="7",BH287,0)</f>
        <v>0</v>
      </c>
      <c r="AE287" s="33">
        <f>IF(AQ287="7",BI287,0)</f>
        <v>0</v>
      </c>
      <c r="AF287" s="33">
        <f>IF(AQ287="2",BH287,0)</f>
        <v>0</v>
      </c>
      <c r="AG287" s="33">
        <f>IF(AQ287="2",BI287,0)</f>
        <v>0</v>
      </c>
      <c r="AH287" s="33">
        <f>IF(AQ287="0",BJ287,0)</f>
        <v>0</v>
      </c>
      <c r="AI287" s="28"/>
      <c r="AJ287" s="16">
        <f>IF(AN287=0,K287,0)</f>
        <v>0</v>
      </c>
      <c r="AK287" s="16">
        <f>IF(AN287=15,K287,0)</f>
        <v>0</v>
      </c>
      <c r="AL287" s="16">
        <f>IF(AN287=21,K287,0)</f>
        <v>0</v>
      </c>
      <c r="AN287" s="33">
        <v>21</v>
      </c>
      <c r="AO287" s="33">
        <f>H287*0</f>
        <v>0</v>
      </c>
      <c r="AP287" s="33">
        <f>H287*(1-0)</f>
        <v>0</v>
      </c>
      <c r="AQ287" s="27" t="s">
        <v>13</v>
      </c>
      <c r="AV287" s="33">
        <f>AW287+AX287</f>
        <v>0</v>
      </c>
      <c r="AW287" s="33">
        <f>G287*AO287</f>
        <v>0</v>
      </c>
      <c r="AX287" s="33">
        <f>G287*AP287</f>
        <v>0</v>
      </c>
      <c r="AY287" s="34" t="s">
        <v>1727</v>
      </c>
      <c r="AZ287" s="34" t="s">
        <v>1747</v>
      </c>
      <c r="BA287" s="28" t="s">
        <v>1752</v>
      </c>
      <c r="BC287" s="33">
        <f>AW287+AX287</f>
        <v>0</v>
      </c>
      <c r="BD287" s="33">
        <f>H287/(100-BE287)*100</f>
        <v>0</v>
      </c>
      <c r="BE287" s="33">
        <v>0</v>
      </c>
      <c r="BF287" s="33">
        <f>287</f>
        <v>287</v>
      </c>
      <c r="BH287" s="16">
        <f>G287*AO287</f>
        <v>0</v>
      </c>
      <c r="BI287" s="16">
        <f>G287*AP287</f>
        <v>0</v>
      </c>
      <c r="BJ287" s="16">
        <f>G287*H287</f>
        <v>0</v>
      </c>
    </row>
    <row r="288" spans="1:62" x14ac:dyDescent="0.2">
      <c r="A288" s="4" t="s">
        <v>237</v>
      </c>
      <c r="B288" s="4" t="s">
        <v>776</v>
      </c>
      <c r="C288" s="131" t="s">
        <v>1355</v>
      </c>
      <c r="D288" s="132"/>
      <c r="E288" s="132"/>
      <c r="F288" s="4" t="s">
        <v>1665</v>
      </c>
      <c r="G288" s="68">
        <v>1</v>
      </c>
      <c r="H288" s="162">
        <v>0</v>
      </c>
      <c r="I288" s="16">
        <f>G288*AO288</f>
        <v>0</v>
      </c>
      <c r="J288" s="16">
        <f>G288*AP288</f>
        <v>0</v>
      </c>
      <c r="K288" s="16">
        <f>G288*H288</f>
        <v>0</v>
      </c>
      <c r="L288" s="27"/>
      <c r="Z288" s="33">
        <f>IF(AQ288="5",BJ288,0)</f>
        <v>0</v>
      </c>
      <c r="AB288" s="33">
        <f>IF(AQ288="1",BH288,0)</f>
        <v>0</v>
      </c>
      <c r="AC288" s="33">
        <f>IF(AQ288="1",BI288,0)</f>
        <v>0</v>
      </c>
      <c r="AD288" s="33">
        <f>IF(AQ288="7",BH288,0)</f>
        <v>0</v>
      </c>
      <c r="AE288" s="33">
        <f>IF(AQ288="7",BI288,0)</f>
        <v>0</v>
      </c>
      <c r="AF288" s="33">
        <f>IF(AQ288="2",BH288,0)</f>
        <v>0</v>
      </c>
      <c r="AG288" s="33">
        <f>IF(AQ288="2",BI288,0)</f>
        <v>0</v>
      </c>
      <c r="AH288" s="33">
        <f>IF(AQ288="0",BJ288,0)</f>
        <v>0</v>
      </c>
      <c r="AI288" s="28"/>
      <c r="AJ288" s="16">
        <f>IF(AN288=0,K288,0)</f>
        <v>0</v>
      </c>
      <c r="AK288" s="16">
        <f>IF(AN288=15,K288,0)</f>
        <v>0</v>
      </c>
      <c r="AL288" s="16">
        <f>IF(AN288=21,K288,0)</f>
        <v>0</v>
      </c>
      <c r="AN288" s="33">
        <v>21</v>
      </c>
      <c r="AO288" s="33">
        <f>H288*0</f>
        <v>0</v>
      </c>
      <c r="AP288" s="33">
        <f>H288*(1-0)</f>
        <v>0</v>
      </c>
      <c r="AQ288" s="27" t="s">
        <v>13</v>
      </c>
      <c r="AV288" s="33">
        <f>AW288+AX288</f>
        <v>0</v>
      </c>
      <c r="AW288" s="33">
        <f>G288*AO288</f>
        <v>0</v>
      </c>
      <c r="AX288" s="33">
        <f>G288*AP288</f>
        <v>0</v>
      </c>
      <c r="AY288" s="34" t="s">
        <v>1727</v>
      </c>
      <c r="AZ288" s="34" t="s">
        <v>1747</v>
      </c>
      <c r="BA288" s="28" t="s">
        <v>1752</v>
      </c>
      <c r="BC288" s="33">
        <f>AW288+AX288</f>
        <v>0</v>
      </c>
      <c r="BD288" s="33">
        <f>H288/(100-BE288)*100</f>
        <v>0</v>
      </c>
      <c r="BE288" s="33">
        <v>0</v>
      </c>
      <c r="BF288" s="33">
        <f>288</f>
        <v>288</v>
      </c>
      <c r="BH288" s="16">
        <f>G288*AO288</f>
        <v>0</v>
      </c>
      <c r="BI288" s="16">
        <f>G288*AP288</f>
        <v>0</v>
      </c>
      <c r="BJ288" s="16">
        <f>G288*H288</f>
        <v>0</v>
      </c>
    </row>
    <row r="289" spans="1:62" x14ac:dyDescent="0.2">
      <c r="C289" s="140" t="s">
        <v>1356</v>
      </c>
      <c r="D289" s="141"/>
      <c r="E289" s="141"/>
      <c r="H289" s="164"/>
    </row>
    <row r="290" spans="1:62" x14ac:dyDescent="0.2">
      <c r="A290" s="4" t="s">
        <v>238</v>
      </c>
      <c r="B290" s="4" t="s">
        <v>777</v>
      </c>
      <c r="C290" s="131" t="s">
        <v>1341</v>
      </c>
      <c r="D290" s="132"/>
      <c r="E290" s="132"/>
      <c r="F290" s="4" t="s">
        <v>1671</v>
      </c>
      <c r="G290" s="68">
        <v>1</v>
      </c>
      <c r="H290" s="162">
        <v>0</v>
      </c>
      <c r="I290" s="16">
        <f t="shared" ref="I290:I296" si="296">G290*AO290</f>
        <v>0</v>
      </c>
      <c r="J290" s="16">
        <f t="shared" ref="J290:J296" si="297">G290*AP290</f>
        <v>0</v>
      </c>
      <c r="K290" s="16">
        <f t="shared" ref="K290:K296" si="298">G290*H290</f>
        <v>0</v>
      </c>
      <c r="L290" s="27"/>
      <c r="Z290" s="33">
        <f t="shared" ref="Z290:Z296" si="299">IF(AQ290="5",BJ290,0)</f>
        <v>0</v>
      </c>
      <c r="AB290" s="33">
        <f t="shared" ref="AB290:AB296" si="300">IF(AQ290="1",BH290,0)</f>
        <v>0</v>
      </c>
      <c r="AC290" s="33">
        <f t="shared" ref="AC290:AC296" si="301">IF(AQ290="1",BI290,0)</f>
        <v>0</v>
      </c>
      <c r="AD290" s="33">
        <f t="shared" ref="AD290:AD296" si="302">IF(AQ290="7",BH290,0)</f>
        <v>0</v>
      </c>
      <c r="AE290" s="33">
        <f t="shared" ref="AE290:AE296" si="303">IF(AQ290="7",BI290,0)</f>
        <v>0</v>
      </c>
      <c r="AF290" s="33">
        <f t="shared" ref="AF290:AF296" si="304">IF(AQ290="2",BH290,0)</f>
        <v>0</v>
      </c>
      <c r="AG290" s="33">
        <f t="shared" ref="AG290:AG296" si="305">IF(AQ290="2",BI290,0)</f>
        <v>0</v>
      </c>
      <c r="AH290" s="33">
        <f t="shared" ref="AH290:AH296" si="306">IF(AQ290="0",BJ290,0)</f>
        <v>0</v>
      </c>
      <c r="AI290" s="28"/>
      <c r="AJ290" s="16">
        <f t="shared" ref="AJ290:AJ296" si="307">IF(AN290=0,K290,0)</f>
        <v>0</v>
      </c>
      <c r="AK290" s="16">
        <f t="shared" ref="AK290:AK296" si="308">IF(AN290=15,K290,0)</f>
        <v>0</v>
      </c>
      <c r="AL290" s="16">
        <f t="shared" ref="AL290:AL296" si="309">IF(AN290=21,K290,0)</f>
        <v>0</v>
      </c>
      <c r="AN290" s="33">
        <v>21</v>
      </c>
      <c r="AO290" s="33">
        <f t="shared" ref="AO290:AO296" si="310">H290*0</f>
        <v>0</v>
      </c>
      <c r="AP290" s="33">
        <f t="shared" ref="AP290:AP296" si="311">H290*(1-0)</f>
        <v>0</v>
      </c>
      <c r="AQ290" s="27" t="s">
        <v>13</v>
      </c>
      <c r="AV290" s="33">
        <f t="shared" ref="AV290:AV296" si="312">AW290+AX290</f>
        <v>0</v>
      </c>
      <c r="AW290" s="33">
        <f t="shared" ref="AW290:AW296" si="313">G290*AO290</f>
        <v>0</v>
      </c>
      <c r="AX290" s="33">
        <f t="shared" ref="AX290:AX296" si="314">G290*AP290</f>
        <v>0</v>
      </c>
      <c r="AY290" s="34" t="s">
        <v>1727</v>
      </c>
      <c r="AZ290" s="34" t="s">
        <v>1747</v>
      </c>
      <c r="BA290" s="28" t="s">
        <v>1752</v>
      </c>
      <c r="BC290" s="33">
        <f t="shared" ref="BC290:BC296" si="315">AW290+AX290</f>
        <v>0</v>
      </c>
      <c r="BD290" s="33">
        <f t="shared" ref="BD290:BD296" si="316">H290/(100-BE290)*100</f>
        <v>0</v>
      </c>
      <c r="BE290" s="33">
        <v>0</v>
      </c>
      <c r="BF290" s="33">
        <f>290</f>
        <v>290</v>
      </c>
      <c r="BH290" s="16">
        <f t="shared" ref="BH290:BH296" si="317">G290*AO290</f>
        <v>0</v>
      </c>
      <c r="BI290" s="16">
        <f t="shared" ref="BI290:BI296" si="318">G290*AP290</f>
        <v>0</v>
      </c>
      <c r="BJ290" s="16">
        <f t="shared" ref="BJ290:BJ296" si="319">G290*H290</f>
        <v>0</v>
      </c>
    </row>
    <row r="291" spans="1:62" x14ac:dyDescent="0.2">
      <c r="A291" s="4" t="s">
        <v>239</v>
      </c>
      <c r="B291" s="4" t="s">
        <v>778</v>
      </c>
      <c r="C291" s="131" t="s">
        <v>1357</v>
      </c>
      <c r="D291" s="132"/>
      <c r="E291" s="132"/>
      <c r="F291" s="4" t="s">
        <v>1665</v>
      </c>
      <c r="G291" s="68">
        <v>4</v>
      </c>
      <c r="H291" s="162">
        <v>0</v>
      </c>
      <c r="I291" s="16">
        <f t="shared" si="296"/>
        <v>0</v>
      </c>
      <c r="J291" s="16">
        <f t="shared" si="297"/>
        <v>0</v>
      </c>
      <c r="K291" s="16">
        <f t="shared" si="298"/>
        <v>0</v>
      </c>
      <c r="L291" s="27"/>
      <c r="Z291" s="33">
        <f t="shared" si="299"/>
        <v>0</v>
      </c>
      <c r="AB291" s="33">
        <f t="shared" si="300"/>
        <v>0</v>
      </c>
      <c r="AC291" s="33">
        <f t="shared" si="301"/>
        <v>0</v>
      </c>
      <c r="AD291" s="33">
        <f t="shared" si="302"/>
        <v>0</v>
      </c>
      <c r="AE291" s="33">
        <f t="shared" si="303"/>
        <v>0</v>
      </c>
      <c r="AF291" s="33">
        <f t="shared" si="304"/>
        <v>0</v>
      </c>
      <c r="AG291" s="33">
        <f t="shared" si="305"/>
        <v>0</v>
      </c>
      <c r="AH291" s="33">
        <f t="shared" si="306"/>
        <v>0</v>
      </c>
      <c r="AI291" s="28"/>
      <c r="AJ291" s="16">
        <f t="shared" si="307"/>
        <v>0</v>
      </c>
      <c r="AK291" s="16">
        <f t="shared" si="308"/>
        <v>0</v>
      </c>
      <c r="AL291" s="16">
        <f t="shared" si="309"/>
        <v>0</v>
      </c>
      <c r="AN291" s="33">
        <v>21</v>
      </c>
      <c r="AO291" s="33">
        <f t="shared" si="310"/>
        <v>0</v>
      </c>
      <c r="AP291" s="33">
        <f t="shared" si="311"/>
        <v>0</v>
      </c>
      <c r="AQ291" s="27" t="s">
        <v>13</v>
      </c>
      <c r="AV291" s="33">
        <f t="shared" si="312"/>
        <v>0</v>
      </c>
      <c r="AW291" s="33">
        <f t="shared" si="313"/>
        <v>0</v>
      </c>
      <c r="AX291" s="33">
        <f t="shared" si="314"/>
        <v>0</v>
      </c>
      <c r="AY291" s="34" t="s">
        <v>1727</v>
      </c>
      <c r="AZ291" s="34" t="s">
        <v>1747</v>
      </c>
      <c r="BA291" s="28" t="s">
        <v>1752</v>
      </c>
      <c r="BC291" s="33">
        <f t="shared" si="315"/>
        <v>0</v>
      </c>
      <c r="BD291" s="33">
        <f t="shared" si="316"/>
        <v>0</v>
      </c>
      <c r="BE291" s="33">
        <v>0</v>
      </c>
      <c r="BF291" s="33">
        <f>291</f>
        <v>291</v>
      </c>
      <c r="BH291" s="16">
        <f t="shared" si="317"/>
        <v>0</v>
      </c>
      <c r="BI291" s="16">
        <f t="shared" si="318"/>
        <v>0</v>
      </c>
      <c r="BJ291" s="16">
        <f t="shared" si="319"/>
        <v>0</v>
      </c>
    </row>
    <row r="292" spans="1:62" x14ac:dyDescent="0.2">
      <c r="A292" s="4" t="s">
        <v>240</v>
      </c>
      <c r="B292" s="4" t="s">
        <v>779</v>
      </c>
      <c r="C292" s="131" t="s">
        <v>1358</v>
      </c>
      <c r="D292" s="132"/>
      <c r="E292" s="132"/>
      <c r="F292" s="4" t="s">
        <v>1665</v>
      </c>
      <c r="G292" s="68">
        <v>2</v>
      </c>
      <c r="H292" s="162">
        <v>0</v>
      </c>
      <c r="I292" s="16">
        <f t="shared" si="296"/>
        <v>0</v>
      </c>
      <c r="J292" s="16">
        <f t="shared" si="297"/>
        <v>0</v>
      </c>
      <c r="K292" s="16">
        <f t="shared" si="298"/>
        <v>0</v>
      </c>
      <c r="L292" s="27"/>
      <c r="Z292" s="33">
        <f t="shared" si="299"/>
        <v>0</v>
      </c>
      <c r="AB292" s="33">
        <f t="shared" si="300"/>
        <v>0</v>
      </c>
      <c r="AC292" s="33">
        <f t="shared" si="301"/>
        <v>0</v>
      </c>
      <c r="AD292" s="33">
        <f t="shared" si="302"/>
        <v>0</v>
      </c>
      <c r="AE292" s="33">
        <f t="shared" si="303"/>
        <v>0</v>
      </c>
      <c r="AF292" s="33">
        <f t="shared" si="304"/>
        <v>0</v>
      </c>
      <c r="AG292" s="33">
        <f t="shared" si="305"/>
        <v>0</v>
      </c>
      <c r="AH292" s="33">
        <f t="shared" si="306"/>
        <v>0</v>
      </c>
      <c r="AI292" s="28"/>
      <c r="AJ292" s="16">
        <f t="shared" si="307"/>
        <v>0</v>
      </c>
      <c r="AK292" s="16">
        <f t="shared" si="308"/>
        <v>0</v>
      </c>
      <c r="AL292" s="16">
        <f t="shared" si="309"/>
        <v>0</v>
      </c>
      <c r="AN292" s="33">
        <v>21</v>
      </c>
      <c r="AO292" s="33">
        <f t="shared" si="310"/>
        <v>0</v>
      </c>
      <c r="AP292" s="33">
        <f t="shared" si="311"/>
        <v>0</v>
      </c>
      <c r="AQ292" s="27" t="s">
        <v>13</v>
      </c>
      <c r="AV292" s="33">
        <f t="shared" si="312"/>
        <v>0</v>
      </c>
      <c r="AW292" s="33">
        <f t="shared" si="313"/>
        <v>0</v>
      </c>
      <c r="AX292" s="33">
        <f t="shared" si="314"/>
        <v>0</v>
      </c>
      <c r="AY292" s="34" t="s">
        <v>1727</v>
      </c>
      <c r="AZ292" s="34" t="s">
        <v>1747</v>
      </c>
      <c r="BA292" s="28" t="s">
        <v>1752</v>
      </c>
      <c r="BC292" s="33">
        <f t="shared" si="315"/>
        <v>0</v>
      </c>
      <c r="BD292" s="33">
        <f t="shared" si="316"/>
        <v>0</v>
      </c>
      <c r="BE292" s="33">
        <v>0</v>
      </c>
      <c r="BF292" s="33">
        <f>292</f>
        <v>292</v>
      </c>
      <c r="BH292" s="16">
        <f t="shared" si="317"/>
        <v>0</v>
      </c>
      <c r="BI292" s="16">
        <f t="shared" si="318"/>
        <v>0</v>
      </c>
      <c r="BJ292" s="16">
        <f t="shared" si="319"/>
        <v>0</v>
      </c>
    </row>
    <row r="293" spans="1:62" x14ac:dyDescent="0.2">
      <c r="A293" s="4" t="s">
        <v>241</v>
      </c>
      <c r="B293" s="4" t="s">
        <v>780</v>
      </c>
      <c r="C293" s="131" t="s">
        <v>1359</v>
      </c>
      <c r="D293" s="132"/>
      <c r="E293" s="132"/>
      <c r="F293" s="4" t="s">
        <v>1665</v>
      </c>
      <c r="G293" s="68">
        <v>2</v>
      </c>
      <c r="H293" s="162">
        <v>0</v>
      </c>
      <c r="I293" s="16">
        <f t="shared" si="296"/>
        <v>0</v>
      </c>
      <c r="J293" s="16">
        <f t="shared" si="297"/>
        <v>0</v>
      </c>
      <c r="K293" s="16">
        <f t="shared" si="298"/>
        <v>0</v>
      </c>
      <c r="L293" s="27"/>
      <c r="Z293" s="33">
        <f t="shared" si="299"/>
        <v>0</v>
      </c>
      <c r="AB293" s="33">
        <f t="shared" si="300"/>
        <v>0</v>
      </c>
      <c r="AC293" s="33">
        <f t="shared" si="301"/>
        <v>0</v>
      </c>
      <c r="AD293" s="33">
        <f t="shared" si="302"/>
        <v>0</v>
      </c>
      <c r="AE293" s="33">
        <f t="shared" si="303"/>
        <v>0</v>
      </c>
      <c r="AF293" s="33">
        <f t="shared" si="304"/>
        <v>0</v>
      </c>
      <c r="AG293" s="33">
        <f t="shared" si="305"/>
        <v>0</v>
      </c>
      <c r="AH293" s="33">
        <f t="shared" si="306"/>
        <v>0</v>
      </c>
      <c r="AI293" s="28"/>
      <c r="AJ293" s="16">
        <f t="shared" si="307"/>
        <v>0</v>
      </c>
      <c r="AK293" s="16">
        <f t="shared" si="308"/>
        <v>0</v>
      </c>
      <c r="AL293" s="16">
        <f t="shared" si="309"/>
        <v>0</v>
      </c>
      <c r="AN293" s="33">
        <v>21</v>
      </c>
      <c r="AO293" s="33">
        <f t="shared" si="310"/>
        <v>0</v>
      </c>
      <c r="AP293" s="33">
        <f t="shared" si="311"/>
        <v>0</v>
      </c>
      <c r="AQ293" s="27" t="s">
        <v>13</v>
      </c>
      <c r="AV293" s="33">
        <f t="shared" si="312"/>
        <v>0</v>
      </c>
      <c r="AW293" s="33">
        <f t="shared" si="313"/>
        <v>0</v>
      </c>
      <c r="AX293" s="33">
        <f t="shared" si="314"/>
        <v>0</v>
      </c>
      <c r="AY293" s="34" t="s">
        <v>1727</v>
      </c>
      <c r="AZ293" s="34" t="s">
        <v>1747</v>
      </c>
      <c r="BA293" s="28" t="s">
        <v>1752</v>
      </c>
      <c r="BC293" s="33">
        <f t="shared" si="315"/>
        <v>0</v>
      </c>
      <c r="BD293" s="33">
        <f t="shared" si="316"/>
        <v>0</v>
      </c>
      <c r="BE293" s="33">
        <v>0</v>
      </c>
      <c r="BF293" s="33">
        <f>293</f>
        <v>293</v>
      </c>
      <c r="BH293" s="16">
        <f t="shared" si="317"/>
        <v>0</v>
      </c>
      <c r="BI293" s="16">
        <f t="shared" si="318"/>
        <v>0</v>
      </c>
      <c r="BJ293" s="16">
        <f t="shared" si="319"/>
        <v>0</v>
      </c>
    </row>
    <row r="294" spans="1:62" x14ac:dyDescent="0.2">
      <c r="A294" s="4" t="s">
        <v>242</v>
      </c>
      <c r="B294" s="4" t="s">
        <v>781</v>
      </c>
      <c r="C294" s="131" t="s">
        <v>1360</v>
      </c>
      <c r="D294" s="132"/>
      <c r="E294" s="132"/>
      <c r="F294" s="4" t="s">
        <v>1665</v>
      </c>
      <c r="G294" s="68">
        <v>3</v>
      </c>
      <c r="H294" s="162">
        <v>0</v>
      </c>
      <c r="I294" s="16">
        <f t="shared" si="296"/>
        <v>0</v>
      </c>
      <c r="J294" s="16">
        <f t="shared" si="297"/>
        <v>0</v>
      </c>
      <c r="K294" s="16">
        <f t="shared" si="298"/>
        <v>0</v>
      </c>
      <c r="L294" s="27"/>
      <c r="Z294" s="33">
        <f t="shared" si="299"/>
        <v>0</v>
      </c>
      <c r="AB294" s="33">
        <f t="shared" si="300"/>
        <v>0</v>
      </c>
      <c r="AC294" s="33">
        <f t="shared" si="301"/>
        <v>0</v>
      </c>
      <c r="AD294" s="33">
        <f t="shared" si="302"/>
        <v>0</v>
      </c>
      <c r="AE294" s="33">
        <f t="shared" si="303"/>
        <v>0</v>
      </c>
      <c r="AF294" s="33">
        <f t="shared" si="304"/>
        <v>0</v>
      </c>
      <c r="AG294" s="33">
        <f t="shared" si="305"/>
        <v>0</v>
      </c>
      <c r="AH294" s="33">
        <f t="shared" si="306"/>
        <v>0</v>
      </c>
      <c r="AI294" s="28"/>
      <c r="AJ294" s="16">
        <f t="shared" si="307"/>
        <v>0</v>
      </c>
      <c r="AK294" s="16">
        <f t="shared" si="308"/>
        <v>0</v>
      </c>
      <c r="AL294" s="16">
        <f t="shared" si="309"/>
        <v>0</v>
      </c>
      <c r="AN294" s="33">
        <v>21</v>
      </c>
      <c r="AO294" s="33">
        <f t="shared" si="310"/>
        <v>0</v>
      </c>
      <c r="AP294" s="33">
        <f t="shared" si="311"/>
        <v>0</v>
      </c>
      <c r="AQ294" s="27" t="s">
        <v>13</v>
      </c>
      <c r="AV294" s="33">
        <f t="shared" si="312"/>
        <v>0</v>
      </c>
      <c r="AW294" s="33">
        <f t="shared" si="313"/>
        <v>0</v>
      </c>
      <c r="AX294" s="33">
        <f t="shared" si="314"/>
        <v>0</v>
      </c>
      <c r="AY294" s="34" t="s">
        <v>1727</v>
      </c>
      <c r="AZ294" s="34" t="s">
        <v>1747</v>
      </c>
      <c r="BA294" s="28" t="s">
        <v>1752</v>
      </c>
      <c r="BC294" s="33">
        <f t="shared" si="315"/>
        <v>0</v>
      </c>
      <c r="BD294" s="33">
        <f t="shared" si="316"/>
        <v>0</v>
      </c>
      <c r="BE294" s="33">
        <v>0</v>
      </c>
      <c r="BF294" s="33">
        <f>294</f>
        <v>294</v>
      </c>
      <c r="BH294" s="16">
        <f t="shared" si="317"/>
        <v>0</v>
      </c>
      <c r="BI294" s="16">
        <f t="shared" si="318"/>
        <v>0</v>
      </c>
      <c r="BJ294" s="16">
        <f t="shared" si="319"/>
        <v>0</v>
      </c>
    </row>
    <row r="295" spans="1:62" x14ac:dyDescent="0.2">
      <c r="A295" s="4" t="s">
        <v>243</v>
      </c>
      <c r="B295" s="4" t="s">
        <v>782</v>
      </c>
      <c r="C295" s="131" t="s">
        <v>1361</v>
      </c>
      <c r="D295" s="132"/>
      <c r="E295" s="132"/>
      <c r="F295" s="4" t="s">
        <v>1665</v>
      </c>
      <c r="G295" s="68">
        <v>5</v>
      </c>
      <c r="H295" s="162">
        <v>0</v>
      </c>
      <c r="I295" s="16">
        <f t="shared" si="296"/>
        <v>0</v>
      </c>
      <c r="J295" s="16">
        <f t="shared" si="297"/>
        <v>0</v>
      </c>
      <c r="K295" s="16">
        <f t="shared" si="298"/>
        <v>0</v>
      </c>
      <c r="L295" s="27"/>
      <c r="Z295" s="33">
        <f t="shared" si="299"/>
        <v>0</v>
      </c>
      <c r="AB295" s="33">
        <f t="shared" si="300"/>
        <v>0</v>
      </c>
      <c r="AC295" s="33">
        <f t="shared" si="301"/>
        <v>0</v>
      </c>
      <c r="AD295" s="33">
        <f t="shared" si="302"/>
        <v>0</v>
      </c>
      <c r="AE295" s="33">
        <f t="shared" si="303"/>
        <v>0</v>
      </c>
      <c r="AF295" s="33">
        <f t="shared" si="304"/>
        <v>0</v>
      </c>
      <c r="AG295" s="33">
        <f t="shared" si="305"/>
        <v>0</v>
      </c>
      <c r="AH295" s="33">
        <f t="shared" si="306"/>
        <v>0</v>
      </c>
      <c r="AI295" s="28"/>
      <c r="AJ295" s="16">
        <f t="shared" si="307"/>
        <v>0</v>
      </c>
      <c r="AK295" s="16">
        <f t="shared" si="308"/>
        <v>0</v>
      </c>
      <c r="AL295" s="16">
        <f t="shared" si="309"/>
        <v>0</v>
      </c>
      <c r="AN295" s="33">
        <v>21</v>
      </c>
      <c r="AO295" s="33">
        <f t="shared" si="310"/>
        <v>0</v>
      </c>
      <c r="AP295" s="33">
        <f t="shared" si="311"/>
        <v>0</v>
      </c>
      <c r="AQ295" s="27" t="s">
        <v>13</v>
      </c>
      <c r="AV295" s="33">
        <f t="shared" si="312"/>
        <v>0</v>
      </c>
      <c r="AW295" s="33">
        <f t="shared" si="313"/>
        <v>0</v>
      </c>
      <c r="AX295" s="33">
        <f t="shared" si="314"/>
        <v>0</v>
      </c>
      <c r="AY295" s="34" t="s">
        <v>1727</v>
      </c>
      <c r="AZ295" s="34" t="s">
        <v>1747</v>
      </c>
      <c r="BA295" s="28" t="s">
        <v>1752</v>
      </c>
      <c r="BC295" s="33">
        <f t="shared" si="315"/>
        <v>0</v>
      </c>
      <c r="BD295" s="33">
        <f t="shared" si="316"/>
        <v>0</v>
      </c>
      <c r="BE295" s="33">
        <v>0</v>
      </c>
      <c r="BF295" s="33">
        <f>295</f>
        <v>295</v>
      </c>
      <c r="BH295" s="16">
        <f t="shared" si="317"/>
        <v>0</v>
      </c>
      <c r="BI295" s="16">
        <f t="shared" si="318"/>
        <v>0</v>
      </c>
      <c r="BJ295" s="16">
        <f t="shared" si="319"/>
        <v>0</v>
      </c>
    </row>
    <row r="296" spans="1:62" x14ac:dyDescent="0.2">
      <c r="A296" s="4" t="s">
        <v>244</v>
      </c>
      <c r="B296" s="4" t="s">
        <v>783</v>
      </c>
      <c r="C296" s="131" t="s">
        <v>1348</v>
      </c>
      <c r="D296" s="132"/>
      <c r="E296" s="132"/>
      <c r="F296" s="4" t="s">
        <v>1666</v>
      </c>
      <c r="G296" s="68">
        <v>2</v>
      </c>
      <c r="H296" s="162">
        <v>0</v>
      </c>
      <c r="I296" s="16">
        <f t="shared" si="296"/>
        <v>0</v>
      </c>
      <c r="J296" s="16">
        <f t="shared" si="297"/>
        <v>0</v>
      </c>
      <c r="K296" s="16">
        <f t="shared" si="298"/>
        <v>0</v>
      </c>
      <c r="L296" s="27"/>
      <c r="Z296" s="33">
        <f t="shared" si="299"/>
        <v>0</v>
      </c>
      <c r="AB296" s="33">
        <f t="shared" si="300"/>
        <v>0</v>
      </c>
      <c r="AC296" s="33">
        <f t="shared" si="301"/>
        <v>0</v>
      </c>
      <c r="AD296" s="33">
        <f t="shared" si="302"/>
        <v>0</v>
      </c>
      <c r="AE296" s="33">
        <f t="shared" si="303"/>
        <v>0</v>
      </c>
      <c r="AF296" s="33">
        <f t="shared" si="304"/>
        <v>0</v>
      </c>
      <c r="AG296" s="33">
        <f t="shared" si="305"/>
        <v>0</v>
      </c>
      <c r="AH296" s="33">
        <f t="shared" si="306"/>
        <v>0</v>
      </c>
      <c r="AI296" s="28"/>
      <c r="AJ296" s="16">
        <f t="shared" si="307"/>
        <v>0</v>
      </c>
      <c r="AK296" s="16">
        <f t="shared" si="308"/>
        <v>0</v>
      </c>
      <c r="AL296" s="16">
        <f t="shared" si="309"/>
        <v>0</v>
      </c>
      <c r="AN296" s="33">
        <v>21</v>
      </c>
      <c r="AO296" s="33">
        <f t="shared" si="310"/>
        <v>0</v>
      </c>
      <c r="AP296" s="33">
        <f t="shared" si="311"/>
        <v>0</v>
      </c>
      <c r="AQ296" s="27" t="s">
        <v>13</v>
      </c>
      <c r="AV296" s="33">
        <f t="shared" si="312"/>
        <v>0</v>
      </c>
      <c r="AW296" s="33">
        <f t="shared" si="313"/>
        <v>0</v>
      </c>
      <c r="AX296" s="33">
        <f t="shared" si="314"/>
        <v>0</v>
      </c>
      <c r="AY296" s="34" t="s">
        <v>1727</v>
      </c>
      <c r="AZ296" s="34" t="s">
        <v>1747</v>
      </c>
      <c r="BA296" s="28" t="s">
        <v>1752</v>
      </c>
      <c r="BC296" s="33">
        <f t="shared" si="315"/>
        <v>0</v>
      </c>
      <c r="BD296" s="33">
        <f t="shared" si="316"/>
        <v>0</v>
      </c>
      <c r="BE296" s="33">
        <v>0</v>
      </c>
      <c r="BF296" s="33">
        <f>296</f>
        <v>296</v>
      </c>
      <c r="BH296" s="16">
        <f t="shared" si="317"/>
        <v>0</v>
      </c>
      <c r="BI296" s="16">
        <f t="shared" si="318"/>
        <v>0</v>
      </c>
      <c r="BJ296" s="16">
        <f t="shared" si="319"/>
        <v>0</v>
      </c>
    </row>
    <row r="297" spans="1:62" x14ac:dyDescent="0.2">
      <c r="C297" s="140" t="s">
        <v>1349</v>
      </c>
      <c r="D297" s="141"/>
      <c r="E297" s="141"/>
      <c r="H297" s="164"/>
    </row>
    <row r="298" spans="1:62" x14ac:dyDescent="0.2">
      <c r="A298" s="4" t="s">
        <v>245</v>
      </c>
      <c r="B298" s="4" t="s">
        <v>784</v>
      </c>
      <c r="C298" s="131" t="s">
        <v>1350</v>
      </c>
      <c r="D298" s="132"/>
      <c r="E298" s="132"/>
      <c r="F298" s="4" t="s">
        <v>1666</v>
      </c>
      <c r="G298" s="68">
        <v>36</v>
      </c>
      <c r="H298" s="162">
        <v>0</v>
      </c>
      <c r="I298" s="16">
        <f>G298*AO298</f>
        <v>0</v>
      </c>
      <c r="J298" s="16">
        <f>G298*AP298</f>
        <v>0</v>
      </c>
      <c r="K298" s="16">
        <f>G298*H298</f>
        <v>0</v>
      </c>
      <c r="L298" s="27"/>
      <c r="Z298" s="33">
        <f>IF(AQ298="5",BJ298,0)</f>
        <v>0</v>
      </c>
      <c r="AB298" s="33">
        <f>IF(AQ298="1",BH298,0)</f>
        <v>0</v>
      </c>
      <c r="AC298" s="33">
        <f>IF(AQ298="1",BI298,0)</f>
        <v>0</v>
      </c>
      <c r="AD298" s="33">
        <f>IF(AQ298="7",BH298,0)</f>
        <v>0</v>
      </c>
      <c r="AE298" s="33">
        <f>IF(AQ298="7",BI298,0)</f>
        <v>0</v>
      </c>
      <c r="AF298" s="33">
        <f>IF(AQ298="2",BH298,0)</f>
        <v>0</v>
      </c>
      <c r="AG298" s="33">
        <f>IF(AQ298="2",BI298,0)</f>
        <v>0</v>
      </c>
      <c r="AH298" s="33">
        <f>IF(AQ298="0",BJ298,0)</f>
        <v>0</v>
      </c>
      <c r="AI298" s="28"/>
      <c r="AJ298" s="16">
        <f>IF(AN298=0,K298,0)</f>
        <v>0</v>
      </c>
      <c r="AK298" s="16">
        <f>IF(AN298=15,K298,0)</f>
        <v>0</v>
      </c>
      <c r="AL298" s="16">
        <f>IF(AN298=21,K298,0)</f>
        <v>0</v>
      </c>
      <c r="AN298" s="33">
        <v>21</v>
      </c>
      <c r="AO298" s="33">
        <f>H298*0</f>
        <v>0</v>
      </c>
      <c r="AP298" s="33">
        <f>H298*(1-0)</f>
        <v>0</v>
      </c>
      <c r="AQ298" s="27" t="s">
        <v>13</v>
      </c>
      <c r="AV298" s="33">
        <f>AW298+AX298</f>
        <v>0</v>
      </c>
      <c r="AW298" s="33">
        <f>G298*AO298</f>
        <v>0</v>
      </c>
      <c r="AX298" s="33">
        <f>G298*AP298</f>
        <v>0</v>
      </c>
      <c r="AY298" s="34" t="s">
        <v>1727</v>
      </c>
      <c r="AZ298" s="34" t="s">
        <v>1747</v>
      </c>
      <c r="BA298" s="28" t="s">
        <v>1752</v>
      </c>
      <c r="BC298" s="33">
        <f>AW298+AX298</f>
        <v>0</v>
      </c>
      <c r="BD298" s="33">
        <f>H298/(100-BE298)*100</f>
        <v>0</v>
      </c>
      <c r="BE298" s="33">
        <v>0</v>
      </c>
      <c r="BF298" s="33">
        <f>298</f>
        <v>298</v>
      </c>
      <c r="BH298" s="16">
        <f>G298*AO298</f>
        <v>0</v>
      </c>
      <c r="BI298" s="16">
        <f>G298*AP298</f>
        <v>0</v>
      </c>
      <c r="BJ298" s="16">
        <f>G298*H298</f>
        <v>0</v>
      </c>
    </row>
    <row r="299" spans="1:62" x14ac:dyDescent="0.2">
      <c r="C299" s="140" t="s">
        <v>1351</v>
      </c>
      <c r="D299" s="141"/>
      <c r="E299" s="141"/>
      <c r="H299" s="164"/>
    </row>
    <row r="300" spans="1:62" x14ac:dyDescent="0.2">
      <c r="A300" s="4" t="s">
        <v>246</v>
      </c>
      <c r="B300" s="4" t="s">
        <v>785</v>
      </c>
      <c r="C300" s="131" t="s">
        <v>1362</v>
      </c>
      <c r="D300" s="132"/>
      <c r="E300" s="132"/>
      <c r="F300" s="4" t="s">
        <v>1666</v>
      </c>
      <c r="G300" s="68">
        <v>32</v>
      </c>
      <c r="H300" s="162">
        <v>0</v>
      </c>
      <c r="I300" s="16">
        <f>G300*AO300</f>
        <v>0</v>
      </c>
      <c r="J300" s="16">
        <f>G300*AP300</f>
        <v>0</v>
      </c>
      <c r="K300" s="16">
        <f>G300*H300</f>
        <v>0</v>
      </c>
      <c r="L300" s="27"/>
      <c r="Z300" s="33">
        <f>IF(AQ300="5",BJ300,0)</f>
        <v>0</v>
      </c>
      <c r="AB300" s="33">
        <f>IF(AQ300="1",BH300,0)</f>
        <v>0</v>
      </c>
      <c r="AC300" s="33">
        <f>IF(AQ300="1",BI300,0)</f>
        <v>0</v>
      </c>
      <c r="AD300" s="33">
        <f>IF(AQ300="7",BH300,0)</f>
        <v>0</v>
      </c>
      <c r="AE300" s="33">
        <f>IF(AQ300="7",BI300,0)</f>
        <v>0</v>
      </c>
      <c r="AF300" s="33">
        <f>IF(AQ300="2",BH300,0)</f>
        <v>0</v>
      </c>
      <c r="AG300" s="33">
        <f>IF(AQ300="2",BI300,0)</f>
        <v>0</v>
      </c>
      <c r="AH300" s="33">
        <f>IF(AQ300="0",BJ300,0)</f>
        <v>0</v>
      </c>
      <c r="AI300" s="28"/>
      <c r="AJ300" s="16">
        <f>IF(AN300=0,K300,0)</f>
        <v>0</v>
      </c>
      <c r="AK300" s="16">
        <f>IF(AN300=15,K300,0)</f>
        <v>0</v>
      </c>
      <c r="AL300" s="16">
        <f>IF(AN300=21,K300,0)</f>
        <v>0</v>
      </c>
      <c r="AN300" s="33">
        <v>21</v>
      </c>
      <c r="AO300" s="33">
        <f>H300*0</f>
        <v>0</v>
      </c>
      <c r="AP300" s="33">
        <f>H300*(1-0)</f>
        <v>0</v>
      </c>
      <c r="AQ300" s="27" t="s">
        <v>13</v>
      </c>
      <c r="AV300" s="33">
        <f>AW300+AX300</f>
        <v>0</v>
      </c>
      <c r="AW300" s="33">
        <f>G300*AO300</f>
        <v>0</v>
      </c>
      <c r="AX300" s="33">
        <f>G300*AP300</f>
        <v>0</v>
      </c>
      <c r="AY300" s="34" t="s">
        <v>1727</v>
      </c>
      <c r="AZ300" s="34" t="s">
        <v>1747</v>
      </c>
      <c r="BA300" s="28" t="s">
        <v>1752</v>
      </c>
      <c r="BC300" s="33">
        <f>AW300+AX300</f>
        <v>0</v>
      </c>
      <c r="BD300" s="33">
        <f>H300/(100-BE300)*100</f>
        <v>0</v>
      </c>
      <c r="BE300" s="33">
        <v>0</v>
      </c>
      <c r="BF300" s="33">
        <f>300</f>
        <v>300</v>
      </c>
      <c r="BH300" s="16">
        <f>G300*AO300</f>
        <v>0</v>
      </c>
      <c r="BI300" s="16">
        <f>G300*AP300</f>
        <v>0</v>
      </c>
      <c r="BJ300" s="16">
        <f>G300*H300</f>
        <v>0</v>
      </c>
    </row>
    <row r="301" spans="1:62" x14ac:dyDescent="0.2">
      <c r="C301" s="140" t="s">
        <v>1351</v>
      </c>
      <c r="D301" s="141"/>
      <c r="E301" s="141"/>
      <c r="H301" s="164"/>
    </row>
    <row r="302" spans="1:62" x14ac:dyDescent="0.2">
      <c r="A302" s="4" t="s">
        <v>247</v>
      </c>
      <c r="B302" s="4" t="s">
        <v>786</v>
      </c>
      <c r="C302" s="131" t="s">
        <v>1353</v>
      </c>
      <c r="D302" s="132"/>
      <c r="E302" s="132"/>
      <c r="F302" s="4" t="s">
        <v>1663</v>
      </c>
      <c r="G302" s="68">
        <v>10</v>
      </c>
      <c r="H302" s="162">
        <v>0</v>
      </c>
      <c r="I302" s="16">
        <f>G302*AO302</f>
        <v>0</v>
      </c>
      <c r="J302" s="16">
        <f>G302*AP302</f>
        <v>0</v>
      </c>
      <c r="K302" s="16">
        <f>G302*H302</f>
        <v>0</v>
      </c>
      <c r="L302" s="27"/>
      <c r="Z302" s="33">
        <f>IF(AQ302="5",BJ302,0)</f>
        <v>0</v>
      </c>
      <c r="AB302" s="33">
        <f>IF(AQ302="1",BH302,0)</f>
        <v>0</v>
      </c>
      <c r="AC302" s="33">
        <f>IF(AQ302="1",BI302,0)</f>
        <v>0</v>
      </c>
      <c r="AD302" s="33">
        <f>IF(AQ302="7",BH302,0)</f>
        <v>0</v>
      </c>
      <c r="AE302" s="33">
        <f>IF(AQ302="7",BI302,0)</f>
        <v>0</v>
      </c>
      <c r="AF302" s="33">
        <f>IF(AQ302="2",BH302,0)</f>
        <v>0</v>
      </c>
      <c r="AG302" s="33">
        <f>IF(AQ302="2",BI302,0)</f>
        <v>0</v>
      </c>
      <c r="AH302" s="33">
        <f>IF(AQ302="0",BJ302,0)</f>
        <v>0</v>
      </c>
      <c r="AI302" s="28"/>
      <c r="AJ302" s="16">
        <f>IF(AN302=0,K302,0)</f>
        <v>0</v>
      </c>
      <c r="AK302" s="16">
        <f>IF(AN302=15,K302,0)</f>
        <v>0</v>
      </c>
      <c r="AL302" s="16">
        <f>IF(AN302=21,K302,0)</f>
        <v>0</v>
      </c>
      <c r="AN302" s="33">
        <v>21</v>
      </c>
      <c r="AO302" s="33">
        <f>H302*0</f>
        <v>0</v>
      </c>
      <c r="AP302" s="33">
        <f>H302*(1-0)</f>
        <v>0</v>
      </c>
      <c r="AQ302" s="27" t="s">
        <v>13</v>
      </c>
      <c r="AV302" s="33">
        <f>AW302+AX302</f>
        <v>0</v>
      </c>
      <c r="AW302" s="33">
        <f>G302*AO302</f>
        <v>0</v>
      </c>
      <c r="AX302" s="33">
        <f>G302*AP302</f>
        <v>0</v>
      </c>
      <c r="AY302" s="34" t="s">
        <v>1727</v>
      </c>
      <c r="AZ302" s="34" t="s">
        <v>1747</v>
      </c>
      <c r="BA302" s="28" t="s">
        <v>1752</v>
      </c>
      <c r="BC302" s="33">
        <f>AW302+AX302</f>
        <v>0</v>
      </c>
      <c r="BD302" s="33">
        <f>H302/(100-BE302)*100</f>
        <v>0</v>
      </c>
      <c r="BE302" s="33">
        <v>0</v>
      </c>
      <c r="BF302" s="33">
        <f>302</f>
        <v>302</v>
      </c>
      <c r="BH302" s="16">
        <f>G302*AO302</f>
        <v>0</v>
      </c>
      <c r="BI302" s="16">
        <f>G302*AP302</f>
        <v>0</v>
      </c>
      <c r="BJ302" s="16">
        <f>G302*H302</f>
        <v>0</v>
      </c>
    </row>
    <row r="303" spans="1:62" x14ac:dyDescent="0.2">
      <c r="A303" s="4" t="s">
        <v>248</v>
      </c>
      <c r="B303" s="4" t="s">
        <v>787</v>
      </c>
      <c r="C303" s="131" t="s">
        <v>1354</v>
      </c>
      <c r="D303" s="132"/>
      <c r="E303" s="132"/>
      <c r="F303" s="4" t="s">
        <v>1663</v>
      </c>
      <c r="G303" s="68">
        <v>28</v>
      </c>
      <c r="H303" s="162">
        <v>0</v>
      </c>
      <c r="I303" s="16">
        <f>G303*AO303</f>
        <v>0</v>
      </c>
      <c r="J303" s="16">
        <f>G303*AP303</f>
        <v>0</v>
      </c>
      <c r="K303" s="16">
        <f>G303*H303</f>
        <v>0</v>
      </c>
      <c r="L303" s="27"/>
      <c r="Z303" s="33">
        <f>IF(AQ303="5",BJ303,0)</f>
        <v>0</v>
      </c>
      <c r="AB303" s="33">
        <f>IF(AQ303="1",BH303,0)</f>
        <v>0</v>
      </c>
      <c r="AC303" s="33">
        <f>IF(AQ303="1",BI303,0)</f>
        <v>0</v>
      </c>
      <c r="AD303" s="33">
        <f>IF(AQ303="7",BH303,0)</f>
        <v>0</v>
      </c>
      <c r="AE303" s="33">
        <f>IF(AQ303="7",BI303,0)</f>
        <v>0</v>
      </c>
      <c r="AF303" s="33">
        <f>IF(AQ303="2",BH303,0)</f>
        <v>0</v>
      </c>
      <c r="AG303" s="33">
        <f>IF(AQ303="2",BI303,0)</f>
        <v>0</v>
      </c>
      <c r="AH303" s="33">
        <f>IF(AQ303="0",BJ303,0)</f>
        <v>0</v>
      </c>
      <c r="AI303" s="28"/>
      <c r="AJ303" s="16">
        <f>IF(AN303=0,K303,0)</f>
        <v>0</v>
      </c>
      <c r="AK303" s="16">
        <f>IF(AN303=15,K303,0)</f>
        <v>0</v>
      </c>
      <c r="AL303" s="16">
        <f>IF(AN303=21,K303,0)</f>
        <v>0</v>
      </c>
      <c r="AN303" s="33">
        <v>21</v>
      </c>
      <c r="AO303" s="33">
        <f>H303*0</f>
        <v>0</v>
      </c>
      <c r="AP303" s="33">
        <f>H303*(1-0)</f>
        <v>0</v>
      </c>
      <c r="AQ303" s="27" t="s">
        <v>13</v>
      </c>
      <c r="AV303" s="33">
        <f>AW303+AX303</f>
        <v>0</v>
      </c>
      <c r="AW303" s="33">
        <f>G303*AO303</f>
        <v>0</v>
      </c>
      <c r="AX303" s="33">
        <f>G303*AP303</f>
        <v>0</v>
      </c>
      <c r="AY303" s="34" t="s">
        <v>1727</v>
      </c>
      <c r="AZ303" s="34" t="s">
        <v>1747</v>
      </c>
      <c r="BA303" s="28" t="s">
        <v>1752</v>
      </c>
      <c r="BC303" s="33">
        <f>AW303+AX303</f>
        <v>0</v>
      </c>
      <c r="BD303" s="33">
        <f>H303/(100-BE303)*100</f>
        <v>0</v>
      </c>
      <c r="BE303" s="33">
        <v>0</v>
      </c>
      <c r="BF303" s="33">
        <f>303</f>
        <v>303</v>
      </c>
      <c r="BH303" s="16">
        <f>G303*AO303</f>
        <v>0</v>
      </c>
      <c r="BI303" s="16">
        <f>G303*AP303</f>
        <v>0</v>
      </c>
      <c r="BJ303" s="16">
        <f>G303*H303</f>
        <v>0</v>
      </c>
    </row>
    <row r="304" spans="1:62" x14ac:dyDescent="0.2">
      <c r="A304" s="4" t="s">
        <v>249</v>
      </c>
      <c r="B304" s="4" t="s">
        <v>788</v>
      </c>
      <c r="C304" s="131" t="s">
        <v>1363</v>
      </c>
      <c r="D304" s="132"/>
      <c r="E304" s="132"/>
      <c r="F304" s="4" t="s">
        <v>1671</v>
      </c>
      <c r="G304" s="68">
        <v>1</v>
      </c>
      <c r="H304" s="162">
        <v>0</v>
      </c>
      <c r="I304" s="16">
        <f>G304*AO304</f>
        <v>0</v>
      </c>
      <c r="J304" s="16">
        <f>G304*AP304</f>
        <v>0</v>
      </c>
      <c r="K304" s="16">
        <f>G304*H304</f>
        <v>0</v>
      </c>
      <c r="L304" s="27"/>
      <c r="Z304" s="33">
        <f>IF(AQ304="5",BJ304,0)</f>
        <v>0</v>
      </c>
      <c r="AB304" s="33">
        <f>IF(AQ304="1",BH304,0)</f>
        <v>0</v>
      </c>
      <c r="AC304" s="33">
        <f>IF(AQ304="1",BI304,0)</f>
        <v>0</v>
      </c>
      <c r="AD304" s="33">
        <f>IF(AQ304="7",BH304,0)</f>
        <v>0</v>
      </c>
      <c r="AE304" s="33">
        <f>IF(AQ304="7",BI304,0)</f>
        <v>0</v>
      </c>
      <c r="AF304" s="33">
        <f>IF(AQ304="2",BH304,0)</f>
        <v>0</v>
      </c>
      <c r="AG304" s="33">
        <f>IF(AQ304="2",BI304,0)</f>
        <v>0</v>
      </c>
      <c r="AH304" s="33">
        <f>IF(AQ304="0",BJ304,0)</f>
        <v>0</v>
      </c>
      <c r="AI304" s="28"/>
      <c r="AJ304" s="16">
        <f>IF(AN304=0,K304,0)</f>
        <v>0</v>
      </c>
      <c r="AK304" s="16">
        <f>IF(AN304=15,K304,0)</f>
        <v>0</v>
      </c>
      <c r="AL304" s="16">
        <f>IF(AN304=21,K304,0)</f>
        <v>0</v>
      </c>
      <c r="AN304" s="33">
        <v>21</v>
      </c>
      <c r="AO304" s="33">
        <f>H304*0</f>
        <v>0</v>
      </c>
      <c r="AP304" s="33">
        <f>H304*(1-0)</f>
        <v>0</v>
      </c>
      <c r="AQ304" s="27" t="s">
        <v>13</v>
      </c>
      <c r="AV304" s="33">
        <f>AW304+AX304</f>
        <v>0</v>
      </c>
      <c r="AW304" s="33">
        <f>G304*AO304</f>
        <v>0</v>
      </c>
      <c r="AX304" s="33">
        <f>G304*AP304</f>
        <v>0</v>
      </c>
      <c r="AY304" s="34" t="s">
        <v>1727</v>
      </c>
      <c r="AZ304" s="34" t="s">
        <v>1747</v>
      </c>
      <c r="BA304" s="28" t="s">
        <v>1752</v>
      </c>
      <c r="BC304" s="33">
        <f>AW304+AX304</f>
        <v>0</v>
      </c>
      <c r="BD304" s="33">
        <f>H304/(100-BE304)*100</f>
        <v>0</v>
      </c>
      <c r="BE304" s="33">
        <v>0</v>
      </c>
      <c r="BF304" s="33">
        <f>304</f>
        <v>304</v>
      </c>
      <c r="BH304" s="16">
        <f>G304*AO304</f>
        <v>0</v>
      </c>
      <c r="BI304" s="16">
        <f>G304*AP304</f>
        <v>0</v>
      </c>
      <c r="BJ304" s="16">
        <f>G304*H304</f>
        <v>0</v>
      </c>
    </row>
    <row r="305" spans="1:62" x14ac:dyDescent="0.2">
      <c r="C305" s="140" t="s">
        <v>1364</v>
      </c>
      <c r="D305" s="141"/>
      <c r="E305" s="141"/>
      <c r="H305" s="164"/>
    </row>
    <row r="306" spans="1:62" x14ac:dyDescent="0.2">
      <c r="A306" s="4" t="s">
        <v>250</v>
      </c>
      <c r="B306" s="4" t="s">
        <v>789</v>
      </c>
      <c r="C306" s="131" t="s">
        <v>1365</v>
      </c>
      <c r="D306" s="132"/>
      <c r="E306" s="132"/>
      <c r="F306" s="4" t="s">
        <v>1670</v>
      </c>
      <c r="G306" s="68">
        <v>1</v>
      </c>
      <c r="H306" s="162">
        <v>0</v>
      </c>
      <c r="I306" s="16">
        <f>G306*AO306</f>
        <v>0</v>
      </c>
      <c r="J306" s="16">
        <f>G306*AP306</f>
        <v>0</v>
      </c>
      <c r="K306" s="16">
        <f>G306*H306</f>
        <v>0</v>
      </c>
      <c r="L306" s="27"/>
      <c r="Z306" s="33">
        <f>IF(AQ306="5",BJ306,0)</f>
        <v>0</v>
      </c>
      <c r="AB306" s="33">
        <f>IF(AQ306="1",BH306,0)</f>
        <v>0</v>
      </c>
      <c r="AC306" s="33">
        <f>IF(AQ306="1",BI306,0)</f>
        <v>0</v>
      </c>
      <c r="AD306" s="33">
        <f>IF(AQ306="7",BH306,0)</f>
        <v>0</v>
      </c>
      <c r="AE306" s="33">
        <f>IF(AQ306="7",BI306,0)</f>
        <v>0</v>
      </c>
      <c r="AF306" s="33">
        <f>IF(AQ306="2",BH306,0)</f>
        <v>0</v>
      </c>
      <c r="AG306" s="33">
        <f>IF(AQ306="2",BI306,0)</f>
        <v>0</v>
      </c>
      <c r="AH306" s="33">
        <f>IF(AQ306="0",BJ306,0)</f>
        <v>0</v>
      </c>
      <c r="AI306" s="28"/>
      <c r="AJ306" s="16">
        <f>IF(AN306=0,K306,0)</f>
        <v>0</v>
      </c>
      <c r="AK306" s="16">
        <f>IF(AN306=15,K306,0)</f>
        <v>0</v>
      </c>
      <c r="AL306" s="16">
        <f>IF(AN306=21,K306,0)</f>
        <v>0</v>
      </c>
      <c r="AN306" s="33">
        <v>21</v>
      </c>
      <c r="AO306" s="33">
        <f>H306*0</f>
        <v>0</v>
      </c>
      <c r="AP306" s="33">
        <f>H306*(1-0)</f>
        <v>0</v>
      </c>
      <c r="AQ306" s="27" t="s">
        <v>13</v>
      </c>
      <c r="AV306" s="33">
        <f>AW306+AX306</f>
        <v>0</v>
      </c>
      <c r="AW306" s="33">
        <f>G306*AO306</f>
        <v>0</v>
      </c>
      <c r="AX306" s="33">
        <f>G306*AP306</f>
        <v>0</v>
      </c>
      <c r="AY306" s="34" t="s">
        <v>1727</v>
      </c>
      <c r="AZ306" s="34" t="s">
        <v>1747</v>
      </c>
      <c r="BA306" s="28" t="s">
        <v>1752</v>
      </c>
      <c r="BC306" s="33">
        <f>AW306+AX306</f>
        <v>0</v>
      </c>
      <c r="BD306" s="33">
        <f>H306/(100-BE306)*100</f>
        <v>0</v>
      </c>
      <c r="BE306" s="33">
        <v>0</v>
      </c>
      <c r="BF306" s="33">
        <f>306</f>
        <v>306</v>
      </c>
      <c r="BH306" s="16">
        <f>G306*AO306</f>
        <v>0</v>
      </c>
      <c r="BI306" s="16">
        <f>G306*AP306</f>
        <v>0</v>
      </c>
      <c r="BJ306" s="16">
        <f>G306*H306</f>
        <v>0</v>
      </c>
    </row>
    <row r="307" spans="1:62" x14ac:dyDescent="0.2">
      <c r="A307" s="4" t="s">
        <v>251</v>
      </c>
      <c r="B307" s="4" t="s">
        <v>790</v>
      </c>
      <c r="C307" s="131" t="s">
        <v>1366</v>
      </c>
      <c r="D307" s="132"/>
      <c r="E307" s="132"/>
      <c r="F307" s="4" t="s">
        <v>1670</v>
      </c>
      <c r="G307" s="68">
        <v>1</v>
      </c>
      <c r="H307" s="162">
        <v>0</v>
      </c>
      <c r="I307" s="16">
        <f>G307*AO307</f>
        <v>0</v>
      </c>
      <c r="J307" s="16">
        <f>G307*AP307</f>
        <v>0</v>
      </c>
      <c r="K307" s="16">
        <f>G307*H307</f>
        <v>0</v>
      </c>
      <c r="L307" s="27"/>
      <c r="Z307" s="33">
        <f>IF(AQ307="5",BJ307,0)</f>
        <v>0</v>
      </c>
      <c r="AB307" s="33">
        <f>IF(AQ307="1",BH307,0)</f>
        <v>0</v>
      </c>
      <c r="AC307" s="33">
        <f>IF(AQ307="1",BI307,0)</f>
        <v>0</v>
      </c>
      <c r="AD307" s="33">
        <f>IF(AQ307="7",BH307,0)</f>
        <v>0</v>
      </c>
      <c r="AE307" s="33">
        <f>IF(AQ307="7",BI307,0)</f>
        <v>0</v>
      </c>
      <c r="AF307" s="33">
        <f>IF(AQ307="2",BH307,0)</f>
        <v>0</v>
      </c>
      <c r="AG307" s="33">
        <f>IF(AQ307="2",BI307,0)</f>
        <v>0</v>
      </c>
      <c r="AH307" s="33">
        <f>IF(AQ307="0",BJ307,0)</f>
        <v>0</v>
      </c>
      <c r="AI307" s="28"/>
      <c r="AJ307" s="16">
        <f>IF(AN307=0,K307,0)</f>
        <v>0</v>
      </c>
      <c r="AK307" s="16">
        <f>IF(AN307=15,K307,0)</f>
        <v>0</v>
      </c>
      <c r="AL307" s="16">
        <f>IF(AN307=21,K307,0)</f>
        <v>0</v>
      </c>
      <c r="AN307" s="33">
        <v>21</v>
      </c>
      <c r="AO307" s="33">
        <f>H307*0</f>
        <v>0</v>
      </c>
      <c r="AP307" s="33">
        <f>H307*(1-0)</f>
        <v>0</v>
      </c>
      <c r="AQ307" s="27" t="s">
        <v>13</v>
      </c>
      <c r="AV307" s="33">
        <f>AW307+AX307</f>
        <v>0</v>
      </c>
      <c r="AW307" s="33">
        <f>G307*AO307</f>
        <v>0</v>
      </c>
      <c r="AX307" s="33">
        <f>G307*AP307</f>
        <v>0</v>
      </c>
      <c r="AY307" s="34" t="s">
        <v>1727</v>
      </c>
      <c r="AZ307" s="34" t="s">
        <v>1747</v>
      </c>
      <c r="BA307" s="28" t="s">
        <v>1752</v>
      </c>
      <c r="BC307" s="33">
        <f>AW307+AX307</f>
        <v>0</v>
      </c>
      <c r="BD307" s="33">
        <f>H307/(100-BE307)*100</f>
        <v>0</v>
      </c>
      <c r="BE307" s="33">
        <v>0</v>
      </c>
      <c r="BF307" s="33">
        <f>307</f>
        <v>307</v>
      </c>
      <c r="BH307" s="16">
        <f>G307*AO307</f>
        <v>0</v>
      </c>
      <c r="BI307" s="16">
        <f>G307*AP307</f>
        <v>0</v>
      </c>
      <c r="BJ307" s="16">
        <f>G307*H307</f>
        <v>0</v>
      </c>
    </row>
    <row r="308" spans="1:62" x14ac:dyDescent="0.2">
      <c r="C308" s="140" t="s">
        <v>1367</v>
      </c>
      <c r="D308" s="141"/>
      <c r="E308" s="141"/>
      <c r="H308" s="164"/>
    </row>
    <row r="309" spans="1:62" x14ac:dyDescent="0.2">
      <c r="A309" s="4" t="s">
        <v>252</v>
      </c>
      <c r="B309" s="4" t="s">
        <v>791</v>
      </c>
      <c r="C309" s="131" t="s">
        <v>1368</v>
      </c>
      <c r="D309" s="132"/>
      <c r="E309" s="132"/>
      <c r="F309" s="4" t="s">
        <v>1670</v>
      </c>
      <c r="G309" s="68">
        <v>1</v>
      </c>
      <c r="H309" s="162">
        <v>0</v>
      </c>
      <c r="I309" s="16">
        <f t="shared" ref="I309:I316" si="320">G309*AO309</f>
        <v>0</v>
      </c>
      <c r="J309" s="16">
        <f t="shared" ref="J309:J316" si="321">G309*AP309</f>
        <v>0</v>
      </c>
      <c r="K309" s="16">
        <f t="shared" ref="K309:K316" si="322">G309*H309</f>
        <v>0</v>
      </c>
      <c r="L309" s="27"/>
      <c r="Z309" s="33">
        <f t="shared" ref="Z309:Z316" si="323">IF(AQ309="5",BJ309,0)</f>
        <v>0</v>
      </c>
      <c r="AB309" s="33">
        <f t="shared" ref="AB309:AB316" si="324">IF(AQ309="1",BH309,0)</f>
        <v>0</v>
      </c>
      <c r="AC309" s="33">
        <f t="shared" ref="AC309:AC316" si="325">IF(AQ309="1",BI309,0)</f>
        <v>0</v>
      </c>
      <c r="AD309" s="33">
        <f t="shared" ref="AD309:AD316" si="326">IF(AQ309="7",BH309,0)</f>
        <v>0</v>
      </c>
      <c r="AE309" s="33">
        <f t="shared" ref="AE309:AE316" si="327">IF(AQ309="7",BI309,0)</f>
        <v>0</v>
      </c>
      <c r="AF309" s="33">
        <f t="shared" ref="AF309:AF316" si="328">IF(AQ309="2",BH309,0)</f>
        <v>0</v>
      </c>
      <c r="AG309" s="33">
        <f t="shared" ref="AG309:AG316" si="329">IF(AQ309="2",BI309,0)</f>
        <v>0</v>
      </c>
      <c r="AH309" s="33">
        <f t="shared" ref="AH309:AH316" si="330">IF(AQ309="0",BJ309,0)</f>
        <v>0</v>
      </c>
      <c r="AI309" s="28"/>
      <c r="AJ309" s="16">
        <f t="shared" ref="AJ309:AJ316" si="331">IF(AN309=0,K309,0)</f>
        <v>0</v>
      </c>
      <c r="AK309" s="16">
        <f t="shared" ref="AK309:AK316" si="332">IF(AN309=15,K309,0)</f>
        <v>0</v>
      </c>
      <c r="AL309" s="16">
        <f t="shared" ref="AL309:AL316" si="333">IF(AN309=21,K309,0)</f>
        <v>0</v>
      </c>
      <c r="AN309" s="33">
        <v>21</v>
      </c>
      <c r="AO309" s="33">
        <f t="shared" ref="AO309:AO316" si="334">H309*0</f>
        <v>0</v>
      </c>
      <c r="AP309" s="33">
        <f t="shared" ref="AP309:AP316" si="335">H309*(1-0)</f>
        <v>0</v>
      </c>
      <c r="AQ309" s="27" t="s">
        <v>13</v>
      </c>
      <c r="AV309" s="33">
        <f t="shared" ref="AV309:AV316" si="336">AW309+AX309</f>
        <v>0</v>
      </c>
      <c r="AW309" s="33">
        <f t="shared" ref="AW309:AW316" si="337">G309*AO309</f>
        <v>0</v>
      </c>
      <c r="AX309" s="33">
        <f t="shared" ref="AX309:AX316" si="338">G309*AP309</f>
        <v>0</v>
      </c>
      <c r="AY309" s="34" t="s">
        <v>1727</v>
      </c>
      <c r="AZ309" s="34" t="s">
        <v>1747</v>
      </c>
      <c r="BA309" s="28" t="s">
        <v>1752</v>
      </c>
      <c r="BC309" s="33">
        <f t="shared" ref="BC309:BC316" si="339">AW309+AX309</f>
        <v>0</v>
      </c>
      <c r="BD309" s="33">
        <f t="shared" ref="BD309:BD316" si="340">H309/(100-BE309)*100</f>
        <v>0</v>
      </c>
      <c r="BE309" s="33">
        <v>0</v>
      </c>
      <c r="BF309" s="33">
        <f>309</f>
        <v>309</v>
      </c>
      <c r="BH309" s="16">
        <f t="shared" ref="BH309:BH316" si="341">G309*AO309</f>
        <v>0</v>
      </c>
      <c r="BI309" s="16">
        <f t="shared" ref="BI309:BI316" si="342">G309*AP309</f>
        <v>0</v>
      </c>
      <c r="BJ309" s="16">
        <f t="shared" ref="BJ309:BJ316" si="343">G309*H309</f>
        <v>0</v>
      </c>
    </row>
    <row r="310" spans="1:62" x14ac:dyDescent="0.2">
      <c r="A310" s="4" t="s">
        <v>253</v>
      </c>
      <c r="B310" s="4" t="s">
        <v>792</v>
      </c>
      <c r="C310" s="131" t="s">
        <v>1369</v>
      </c>
      <c r="D310" s="132"/>
      <c r="E310" s="132"/>
      <c r="F310" s="4" t="s">
        <v>1670</v>
      </c>
      <c r="G310" s="68">
        <v>1</v>
      </c>
      <c r="H310" s="162">
        <v>0</v>
      </c>
      <c r="I310" s="16">
        <f t="shared" si="320"/>
        <v>0</v>
      </c>
      <c r="J310" s="16">
        <f t="shared" si="321"/>
        <v>0</v>
      </c>
      <c r="K310" s="16">
        <f t="shared" si="322"/>
        <v>0</v>
      </c>
      <c r="L310" s="27"/>
      <c r="Z310" s="33">
        <f t="shared" si="323"/>
        <v>0</v>
      </c>
      <c r="AB310" s="33">
        <f t="shared" si="324"/>
        <v>0</v>
      </c>
      <c r="AC310" s="33">
        <f t="shared" si="325"/>
        <v>0</v>
      </c>
      <c r="AD310" s="33">
        <f t="shared" si="326"/>
        <v>0</v>
      </c>
      <c r="AE310" s="33">
        <f t="shared" si="327"/>
        <v>0</v>
      </c>
      <c r="AF310" s="33">
        <f t="shared" si="328"/>
        <v>0</v>
      </c>
      <c r="AG310" s="33">
        <f t="shared" si="329"/>
        <v>0</v>
      </c>
      <c r="AH310" s="33">
        <f t="shared" si="330"/>
        <v>0</v>
      </c>
      <c r="AI310" s="28"/>
      <c r="AJ310" s="16">
        <f t="shared" si="331"/>
        <v>0</v>
      </c>
      <c r="AK310" s="16">
        <f t="shared" si="332"/>
        <v>0</v>
      </c>
      <c r="AL310" s="16">
        <f t="shared" si="333"/>
        <v>0</v>
      </c>
      <c r="AN310" s="33">
        <v>21</v>
      </c>
      <c r="AO310" s="33">
        <f t="shared" si="334"/>
        <v>0</v>
      </c>
      <c r="AP310" s="33">
        <f t="shared" si="335"/>
        <v>0</v>
      </c>
      <c r="AQ310" s="27" t="s">
        <v>13</v>
      </c>
      <c r="AV310" s="33">
        <f t="shared" si="336"/>
        <v>0</v>
      </c>
      <c r="AW310" s="33">
        <f t="shared" si="337"/>
        <v>0</v>
      </c>
      <c r="AX310" s="33">
        <f t="shared" si="338"/>
        <v>0</v>
      </c>
      <c r="AY310" s="34" t="s">
        <v>1727</v>
      </c>
      <c r="AZ310" s="34" t="s">
        <v>1747</v>
      </c>
      <c r="BA310" s="28" t="s">
        <v>1752</v>
      </c>
      <c r="BC310" s="33">
        <f t="shared" si="339"/>
        <v>0</v>
      </c>
      <c r="BD310" s="33">
        <f t="shared" si="340"/>
        <v>0</v>
      </c>
      <c r="BE310" s="33">
        <v>0</v>
      </c>
      <c r="BF310" s="33">
        <f>310</f>
        <v>310</v>
      </c>
      <c r="BH310" s="16">
        <f t="shared" si="341"/>
        <v>0</v>
      </c>
      <c r="BI310" s="16">
        <f t="shared" si="342"/>
        <v>0</v>
      </c>
      <c r="BJ310" s="16">
        <f t="shared" si="343"/>
        <v>0</v>
      </c>
    </row>
    <row r="311" spans="1:62" x14ac:dyDescent="0.2">
      <c r="A311" s="4" t="s">
        <v>254</v>
      </c>
      <c r="B311" s="4" t="s">
        <v>793</v>
      </c>
      <c r="C311" s="131" t="s">
        <v>1370</v>
      </c>
      <c r="D311" s="132"/>
      <c r="E311" s="132"/>
      <c r="F311" s="4" t="s">
        <v>1670</v>
      </c>
      <c r="G311" s="68">
        <v>1</v>
      </c>
      <c r="H311" s="162">
        <v>0</v>
      </c>
      <c r="I311" s="16">
        <f t="shared" si="320"/>
        <v>0</v>
      </c>
      <c r="J311" s="16">
        <f t="shared" si="321"/>
        <v>0</v>
      </c>
      <c r="K311" s="16">
        <f t="shared" si="322"/>
        <v>0</v>
      </c>
      <c r="L311" s="27"/>
      <c r="Z311" s="33">
        <f t="shared" si="323"/>
        <v>0</v>
      </c>
      <c r="AB311" s="33">
        <f t="shared" si="324"/>
        <v>0</v>
      </c>
      <c r="AC311" s="33">
        <f t="shared" si="325"/>
        <v>0</v>
      </c>
      <c r="AD311" s="33">
        <f t="shared" si="326"/>
        <v>0</v>
      </c>
      <c r="AE311" s="33">
        <f t="shared" si="327"/>
        <v>0</v>
      </c>
      <c r="AF311" s="33">
        <f t="shared" si="328"/>
        <v>0</v>
      </c>
      <c r="AG311" s="33">
        <f t="shared" si="329"/>
        <v>0</v>
      </c>
      <c r="AH311" s="33">
        <f t="shared" si="330"/>
        <v>0</v>
      </c>
      <c r="AI311" s="28"/>
      <c r="AJ311" s="16">
        <f t="shared" si="331"/>
        <v>0</v>
      </c>
      <c r="AK311" s="16">
        <f t="shared" si="332"/>
        <v>0</v>
      </c>
      <c r="AL311" s="16">
        <f t="shared" si="333"/>
        <v>0</v>
      </c>
      <c r="AN311" s="33">
        <v>21</v>
      </c>
      <c r="AO311" s="33">
        <f t="shared" si="334"/>
        <v>0</v>
      </c>
      <c r="AP311" s="33">
        <f t="shared" si="335"/>
        <v>0</v>
      </c>
      <c r="AQ311" s="27" t="s">
        <v>13</v>
      </c>
      <c r="AV311" s="33">
        <f t="shared" si="336"/>
        <v>0</v>
      </c>
      <c r="AW311" s="33">
        <f t="shared" si="337"/>
        <v>0</v>
      </c>
      <c r="AX311" s="33">
        <f t="shared" si="338"/>
        <v>0</v>
      </c>
      <c r="AY311" s="34" t="s">
        <v>1727</v>
      </c>
      <c r="AZ311" s="34" t="s">
        <v>1747</v>
      </c>
      <c r="BA311" s="28" t="s">
        <v>1752</v>
      </c>
      <c r="BC311" s="33">
        <f t="shared" si="339"/>
        <v>0</v>
      </c>
      <c r="BD311" s="33">
        <f t="shared" si="340"/>
        <v>0</v>
      </c>
      <c r="BE311" s="33">
        <v>0</v>
      </c>
      <c r="BF311" s="33">
        <f>311</f>
        <v>311</v>
      </c>
      <c r="BH311" s="16">
        <f t="shared" si="341"/>
        <v>0</v>
      </c>
      <c r="BI311" s="16">
        <f t="shared" si="342"/>
        <v>0</v>
      </c>
      <c r="BJ311" s="16">
        <f t="shared" si="343"/>
        <v>0</v>
      </c>
    </row>
    <row r="312" spans="1:62" x14ac:dyDescent="0.2">
      <c r="A312" s="4" t="s">
        <v>255</v>
      </c>
      <c r="B312" s="4" t="s">
        <v>794</v>
      </c>
      <c r="C312" s="131" t="s">
        <v>1371</v>
      </c>
      <c r="D312" s="132"/>
      <c r="E312" s="132"/>
      <c r="F312" s="4" t="s">
        <v>1670</v>
      </c>
      <c r="G312" s="68">
        <v>1</v>
      </c>
      <c r="H312" s="162">
        <v>0</v>
      </c>
      <c r="I312" s="16">
        <f t="shared" si="320"/>
        <v>0</v>
      </c>
      <c r="J312" s="16">
        <f t="shared" si="321"/>
        <v>0</v>
      </c>
      <c r="K312" s="16">
        <f t="shared" si="322"/>
        <v>0</v>
      </c>
      <c r="L312" s="27"/>
      <c r="Z312" s="33">
        <f t="shared" si="323"/>
        <v>0</v>
      </c>
      <c r="AB312" s="33">
        <f t="shared" si="324"/>
        <v>0</v>
      </c>
      <c r="AC312" s="33">
        <f t="shared" si="325"/>
        <v>0</v>
      </c>
      <c r="AD312" s="33">
        <f t="shared" si="326"/>
        <v>0</v>
      </c>
      <c r="AE312" s="33">
        <f t="shared" si="327"/>
        <v>0</v>
      </c>
      <c r="AF312" s="33">
        <f t="shared" si="328"/>
        <v>0</v>
      </c>
      <c r="AG312" s="33">
        <f t="shared" si="329"/>
        <v>0</v>
      </c>
      <c r="AH312" s="33">
        <f t="shared" si="330"/>
        <v>0</v>
      </c>
      <c r="AI312" s="28"/>
      <c r="AJ312" s="16">
        <f t="shared" si="331"/>
        <v>0</v>
      </c>
      <c r="AK312" s="16">
        <f t="shared" si="332"/>
        <v>0</v>
      </c>
      <c r="AL312" s="16">
        <f t="shared" si="333"/>
        <v>0</v>
      </c>
      <c r="AN312" s="33">
        <v>21</v>
      </c>
      <c r="AO312" s="33">
        <f t="shared" si="334"/>
        <v>0</v>
      </c>
      <c r="AP312" s="33">
        <f t="shared" si="335"/>
        <v>0</v>
      </c>
      <c r="AQ312" s="27" t="s">
        <v>13</v>
      </c>
      <c r="AV312" s="33">
        <f t="shared" si="336"/>
        <v>0</v>
      </c>
      <c r="AW312" s="33">
        <f t="shared" si="337"/>
        <v>0</v>
      </c>
      <c r="AX312" s="33">
        <f t="shared" si="338"/>
        <v>0</v>
      </c>
      <c r="AY312" s="34" t="s">
        <v>1727</v>
      </c>
      <c r="AZ312" s="34" t="s">
        <v>1747</v>
      </c>
      <c r="BA312" s="28" t="s">
        <v>1752</v>
      </c>
      <c r="BC312" s="33">
        <f t="shared" si="339"/>
        <v>0</v>
      </c>
      <c r="BD312" s="33">
        <f t="shared" si="340"/>
        <v>0</v>
      </c>
      <c r="BE312" s="33">
        <v>0</v>
      </c>
      <c r="BF312" s="33">
        <f>312</f>
        <v>312</v>
      </c>
      <c r="BH312" s="16">
        <f t="shared" si="341"/>
        <v>0</v>
      </c>
      <c r="BI312" s="16">
        <f t="shared" si="342"/>
        <v>0</v>
      </c>
      <c r="BJ312" s="16">
        <f t="shared" si="343"/>
        <v>0</v>
      </c>
    </row>
    <row r="313" spans="1:62" x14ac:dyDescent="0.2">
      <c r="A313" s="4" t="s">
        <v>256</v>
      </c>
      <c r="B313" s="4" t="s">
        <v>795</v>
      </c>
      <c r="C313" s="131" t="s">
        <v>1372</v>
      </c>
      <c r="D313" s="132"/>
      <c r="E313" s="132"/>
      <c r="F313" s="4" t="s">
        <v>1670</v>
      </c>
      <c r="G313" s="68">
        <v>1</v>
      </c>
      <c r="H313" s="162">
        <v>0</v>
      </c>
      <c r="I313" s="16">
        <f t="shared" si="320"/>
        <v>0</v>
      </c>
      <c r="J313" s="16">
        <f t="shared" si="321"/>
        <v>0</v>
      </c>
      <c r="K313" s="16">
        <f t="shared" si="322"/>
        <v>0</v>
      </c>
      <c r="L313" s="27"/>
      <c r="Z313" s="33">
        <f t="shared" si="323"/>
        <v>0</v>
      </c>
      <c r="AB313" s="33">
        <f t="shared" si="324"/>
        <v>0</v>
      </c>
      <c r="AC313" s="33">
        <f t="shared" si="325"/>
        <v>0</v>
      </c>
      <c r="AD313" s="33">
        <f t="shared" si="326"/>
        <v>0</v>
      </c>
      <c r="AE313" s="33">
        <f t="shared" si="327"/>
        <v>0</v>
      </c>
      <c r="AF313" s="33">
        <f t="shared" si="328"/>
        <v>0</v>
      </c>
      <c r="AG313" s="33">
        <f t="shared" si="329"/>
        <v>0</v>
      </c>
      <c r="AH313" s="33">
        <f t="shared" si="330"/>
        <v>0</v>
      </c>
      <c r="AI313" s="28"/>
      <c r="AJ313" s="16">
        <f t="shared" si="331"/>
        <v>0</v>
      </c>
      <c r="AK313" s="16">
        <f t="shared" si="332"/>
        <v>0</v>
      </c>
      <c r="AL313" s="16">
        <f t="shared" si="333"/>
        <v>0</v>
      </c>
      <c r="AN313" s="33">
        <v>21</v>
      </c>
      <c r="AO313" s="33">
        <f t="shared" si="334"/>
        <v>0</v>
      </c>
      <c r="AP313" s="33">
        <f t="shared" si="335"/>
        <v>0</v>
      </c>
      <c r="AQ313" s="27" t="s">
        <v>13</v>
      </c>
      <c r="AV313" s="33">
        <f t="shared" si="336"/>
        <v>0</v>
      </c>
      <c r="AW313" s="33">
        <f t="shared" si="337"/>
        <v>0</v>
      </c>
      <c r="AX313" s="33">
        <f t="shared" si="338"/>
        <v>0</v>
      </c>
      <c r="AY313" s="34" t="s">
        <v>1727</v>
      </c>
      <c r="AZ313" s="34" t="s">
        <v>1747</v>
      </c>
      <c r="BA313" s="28" t="s">
        <v>1752</v>
      </c>
      <c r="BC313" s="33">
        <f t="shared" si="339"/>
        <v>0</v>
      </c>
      <c r="BD313" s="33">
        <f t="shared" si="340"/>
        <v>0</v>
      </c>
      <c r="BE313" s="33">
        <v>0</v>
      </c>
      <c r="BF313" s="33">
        <f>313</f>
        <v>313</v>
      </c>
      <c r="BH313" s="16">
        <f t="shared" si="341"/>
        <v>0</v>
      </c>
      <c r="BI313" s="16">
        <f t="shared" si="342"/>
        <v>0</v>
      </c>
      <c r="BJ313" s="16">
        <f t="shared" si="343"/>
        <v>0</v>
      </c>
    </row>
    <row r="314" spans="1:62" x14ac:dyDescent="0.2">
      <c r="A314" s="4" t="s">
        <v>257</v>
      </c>
      <c r="B314" s="4" t="s">
        <v>796</v>
      </c>
      <c r="C314" s="131" t="s">
        <v>1373</v>
      </c>
      <c r="D314" s="132"/>
      <c r="E314" s="132"/>
      <c r="F314" s="4" t="s">
        <v>1670</v>
      </c>
      <c r="G314" s="68">
        <v>1</v>
      </c>
      <c r="H314" s="162">
        <v>0</v>
      </c>
      <c r="I314" s="16">
        <f t="shared" si="320"/>
        <v>0</v>
      </c>
      <c r="J314" s="16">
        <f t="shared" si="321"/>
        <v>0</v>
      </c>
      <c r="K314" s="16">
        <f t="shared" si="322"/>
        <v>0</v>
      </c>
      <c r="L314" s="27"/>
      <c r="Z314" s="33">
        <f t="shared" si="323"/>
        <v>0</v>
      </c>
      <c r="AB314" s="33">
        <f t="shared" si="324"/>
        <v>0</v>
      </c>
      <c r="AC314" s="33">
        <f t="shared" si="325"/>
        <v>0</v>
      </c>
      <c r="AD314" s="33">
        <f t="shared" si="326"/>
        <v>0</v>
      </c>
      <c r="AE314" s="33">
        <f t="shared" si="327"/>
        <v>0</v>
      </c>
      <c r="AF314" s="33">
        <f t="shared" si="328"/>
        <v>0</v>
      </c>
      <c r="AG314" s="33">
        <f t="shared" si="329"/>
        <v>0</v>
      </c>
      <c r="AH314" s="33">
        <f t="shared" si="330"/>
        <v>0</v>
      </c>
      <c r="AI314" s="28"/>
      <c r="AJ314" s="16">
        <f t="shared" si="331"/>
        <v>0</v>
      </c>
      <c r="AK314" s="16">
        <f t="shared" si="332"/>
        <v>0</v>
      </c>
      <c r="AL314" s="16">
        <f t="shared" si="333"/>
        <v>0</v>
      </c>
      <c r="AN314" s="33">
        <v>21</v>
      </c>
      <c r="AO314" s="33">
        <f t="shared" si="334"/>
        <v>0</v>
      </c>
      <c r="AP314" s="33">
        <f t="shared" si="335"/>
        <v>0</v>
      </c>
      <c r="AQ314" s="27" t="s">
        <v>13</v>
      </c>
      <c r="AV314" s="33">
        <f t="shared" si="336"/>
        <v>0</v>
      </c>
      <c r="AW314" s="33">
        <f t="shared" si="337"/>
        <v>0</v>
      </c>
      <c r="AX314" s="33">
        <f t="shared" si="338"/>
        <v>0</v>
      </c>
      <c r="AY314" s="34" t="s">
        <v>1727</v>
      </c>
      <c r="AZ314" s="34" t="s">
        <v>1747</v>
      </c>
      <c r="BA314" s="28" t="s">
        <v>1752</v>
      </c>
      <c r="BC314" s="33">
        <f t="shared" si="339"/>
        <v>0</v>
      </c>
      <c r="BD314" s="33">
        <f t="shared" si="340"/>
        <v>0</v>
      </c>
      <c r="BE314" s="33">
        <v>0</v>
      </c>
      <c r="BF314" s="33">
        <f>314</f>
        <v>314</v>
      </c>
      <c r="BH314" s="16">
        <f t="shared" si="341"/>
        <v>0</v>
      </c>
      <c r="BI314" s="16">
        <f t="shared" si="342"/>
        <v>0</v>
      </c>
      <c r="BJ314" s="16">
        <f t="shared" si="343"/>
        <v>0</v>
      </c>
    </row>
    <row r="315" spans="1:62" x14ac:dyDescent="0.2">
      <c r="A315" s="4" t="s">
        <v>258</v>
      </c>
      <c r="B315" s="4" t="s">
        <v>797</v>
      </c>
      <c r="C315" s="131" t="s">
        <v>1374</v>
      </c>
      <c r="D315" s="132"/>
      <c r="E315" s="132"/>
      <c r="F315" s="4" t="s">
        <v>1670</v>
      </c>
      <c r="G315" s="68">
        <v>1</v>
      </c>
      <c r="H315" s="162">
        <v>0</v>
      </c>
      <c r="I315" s="16">
        <f t="shared" si="320"/>
        <v>0</v>
      </c>
      <c r="J315" s="16">
        <f t="shared" si="321"/>
        <v>0</v>
      </c>
      <c r="K315" s="16">
        <f t="shared" si="322"/>
        <v>0</v>
      </c>
      <c r="L315" s="27"/>
      <c r="Z315" s="33">
        <f t="shared" si="323"/>
        <v>0</v>
      </c>
      <c r="AB315" s="33">
        <f t="shared" si="324"/>
        <v>0</v>
      </c>
      <c r="AC315" s="33">
        <f t="shared" si="325"/>
        <v>0</v>
      </c>
      <c r="AD315" s="33">
        <f t="shared" si="326"/>
        <v>0</v>
      </c>
      <c r="AE315" s="33">
        <f t="shared" si="327"/>
        <v>0</v>
      </c>
      <c r="AF315" s="33">
        <f t="shared" si="328"/>
        <v>0</v>
      </c>
      <c r="AG315" s="33">
        <f t="shared" si="329"/>
        <v>0</v>
      </c>
      <c r="AH315" s="33">
        <f t="shared" si="330"/>
        <v>0</v>
      </c>
      <c r="AI315" s="28"/>
      <c r="AJ315" s="16">
        <f t="shared" si="331"/>
        <v>0</v>
      </c>
      <c r="AK315" s="16">
        <f t="shared" si="332"/>
        <v>0</v>
      </c>
      <c r="AL315" s="16">
        <f t="shared" si="333"/>
        <v>0</v>
      </c>
      <c r="AN315" s="33">
        <v>21</v>
      </c>
      <c r="AO315" s="33">
        <f t="shared" si="334"/>
        <v>0</v>
      </c>
      <c r="AP315" s="33">
        <f t="shared" si="335"/>
        <v>0</v>
      </c>
      <c r="AQ315" s="27" t="s">
        <v>13</v>
      </c>
      <c r="AV315" s="33">
        <f t="shared" si="336"/>
        <v>0</v>
      </c>
      <c r="AW315" s="33">
        <f t="shared" si="337"/>
        <v>0</v>
      </c>
      <c r="AX315" s="33">
        <f t="shared" si="338"/>
        <v>0</v>
      </c>
      <c r="AY315" s="34" t="s">
        <v>1727</v>
      </c>
      <c r="AZ315" s="34" t="s">
        <v>1747</v>
      </c>
      <c r="BA315" s="28" t="s">
        <v>1752</v>
      </c>
      <c r="BC315" s="33">
        <f t="shared" si="339"/>
        <v>0</v>
      </c>
      <c r="BD315" s="33">
        <f t="shared" si="340"/>
        <v>0</v>
      </c>
      <c r="BE315" s="33">
        <v>0</v>
      </c>
      <c r="BF315" s="33">
        <f>315</f>
        <v>315</v>
      </c>
      <c r="BH315" s="16">
        <f t="shared" si="341"/>
        <v>0</v>
      </c>
      <c r="BI315" s="16">
        <f t="shared" si="342"/>
        <v>0</v>
      </c>
      <c r="BJ315" s="16">
        <f t="shared" si="343"/>
        <v>0</v>
      </c>
    </row>
    <row r="316" spans="1:62" x14ac:dyDescent="0.2">
      <c r="A316" s="4" t="s">
        <v>259</v>
      </c>
      <c r="B316" s="4" t="s">
        <v>798</v>
      </c>
      <c r="C316" s="131" t="s">
        <v>1375</v>
      </c>
      <c r="D316" s="132"/>
      <c r="E316" s="132"/>
      <c r="F316" s="4" t="s">
        <v>1670</v>
      </c>
      <c r="G316" s="68">
        <v>1</v>
      </c>
      <c r="H316" s="162">
        <v>0</v>
      </c>
      <c r="I316" s="16">
        <f t="shared" si="320"/>
        <v>0</v>
      </c>
      <c r="J316" s="16">
        <f t="shared" si="321"/>
        <v>0</v>
      </c>
      <c r="K316" s="16">
        <f t="shared" si="322"/>
        <v>0</v>
      </c>
      <c r="L316" s="27"/>
      <c r="Z316" s="33">
        <f t="shared" si="323"/>
        <v>0</v>
      </c>
      <c r="AB316" s="33">
        <f t="shared" si="324"/>
        <v>0</v>
      </c>
      <c r="AC316" s="33">
        <f t="shared" si="325"/>
        <v>0</v>
      </c>
      <c r="AD316" s="33">
        <f t="shared" si="326"/>
        <v>0</v>
      </c>
      <c r="AE316" s="33">
        <f t="shared" si="327"/>
        <v>0</v>
      </c>
      <c r="AF316" s="33">
        <f t="shared" si="328"/>
        <v>0</v>
      </c>
      <c r="AG316" s="33">
        <f t="shared" si="329"/>
        <v>0</v>
      </c>
      <c r="AH316" s="33">
        <f t="shared" si="330"/>
        <v>0</v>
      </c>
      <c r="AI316" s="28"/>
      <c r="AJ316" s="16">
        <f t="shared" si="331"/>
        <v>0</v>
      </c>
      <c r="AK316" s="16">
        <f t="shared" si="332"/>
        <v>0</v>
      </c>
      <c r="AL316" s="16">
        <f t="shared" si="333"/>
        <v>0</v>
      </c>
      <c r="AN316" s="33">
        <v>21</v>
      </c>
      <c r="AO316" s="33">
        <f t="shared" si="334"/>
        <v>0</v>
      </c>
      <c r="AP316" s="33">
        <f t="shared" si="335"/>
        <v>0</v>
      </c>
      <c r="AQ316" s="27" t="s">
        <v>13</v>
      </c>
      <c r="AV316" s="33">
        <f t="shared" si="336"/>
        <v>0</v>
      </c>
      <c r="AW316" s="33">
        <f t="shared" si="337"/>
        <v>0</v>
      </c>
      <c r="AX316" s="33">
        <f t="shared" si="338"/>
        <v>0</v>
      </c>
      <c r="AY316" s="34" t="s">
        <v>1727</v>
      </c>
      <c r="AZ316" s="34" t="s">
        <v>1747</v>
      </c>
      <c r="BA316" s="28" t="s">
        <v>1752</v>
      </c>
      <c r="BC316" s="33">
        <f t="shared" si="339"/>
        <v>0</v>
      </c>
      <c r="BD316" s="33">
        <f t="shared" si="340"/>
        <v>0</v>
      </c>
      <c r="BE316" s="33">
        <v>0</v>
      </c>
      <c r="BF316" s="33">
        <f>316</f>
        <v>316</v>
      </c>
      <c r="BH316" s="16">
        <f t="shared" si="341"/>
        <v>0</v>
      </c>
      <c r="BI316" s="16">
        <f t="shared" si="342"/>
        <v>0</v>
      </c>
      <c r="BJ316" s="16">
        <f t="shared" si="343"/>
        <v>0</v>
      </c>
    </row>
    <row r="317" spans="1:62" x14ac:dyDescent="0.2">
      <c r="A317" s="5"/>
      <c r="B317" s="13" t="s">
        <v>799</v>
      </c>
      <c r="C317" s="136" t="s">
        <v>1376</v>
      </c>
      <c r="D317" s="137"/>
      <c r="E317" s="137"/>
      <c r="F317" s="5" t="s">
        <v>6</v>
      </c>
      <c r="G317" s="5" t="s">
        <v>6</v>
      </c>
      <c r="H317" s="163" t="s">
        <v>6</v>
      </c>
      <c r="I317" s="36">
        <f>SUM(I318:I351)</f>
        <v>0</v>
      </c>
      <c r="J317" s="36">
        <f>SUM(J318:J351)</f>
        <v>0</v>
      </c>
      <c r="K317" s="36">
        <f>SUM(K318:K351)</f>
        <v>0</v>
      </c>
      <c r="L317" s="28"/>
      <c r="AI317" s="28"/>
      <c r="AS317" s="36">
        <f>SUM(AJ318:AJ351)</f>
        <v>0</v>
      </c>
      <c r="AT317" s="36">
        <f>SUM(AK318:AK351)</f>
        <v>0</v>
      </c>
      <c r="AU317" s="36">
        <f>SUM(AL318:AL351)</f>
        <v>0</v>
      </c>
    </row>
    <row r="318" spans="1:62" x14ac:dyDescent="0.2">
      <c r="A318" s="4" t="s">
        <v>260</v>
      </c>
      <c r="B318" s="4" t="s">
        <v>800</v>
      </c>
      <c r="C318" s="131" t="s">
        <v>1377</v>
      </c>
      <c r="D318" s="132"/>
      <c r="E318" s="132"/>
      <c r="F318" s="4" t="s">
        <v>1666</v>
      </c>
      <c r="G318" s="68">
        <v>96</v>
      </c>
      <c r="H318" s="162">
        <v>0</v>
      </c>
      <c r="I318" s="16">
        <f>G318*AO318</f>
        <v>0</v>
      </c>
      <c r="J318" s="16">
        <f>G318*AP318</f>
        <v>0</v>
      </c>
      <c r="K318" s="16">
        <f>G318*H318</f>
        <v>0</v>
      </c>
      <c r="L318" s="27"/>
      <c r="Z318" s="33">
        <f>IF(AQ318="5",BJ318,0)</f>
        <v>0</v>
      </c>
      <c r="AB318" s="33">
        <f>IF(AQ318="1",BH318,0)</f>
        <v>0</v>
      </c>
      <c r="AC318" s="33">
        <f>IF(AQ318="1",BI318,0)</f>
        <v>0</v>
      </c>
      <c r="AD318" s="33">
        <f>IF(AQ318="7",BH318,0)</f>
        <v>0</v>
      </c>
      <c r="AE318" s="33">
        <f>IF(AQ318="7",BI318,0)</f>
        <v>0</v>
      </c>
      <c r="AF318" s="33">
        <f>IF(AQ318="2",BH318,0)</f>
        <v>0</v>
      </c>
      <c r="AG318" s="33">
        <f>IF(AQ318="2",BI318,0)</f>
        <v>0</v>
      </c>
      <c r="AH318" s="33">
        <f>IF(AQ318="0",BJ318,0)</f>
        <v>0</v>
      </c>
      <c r="AI318" s="28"/>
      <c r="AJ318" s="16">
        <f>IF(AN318=0,K318,0)</f>
        <v>0</v>
      </c>
      <c r="AK318" s="16">
        <f>IF(AN318=15,K318,0)</f>
        <v>0</v>
      </c>
      <c r="AL318" s="16">
        <f>IF(AN318=21,K318,0)</f>
        <v>0</v>
      </c>
      <c r="AN318" s="33">
        <v>21</v>
      </c>
      <c r="AO318" s="33">
        <f>H318*0</f>
        <v>0</v>
      </c>
      <c r="AP318" s="33">
        <f>H318*(1-0)</f>
        <v>0</v>
      </c>
      <c r="AQ318" s="27" t="s">
        <v>13</v>
      </c>
      <c r="AV318" s="33">
        <f>AW318+AX318</f>
        <v>0</v>
      </c>
      <c r="AW318" s="33">
        <f>G318*AO318</f>
        <v>0</v>
      </c>
      <c r="AX318" s="33">
        <f>G318*AP318</f>
        <v>0</v>
      </c>
      <c r="AY318" s="34" t="s">
        <v>1728</v>
      </c>
      <c r="AZ318" s="34" t="s">
        <v>1748</v>
      </c>
      <c r="BA318" s="28" t="s">
        <v>1752</v>
      </c>
      <c r="BC318" s="33">
        <f>AW318+AX318</f>
        <v>0</v>
      </c>
      <c r="BD318" s="33">
        <f>H318/(100-BE318)*100</f>
        <v>0</v>
      </c>
      <c r="BE318" s="33">
        <v>0</v>
      </c>
      <c r="BF318" s="33">
        <f>318</f>
        <v>318</v>
      </c>
      <c r="BH318" s="16">
        <f>G318*AO318</f>
        <v>0</v>
      </c>
      <c r="BI318" s="16">
        <f>G318*AP318</f>
        <v>0</v>
      </c>
      <c r="BJ318" s="16">
        <f>G318*H318</f>
        <v>0</v>
      </c>
    </row>
    <row r="319" spans="1:62" x14ac:dyDescent="0.2">
      <c r="C319" s="140" t="s">
        <v>1378</v>
      </c>
      <c r="D319" s="141"/>
      <c r="E319" s="141"/>
      <c r="H319" s="164"/>
    </row>
    <row r="320" spans="1:62" x14ac:dyDescent="0.2">
      <c r="A320" s="4" t="s">
        <v>261</v>
      </c>
      <c r="B320" s="4" t="s">
        <v>801</v>
      </c>
      <c r="C320" s="131" t="s">
        <v>1379</v>
      </c>
      <c r="D320" s="132"/>
      <c r="E320" s="132"/>
      <c r="F320" s="4" t="s">
        <v>1665</v>
      </c>
      <c r="G320" s="68">
        <v>50</v>
      </c>
      <c r="H320" s="162">
        <v>0</v>
      </c>
      <c r="I320" s="16">
        <f>G320*AO320</f>
        <v>0</v>
      </c>
      <c r="J320" s="16">
        <f>G320*AP320</f>
        <v>0</v>
      </c>
      <c r="K320" s="16">
        <f>G320*H320</f>
        <v>0</v>
      </c>
      <c r="L320" s="27"/>
      <c r="Z320" s="33">
        <f>IF(AQ320="5",BJ320,0)</f>
        <v>0</v>
      </c>
      <c r="AB320" s="33">
        <f>IF(AQ320="1",BH320,0)</f>
        <v>0</v>
      </c>
      <c r="AC320" s="33">
        <f>IF(AQ320="1",BI320,0)</f>
        <v>0</v>
      </c>
      <c r="AD320" s="33">
        <f>IF(AQ320="7",BH320,0)</f>
        <v>0</v>
      </c>
      <c r="AE320" s="33">
        <f>IF(AQ320="7",BI320,0)</f>
        <v>0</v>
      </c>
      <c r="AF320" s="33">
        <f>IF(AQ320="2",BH320,0)</f>
        <v>0</v>
      </c>
      <c r="AG320" s="33">
        <f>IF(AQ320="2",BI320,0)</f>
        <v>0</v>
      </c>
      <c r="AH320" s="33">
        <f>IF(AQ320="0",BJ320,0)</f>
        <v>0</v>
      </c>
      <c r="AI320" s="28"/>
      <c r="AJ320" s="16">
        <f>IF(AN320=0,K320,0)</f>
        <v>0</v>
      </c>
      <c r="AK320" s="16">
        <f>IF(AN320=15,K320,0)</f>
        <v>0</v>
      </c>
      <c r="AL320" s="16">
        <f>IF(AN320=21,K320,0)</f>
        <v>0</v>
      </c>
      <c r="AN320" s="33">
        <v>21</v>
      </c>
      <c r="AO320" s="33">
        <f>H320*0</f>
        <v>0</v>
      </c>
      <c r="AP320" s="33">
        <f>H320*(1-0)</f>
        <v>0</v>
      </c>
      <c r="AQ320" s="27" t="s">
        <v>13</v>
      </c>
      <c r="AV320" s="33">
        <f>AW320+AX320</f>
        <v>0</v>
      </c>
      <c r="AW320" s="33">
        <f>G320*AO320</f>
        <v>0</v>
      </c>
      <c r="AX320" s="33">
        <f>G320*AP320</f>
        <v>0</v>
      </c>
      <c r="AY320" s="34" t="s">
        <v>1728</v>
      </c>
      <c r="AZ320" s="34" t="s">
        <v>1748</v>
      </c>
      <c r="BA320" s="28" t="s">
        <v>1752</v>
      </c>
      <c r="BC320" s="33">
        <f>AW320+AX320</f>
        <v>0</v>
      </c>
      <c r="BD320" s="33">
        <f>H320/(100-BE320)*100</f>
        <v>0</v>
      </c>
      <c r="BE320" s="33">
        <v>0</v>
      </c>
      <c r="BF320" s="33">
        <f>320</f>
        <v>320</v>
      </c>
      <c r="BH320" s="16">
        <f>G320*AO320</f>
        <v>0</v>
      </c>
      <c r="BI320" s="16">
        <f>G320*AP320</f>
        <v>0</v>
      </c>
      <c r="BJ320" s="16">
        <f>G320*H320</f>
        <v>0</v>
      </c>
    </row>
    <row r="321" spans="1:62" x14ac:dyDescent="0.2">
      <c r="A321" s="4" t="s">
        <v>262</v>
      </c>
      <c r="B321" s="4" t="s">
        <v>802</v>
      </c>
      <c r="C321" s="131" t="s">
        <v>1380</v>
      </c>
      <c r="D321" s="132"/>
      <c r="E321" s="132"/>
      <c r="F321" s="4" t="s">
        <v>1665</v>
      </c>
      <c r="G321" s="68">
        <v>4</v>
      </c>
      <c r="H321" s="162">
        <v>0</v>
      </c>
      <c r="I321" s="16">
        <f>G321*AO321</f>
        <v>0</v>
      </c>
      <c r="J321" s="16">
        <f>G321*AP321</f>
        <v>0</v>
      </c>
      <c r="K321" s="16">
        <f>G321*H321</f>
        <v>0</v>
      </c>
      <c r="L321" s="27"/>
      <c r="Z321" s="33">
        <f>IF(AQ321="5",BJ321,0)</f>
        <v>0</v>
      </c>
      <c r="AB321" s="33">
        <f>IF(AQ321="1",BH321,0)</f>
        <v>0</v>
      </c>
      <c r="AC321" s="33">
        <f>IF(AQ321="1",BI321,0)</f>
        <v>0</v>
      </c>
      <c r="AD321" s="33">
        <f>IF(AQ321="7",BH321,0)</f>
        <v>0</v>
      </c>
      <c r="AE321" s="33">
        <f>IF(AQ321="7",BI321,0)</f>
        <v>0</v>
      </c>
      <c r="AF321" s="33">
        <f>IF(AQ321="2",BH321,0)</f>
        <v>0</v>
      </c>
      <c r="AG321" s="33">
        <f>IF(AQ321="2",BI321,0)</f>
        <v>0</v>
      </c>
      <c r="AH321" s="33">
        <f>IF(AQ321="0",BJ321,0)</f>
        <v>0</v>
      </c>
      <c r="AI321" s="28"/>
      <c r="AJ321" s="16">
        <f>IF(AN321=0,K321,0)</f>
        <v>0</v>
      </c>
      <c r="AK321" s="16">
        <f>IF(AN321=15,K321,0)</f>
        <v>0</v>
      </c>
      <c r="AL321" s="16">
        <f>IF(AN321=21,K321,0)</f>
        <v>0</v>
      </c>
      <c r="AN321" s="33">
        <v>21</v>
      </c>
      <c r="AO321" s="33">
        <f>H321*0</f>
        <v>0</v>
      </c>
      <c r="AP321" s="33">
        <f>H321*(1-0)</f>
        <v>0</v>
      </c>
      <c r="AQ321" s="27" t="s">
        <v>13</v>
      </c>
      <c r="AV321" s="33">
        <f>AW321+AX321</f>
        <v>0</v>
      </c>
      <c r="AW321" s="33">
        <f>G321*AO321</f>
        <v>0</v>
      </c>
      <c r="AX321" s="33">
        <f>G321*AP321</f>
        <v>0</v>
      </c>
      <c r="AY321" s="34" t="s">
        <v>1728</v>
      </c>
      <c r="AZ321" s="34" t="s">
        <v>1748</v>
      </c>
      <c r="BA321" s="28" t="s">
        <v>1752</v>
      </c>
      <c r="BC321" s="33">
        <f>AW321+AX321</f>
        <v>0</v>
      </c>
      <c r="BD321" s="33">
        <f>H321/(100-BE321)*100</f>
        <v>0</v>
      </c>
      <c r="BE321" s="33">
        <v>0</v>
      </c>
      <c r="BF321" s="33">
        <f>321</f>
        <v>321</v>
      </c>
      <c r="BH321" s="16">
        <f>G321*AO321</f>
        <v>0</v>
      </c>
      <c r="BI321" s="16">
        <f>G321*AP321</f>
        <v>0</v>
      </c>
      <c r="BJ321" s="16">
        <f>G321*H321</f>
        <v>0</v>
      </c>
    </row>
    <row r="322" spans="1:62" x14ac:dyDescent="0.2">
      <c r="A322" s="4" t="s">
        <v>263</v>
      </c>
      <c r="B322" s="4" t="s">
        <v>803</v>
      </c>
      <c r="C322" s="131" t="s">
        <v>1381</v>
      </c>
      <c r="D322" s="132"/>
      <c r="E322" s="132"/>
      <c r="F322" s="4" t="s">
        <v>1665</v>
      </c>
      <c r="G322" s="68">
        <v>1</v>
      </c>
      <c r="H322" s="162">
        <v>0</v>
      </c>
      <c r="I322" s="16">
        <f>G322*AO322</f>
        <v>0</v>
      </c>
      <c r="J322" s="16">
        <f>G322*AP322</f>
        <v>0</v>
      </c>
      <c r="K322" s="16">
        <f>G322*H322</f>
        <v>0</v>
      </c>
      <c r="L322" s="27"/>
      <c r="Z322" s="33">
        <f>IF(AQ322="5",BJ322,0)</f>
        <v>0</v>
      </c>
      <c r="AB322" s="33">
        <f>IF(AQ322="1",BH322,0)</f>
        <v>0</v>
      </c>
      <c r="AC322" s="33">
        <f>IF(AQ322="1",BI322,0)</f>
        <v>0</v>
      </c>
      <c r="AD322" s="33">
        <f>IF(AQ322="7",BH322,0)</f>
        <v>0</v>
      </c>
      <c r="AE322" s="33">
        <f>IF(AQ322="7",BI322,0)</f>
        <v>0</v>
      </c>
      <c r="AF322" s="33">
        <f>IF(AQ322="2",BH322,0)</f>
        <v>0</v>
      </c>
      <c r="AG322" s="33">
        <f>IF(AQ322="2",BI322,0)</f>
        <v>0</v>
      </c>
      <c r="AH322" s="33">
        <f>IF(AQ322="0",BJ322,0)</f>
        <v>0</v>
      </c>
      <c r="AI322" s="28"/>
      <c r="AJ322" s="16">
        <f>IF(AN322=0,K322,0)</f>
        <v>0</v>
      </c>
      <c r="AK322" s="16">
        <f>IF(AN322=15,K322,0)</f>
        <v>0</v>
      </c>
      <c r="AL322" s="16">
        <f>IF(AN322=21,K322,0)</f>
        <v>0</v>
      </c>
      <c r="AN322" s="33">
        <v>21</v>
      </c>
      <c r="AO322" s="33">
        <f>H322*0</f>
        <v>0</v>
      </c>
      <c r="AP322" s="33">
        <f>H322*(1-0)</f>
        <v>0</v>
      </c>
      <c r="AQ322" s="27" t="s">
        <v>13</v>
      </c>
      <c r="AV322" s="33">
        <f>AW322+AX322</f>
        <v>0</v>
      </c>
      <c r="AW322" s="33">
        <f>G322*AO322</f>
        <v>0</v>
      </c>
      <c r="AX322" s="33">
        <f>G322*AP322</f>
        <v>0</v>
      </c>
      <c r="AY322" s="34" t="s">
        <v>1728</v>
      </c>
      <c r="AZ322" s="34" t="s">
        <v>1748</v>
      </c>
      <c r="BA322" s="28" t="s">
        <v>1752</v>
      </c>
      <c r="BC322" s="33">
        <f>AW322+AX322</f>
        <v>0</v>
      </c>
      <c r="BD322" s="33">
        <f>H322/(100-BE322)*100</f>
        <v>0</v>
      </c>
      <c r="BE322" s="33">
        <v>0</v>
      </c>
      <c r="BF322" s="33">
        <f>322</f>
        <v>322</v>
      </c>
      <c r="BH322" s="16">
        <f>G322*AO322</f>
        <v>0</v>
      </c>
      <c r="BI322" s="16">
        <f>G322*AP322</f>
        <v>0</v>
      </c>
      <c r="BJ322" s="16">
        <f>G322*H322</f>
        <v>0</v>
      </c>
    </row>
    <row r="323" spans="1:62" x14ac:dyDescent="0.2">
      <c r="A323" s="4" t="s">
        <v>264</v>
      </c>
      <c r="B323" s="4" t="s">
        <v>804</v>
      </c>
      <c r="C323" s="131" t="s">
        <v>1382</v>
      </c>
      <c r="D323" s="132"/>
      <c r="E323" s="132"/>
      <c r="F323" s="4" t="s">
        <v>1666</v>
      </c>
      <c r="G323" s="68">
        <v>12</v>
      </c>
      <c r="H323" s="162">
        <v>0</v>
      </c>
      <c r="I323" s="16">
        <f>G323*AO323</f>
        <v>0</v>
      </c>
      <c r="J323" s="16">
        <f>G323*AP323</f>
        <v>0</v>
      </c>
      <c r="K323" s="16">
        <f>G323*H323</f>
        <v>0</v>
      </c>
      <c r="L323" s="27"/>
      <c r="Z323" s="33">
        <f>IF(AQ323="5",BJ323,0)</f>
        <v>0</v>
      </c>
      <c r="AB323" s="33">
        <f>IF(AQ323="1",BH323,0)</f>
        <v>0</v>
      </c>
      <c r="AC323" s="33">
        <f>IF(AQ323="1",BI323,0)</f>
        <v>0</v>
      </c>
      <c r="AD323" s="33">
        <f>IF(AQ323="7",BH323,0)</f>
        <v>0</v>
      </c>
      <c r="AE323" s="33">
        <f>IF(AQ323="7",BI323,0)</f>
        <v>0</v>
      </c>
      <c r="AF323" s="33">
        <f>IF(AQ323="2",BH323,0)</f>
        <v>0</v>
      </c>
      <c r="AG323" s="33">
        <f>IF(AQ323="2",BI323,0)</f>
        <v>0</v>
      </c>
      <c r="AH323" s="33">
        <f>IF(AQ323="0",BJ323,0)</f>
        <v>0</v>
      </c>
      <c r="AI323" s="28"/>
      <c r="AJ323" s="16">
        <f>IF(AN323=0,K323,0)</f>
        <v>0</v>
      </c>
      <c r="AK323" s="16">
        <f>IF(AN323=15,K323,0)</f>
        <v>0</v>
      </c>
      <c r="AL323" s="16">
        <f>IF(AN323=21,K323,0)</f>
        <v>0</v>
      </c>
      <c r="AN323" s="33">
        <v>21</v>
      </c>
      <c r="AO323" s="33">
        <f>H323*0</f>
        <v>0</v>
      </c>
      <c r="AP323" s="33">
        <f>H323*(1-0)</f>
        <v>0</v>
      </c>
      <c r="AQ323" s="27" t="s">
        <v>13</v>
      </c>
      <c r="AV323" s="33">
        <f>AW323+AX323</f>
        <v>0</v>
      </c>
      <c r="AW323" s="33">
        <f>G323*AO323</f>
        <v>0</v>
      </c>
      <c r="AX323" s="33">
        <f>G323*AP323</f>
        <v>0</v>
      </c>
      <c r="AY323" s="34" t="s">
        <v>1728</v>
      </c>
      <c r="AZ323" s="34" t="s">
        <v>1748</v>
      </c>
      <c r="BA323" s="28" t="s">
        <v>1752</v>
      </c>
      <c r="BC323" s="33">
        <f>AW323+AX323</f>
        <v>0</v>
      </c>
      <c r="BD323" s="33">
        <f>H323/(100-BE323)*100</f>
        <v>0</v>
      </c>
      <c r="BE323" s="33">
        <v>0</v>
      </c>
      <c r="BF323" s="33">
        <f>323</f>
        <v>323</v>
      </c>
      <c r="BH323" s="16">
        <f>G323*AO323</f>
        <v>0</v>
      </c>
      <c r="BI323" s="16">
        <f>G323*AP323</f>
        <v>0</v>
      </c>
      <c r="BJ323" s="16">
        <f>G323*H323</f>
        <v>0</v>
      </c>
    </row>
    <row r="324" spans="1:62" x14ac:dyDescent="0.2">
      <c r="C324" s="140" t="s">
        <v>1383</v>
      </c>
      <c r="D324" s="141"/>
      <c r="E324" s="141"/>
      <c r="H324" s="164"/>
    </row>
    <row r="325" spans="1:62" x14ac:dyDescent="0.2">
      <c r="A325" s="4" t="s">
        <v>265</v>
      </c>
      <c r="B325" s="4" t="s">
        <v>805</v>
      </c>
      <c r="C325" s="131" t="s">
        <v>1384</v>
      </c>
      <c r="D325" s="132"/>
      <c r="E325" s="132"/>
      <c r="F325" s="4" t="s">
        <v>1666</v>
      </c>
      <c r="G325" s="68">
        <v>41.5</v>
      </c>
      <c r="H325" s="162">
        <v>0</v>
      </c>
      <c r="I325" s="16">
        <f t="shared" ref="I325:I331" si="344">G325*AO325</f>
        <v>0</v>
      </c>
      <c r="J325" s="16">
        <f t="shared" ref="J325:J331" si="345">G325*AP325</f>
        <v>0</v>
      </c>
      <c r="K325" s="16">
        <f t="shared" ref="K325:K331" si="346">G325*H325</f>
        <v>0</v>
      </c>
      <c r="L325" s="27"/>
      <c r="Z325" s="33">
        <f t="shared" ref="Z325:Z331" si="347">IF(AQ325="5",BJ325,0)</f>
        <v>0</v>
      </c>
      <c r="AB325" s="33">
        <f t="shared" ref="AB325:AB331" si="348">IF(AQ325="1",BH325,0)</f>
        <v>0</v>
      </c>
      <c r="AC325" s="33">
        <f t="shared" ref="AC325:AC331" si="349">IF(AQ325="1",BI325,0)</f>
        <v>0</v>
      </c>
      <c r="AD325" s="33">
        <f t="shared" ref="AD325:AD331" si="350">IF(AQ325="7",BH325,0)</f>
        <v>0</v>
      </c>
      <c r="AE325" s="33">
        <f t="shared" ref="AE325:AE331" si="351">IF(AQ325="7",BI325,0)</f>
        <v>0</v>
      </c>
      <c r="AF325" s="33">
        <f t="shared" ref="AF325:AF331" si="352">IF(AQ325="2",BH325,0)</f>
        <v>0</v>
      </c>
      <c r="AG325" s="33">
        <f t="shared" ref="AG325:AG331" si="353">IF(AQ325="2",BI325,0)</f>
        <v>0</v>
      </c>
      <c r="AH325" s="33">
        <f t="shared" ref="AH325:AH331" si="354">IF(AQ325="0",BJ325,0)</f>
        <v>0</v>
      </c>
      <c r="AI325" s="28"/>
      <c r="AJ325" s="16">
        <f t="shared" ref="AJ325:AJ331" si="355">IF(AN325=0,K325,0)</f>
        <v>0</v>
      </c>
      <c r="AK325" s="16">
        <f t="shared" ref="AK325:AK331" si="356">IF(AN325=15,K325,0)</f>
        <v>0</v>
      </c>
      <c r="AL325" s="16">
        <f t="shared" ref="AL325:AL331" si="357">IF(AN325=21,K325,0)</f>
        <v>0</v>
      </c>
      <c r="AN325" s="33">
        <v>21</v>
      </c>
      <c r="AO325" s="33">
        <f t="shared" ref="AO325:AO331" si="358">H325*0</f>
        <v>0</v>
      </c>
      <c r="AP325" s="33">
        <f t="shared" ref="AP325:AP331" si="359">H325*(1-0)</f>
        <v>0</v>
      </c>
      <c r="AQ325" s="27" t="s">
        <v>13</v>
      </c>
      <c r="AV325" s="33">
        <f t="shared" ref="AV325:AV331" si="360">AW325+AX325</f>
        <v>0</v>
      </c>
      <c r="AW325" s="33">
        <f t="shared" ref="AW325:AW331" si="361">G325*AO325</f>
        <v>0</v>
      </c>
      <c r="AX325" s="33">
        <f t="shared" ref="AX325:AX331" si="362">G325*AP325</f>
        <v>0</v>
      </c>
      <c r="AY325" s="34" t="s">
        <v>1728</v>
      </c>
      <c r="AZ325" s="34" t="s">
        <v>1748</v>
      </c>
      <c r="BA325" s="28" t="s">
        <v>1752</v>
      </c>
      <c r="BC325" s="33">
        <f t="shared" ref="BC325:BC331" si="363">AW325+AX325</f>
        <v>0</v>
      </c>
      <c r="BD325" s="33">
        <f t="shared" ref="BD325:BD331" si="364">H325/(100-BE325)*100</f>
        <v>0</v>
      </c>
      <c r="BE325" s="33">
        <v>0</v>
      </c>
      <c r="BF325" s="33">
        <f>325</f>
        <v>325</v>
      </c>
      <c r="BH325" s="16">
        <f t="shared" ref="BH325:BH331" si="365">G325*AO325</f>
        <v>0</v>
      </c>
      <c r="BI325" s="16">
        <f t="shared" ref="BI325:BI331" si="366">G325*AP325</f>
        <v>0</v>
      </c>
      <c r="BJ325" s="16">
        <f t="shared" ref="BJ325:BJ331" si="367">G325*H325</f>
        <v>0</v>
      </c>
    </row>
    <row r="326" spans="1:62" x14ac:dyDescent="0.2">
      <c r="A326" s="4" t="s">
        <v>266</v>
      </c>
      <c r="B326" s="4" t="s">
        <v>806</v>
      </c>
      <c r="C326" s="131" t="s">
        <v>1385</v>
      </c>
      <c r="D326" s="132"/>
      <c r="E326" s="132"/>
      <c r="F326" s="4" t="s">
        <v>1666</v>
      </c>
      <c r="G326" s="68">
        <v>77.5</v>
      </c>
      <c r="H326" s="162">
        <v>0</v>
      </c>
      <c r="I326" s="16">
        <f t="shared" si="344"/>
        <v>0</v>
      </c>
      <c r="J326" s="16">
        <f t="shared" si="345"/>
        <v>0</v>
      </c>
      <c r="K326" s="16">
        <f t="shared" si="346"/>
        <v>0</v>
      </c>
      <c r="L326" s="27"/>
      <c r="Z326" s="33">
        <f t="shared" si="347"/>
        <v>0</v>
      </c>
      <c r="AB326" s="33">
        <f t="shared" si="348"/>
        <v>0</v>
      </c>
      <c r="AC326" s="33">
        <f t="shared" si="349"/>
        <v>0</v>
      </c>
      <c r="AD326" s="33">
        <f t="shared" si="350"/>
        <v>0</v>
      </c>
      <c r="AE326" s="33">
        <f t="shared" si="351"/>
        <v>0</v>
      </c>
      <c r="AF326" s="33">
        <f t="shared" si="352"/>
        <v>0</v>
      </c>
      <c r="AG326" s="33">
        <f t="shared" si="353"/>
        <v>0</v>
      </c>
      <c r="AH326" s="33">
        <f t="shared" si="354"/>
        <v>0</v>
      </c>
      <c r="AI326" s="28"/>
      <c r="AJ326" s="16">
        <f t="shared" si="355"/>
        <v>0</v>
      </c>
      <c r="AK326" s="16">
        <f t="shared" si="356"/>
        <v>0</v>
      </c>
      <c r="AL326" s="16">
        <f t="shared" si="357"/>
        <v>0</v>
      </c>
      <c r="AN326" s="33">
        <v>21</v>
      </c>
      <c r="AO326" s="33">
        <f t="shared" si="358"/>
        <v>0</v>
      </c>
      <c r="AP326" s="33">
        <f t="shared" si="359"/>
        <v>0</v>
      </c>
      <c r="AQ326" s="27" t="s">
        <v>13</v>
      </c>
      <c r="AV326" s="33">
        <f t="shared" si="360"/>
        <v>0</v>
      </c>
      <c r="AW326" s="33">
        <f t="shared" si="361"/>
        <v>0</v>
      </c>
      <c r="AX326" s="33">
        <f t="shared" si="362"/>
        <v>0</v>
      </c>
      <c r="AY326" s="34" t="s">
        <v>1728</v>
      </c>
      <c r="AZ326" s="34" t="s">
        <v>1748</v>
      </c>
      <c r="BA326" s="28" t="s">
        <v>1752</v>
      </c>
      <c r="BC326" s="33">
        <f t="shared" si="363"/>
        <v>0</v>
      </c>
      <c r="BD326" s="33">
        <f t="shared" si="364"/>
        <v>0</v>
      </c>
      <c r="BE326" s="33">
        <v>0</v>
      </c>
      <c r="BF326" s="33">
        <f>326</f>
        <v>326</v>
      </c>
      <c r="BH326" s="16">
        <f t="shared" si="365"/>
        <v>0</v>
      </c>
      <c r="BI326" s="16">
        <f t="shared" si="366"/>
        <v>0</v>
      </c>
      <c r="BJ326" s="16">
        <f t="shared" si="367"/>
        <v>0</v>
      </c>
    </row>
    <row r="327" spans="1:62" x14ac:dyDescent="0.2">
      <c r="A327" s="4" t="s">
        <v>267</v>
      </c>
      <c r="B327" s="4" t="s">
        <v>807</v>
      </c>
      <c r="C327" s="131" t="s">
        <v>1386</v>
      </c>
      <c r="D327" s="132"/>
      <c r="E327" s="132"/>
      <c r="F327" s="4" t="s">
        <v>1665</v>
      </c>
      <c r="G327" s="68">
        <v>108</v>
      </c>
      <c r="H327" s="162">
        <v>0</v>
      </c>
      <c r="I327" s="16">
        <f t="shared" si="344"/>
        <v>0</v>
      </c>
      <c r="J327" s="16">
        <f t="shared" si="345"/>
        <v>0</v>
      </c>
      <c r="K327" s="16">
        <f t="shared" si="346"/>
        <v>0</v>
      </c>
      <c r="L327" s="27"/>
      <c r="Z327" s="33">
        <f t="shared" si="347"/>
        <v>0</v>
      </c>
      <c r="AB327" s="33">
        <f t="shared" si="348"/>
        <v>0</v>
      </c>
      <c r="AC327" s="33">
        <f t="shared" si="349"/>
        <v>0</v>
      </c>
      <c r="AD327" s="33">
        <f t="shared" si="350"/>
        <v>0</v>
      </c>
      <c r="AE327" s="33">
        <f t="shared" si="351"/>
        <v>0</v>
      </c>
      <c r="AF327" s="33">
        <f t="shared" si="352"/>
        <v>0</v>
      </c>
      <c r="AG327" s="33">
        <f t="shared" si="353"/>
        <v>0</v>
      </c>
      <c r="AH327" s="33">
        <f t="shared" si="354"/>
        <v>0</v>
      </c>
      <c r="AI327" s="28"/>
      <c r="AJ327" s="16">
        <f t="shared" si="355"/>
        <v>0</v>
      </c>
      <c r="AK327" s="16">
        <f t="shared" si="356"/>
        <v>0</v>
      </c>
      <c r="AL327" s="16">
        <f t="shared" si="357"/>
        <v>0</v>
      </c>
      <c r="AN327" s="33">
        <v>21</v>
      </c>
      <c r="AO327" s="33">
        <f t="shared" si="358"/>
        <v>0</v>
      </c>
      <c r="AP327" s="33">
        <f t="shared" si="359"/>
        <v>0</v>
      </c>
      <c r="AQ327" s="27" t="s">
        <v>13</v>
      </c>
      <c r="AV327" s="33">
        <f t="shared" si="360"/>
        <v>0</v>
      </c>
      <c r="AW327" s="33">
        <f t="shared" si="361"/>
        <v>0</v>
      </c>
      <c r="AX327" s="33">
        <f t="shared" si="362"/>
        <v>0</v>
      </c>
      <c r="AY327" s="34" t="s">
        <v>1728</v>
      </c>
      <c r="AZ327" s="34" t="s">
        <v>1748</v>
      </c>
      <c r="BA327" s="28" t="s">
        <v>1752</v>
      </c>
      <c r="BC327" s="33">
        <f t="shared" si="363"/>
        <v>0</v>
      </c>
      <c r="BD327" s="33">
        <f t="shared" si="364"/>
        <v>0</v>
      </c>
      <c r="BE327" s="33">
        <v>0</v>
      </c>
      <c r="BF327" s="33">
        <f>327</f>
        <v>327</v>
      </c>
      <c r="BH327" s="16">
        <f t="shared" si="365"/>
        <v>0</v>
      </c>
      <c r="BI327" s="16">
        <f t="shared" si="366"/>
        <v>0</v>
      </c>
      <c r="BJ327" s="16">
        <f t="shared" si="367"/>
        <v>0</v>
      </c>
    </row>
    <row r="328" spans="1:62" x14ac:dyDescent="0.2">
      <c r="A328" s="4" t="s">
        <v>268</v>
      </c>
      <c r="B328" s="4" t="s">
        <v>808</v>
      </c>
      <c r="C328" s="131" t="s">
        <v>1387</v>
      </c>
      <c r="D328" s="132"/>
      <c r="E328" s="132"/>
      <c r="F328" s="4" t="s">
        <v>1665</v>
      </c>
      <c r="G328" s="68">
        <v>2</v>
      </c>
      <c r="H328" s="162">
        <v>0</v>
      </c>
      <c r="I328" s="16">
        <f t="shared" si="344"/>
        <v>0</v>
      </c>
      <c r="J328" s="16">
        <f t="shared" si="345"/>
        <v>0</v>
      </c>
      <c r="K328" s="16">
        <f t="shared" si="346"/>
        <v>0</v>
      </c>
      <c r="L328" s="27"/>
      <c r="Z328" s="33">
        <f t="shared" si="347"/>
        <v>0</v>
      </c>
      <c r="AB328" s="33">
        <f t="shared" si="348"/>
        <v>0</v>
      </c>
      <c r="AC328" s="33">
        <f t="shared" si="349"/>
        <v>0</v>
      </c>
      <c r="AD328" s="33">
        <f t="shared" si="350"/>
        <v>0</v>
      </c>
      <c r="AE328" s="33">
        <f t="shared" si="351"/>
        <v>0</v>
      </c>
      <c r="AF328" s="33">
        <f t="shared" si="352"/>
        <v>0</v>
      </c>
      <c r="AG328" s="33">
        <f t="shared" si="353"/>
        <v>0</v>
      </c>
      <c r="AH328" s="33">
        <f t="shared" si="354"/>
        <v>0</v>
      </c>
      <c r="AI328" s="28"/>
      <c r="AJ328" s="16">
        <f t="shared" si="355"/>
        <v>0</v>
      </c>
      <c r="AK328" s="16">
        <f t="shared" si="356"/>
        <v>0</v>
      </c>
      <c r="AL328" s="16">
        <f t="shared" si="357"/>
        <v>0</v>
      </c>
      <c r="AN328" s="33">
        <v>21</v>
      </c>
      <c r="AO328" s="33">
        <f t="shared" si="358"/>
        <v>0</v>
      </c>
      <c r="AP328" s="33">
        <f t="shared" si="359"/>
        <v>0</v>
      </c>
      <c r="AQ328" s="27" t="s">
        <v>13</v>
      </c>
      <c r="AV328" s="33">
        <f t="shared" si="360"/>
        <v>0</v>
      </c>
      <c r="AW328" s="33">
        <f t="shared" si="361"/>
        <v>0</v>
      </c>
      <c r="AX328" s="33">
        <f t="shared" si="362"/>
        <v>0</v>
      </c>
      <c r="AY328" s="34" t="s">
        <v>1728</v>
      </c>
      <c r="AZ328" s="34" t="s">
        <v>1748</v>
      </c>
      <c r="BA328" s="28" t="s">
        <v>1752</v>
      </c>
      <c r="BC328" s="33">
        <f t="shared" si="363"/>
        <v>0</v>
      </c>
      <c r="BD328" s="33">
        <f t="shared" si="364"/>
        <v>0</v>
      </c>
      <c r="BE328" s="33">
        <v>0</v>
      </c>
      <c r="BF328" s="33">
        <f>328</f>
        <v>328</v>
      </c>
      <c r="BH328" s="16">
        <f t="shared" si="365"/>
        <v>0</v>
      </c>
      <c r="BI328" s="16">
        <f t="shared" si="366"/>
        <v>0</v>
      </c>
      <c r="BJ328" s="16">
        <f t="shared" si="367"/>
        <v>0</v>
      </c>
    </row>
    <row r="329" spans="1:62" x14ac:dyDescent="0.2">
      <c r="A329" s="4" t="s">
        <v>269</v>
      </c>
      <c r="B329" s="4" t="s">
        <v>809</v>
      </c>
      <c r="C329" s="131" t="s">
        <v>1388</v>
      </c>
      <c r="D329" s="132"/>
      <c r="E329" s="132"/>
      <c r="F329" s="4" t="s">
        <v>1665</v>
      </c>
      <c r="G329" s="68">
        <v>54</v>
      </c>
      <c r="H329" s="162">
        <v>0</v>
      </c>
      <c r="I329" s="16">
        <f t="shared" si="344"/>
        <v>0</v>
      </c>
      <c r="J329" s="16">
        <f t="shared" si="345"/>
        <v>0</v>
      </c>
      <c r="K329" s="16">
        <f t="shared" si="346"/>
        <v>0</v>
      </c>
      <c r="L329" s="27"/>
      <c r="Z329" s="33">
        <f t="shared" si="347"/>
        <v>0</v>
      </c>
      <c r="AB329" s="33">
        <f t="shared" si="348"/>
        <v>0</v>
      </c>
      <c r="AC329" s="33">
        <f t="shared" si="349"/>
        <v>0</v>
      </c>
      <c r="AD329" s="33">
        <f t="shared" si="350"/>
        <v>0</v>
      </c>
      <c r="AE329" s="33">
        <f t="shared" si="351"/>
        <v>0</v>
      </c>
      <c r="AF329" s="33">
        <f t="shared" si="352"/>
        <v>0</v>
      </c>
      <c r="AG329" s="33">
        <f t="shared" si="353"/>
        <v>0</v>
      </c>
      <c r="AH329" s="33">
        <f t="shared" si="354"/>
        <v>0</v>
      </c>
      <c r="AI329" s="28"/>
      <c r="AJ329" s="16">
        <f t="shared" si="355"/>
        <v>0</v>
      </c>
      <c r="AK329" s="16">
        <f t="shared" si="356"/>
        <v>0</v>
      </c>
      <c r="AL329" s="16">
        <f t="shared" si="357"/>
        <v>0</v>
      </c>
      <c r="AN329" s="33">
        <v>21</v>
      </c>
      <c r="AO329" s="33">
        <f t="shared" si="358"/>
        <v>0</v>
      </c>
      <c r="AP329" s="33">
        <f t="shared" si="359"/>
        <v>0</v>
      </c>
      <c r="AQ329" s="27" t="s">
        <v>13</v>
      </c>
      <c r="AV329" s="33">
        <f t="shared" si="360"/>
        <v>0</v>
      </c>
      <c r="AW329" s="33">
        <f t="shared" si="361"/>
        <v>0</v>
      </c>
      <c r="AX329" s="33">
        <f t="shared" si="362"/>
        <v>0</v>
      </c>
      <c r="AY329" s="34" t="s">
        <v>1728</v>
      </c>
      <c r="AZ329" s="34" t="s">
        <v>1748</v>
      </c>
      <c r="BA329" s="28" t="s">
        <v>1752</v>
      </c>
      <c r="BC329" s="33">
        <f t="shared" si="363"/>
        <v>0</v>
      </c>
      <c r="BD329" s="33">
        <f t="shared" si="364"/>
        <v>0</v>
      </c>
      <c r="BE329" s="33">
        <v>0</v>
      </c>
      <c r="BF329" s="33">
        <f>329</f>
        <v>329</v>
      </c>
      <c r="BH329" s="16">
        <f t="shared" si="365"/>
        <v>0</v>
      </c>
      <c r="BI329" s="16">
        <f t="shared" si="366"/>
        <v>0</v>
      </c>
      <c r="BJ329" s="16">
        <f t="shared" si="367"/>
        <v>0</v>
      </c>
    </row>
    <row r="330" spans="1:62" x14ac:dyDescent="0.2">
      <c r="A330" s="4" t="s">
        <v>270</v>
      </c>
      <c r="B330" s="4" t="s">
        <v>810</v>
      </c>
      <c r="C330" s="131" t="s">
        <v>1389</v>
      </c>
      <c r="D330" s="132"/>
      <c r="E330" s="132"/>
      <c r="F330" s="4" t="s">
        <v>1665</v>
      </c>
      <c r="G330" s="68">
        <v>54</v>
      </c>
      <c r="H330" s="162">
        <v>0</v>
      </c>
      <c r="I330" s="16">
        <f t="shared" si="344"/>
        <v>0</v>
      </c>
      <c r="J330" s="16">
        <f t="shared" si="345"/>
        <v>0</v>
      </c>
      <c r="K330" s="16">
        <f t="shared" si="346"/>
        <v>0</v>
      </c>
      <c r="L330" s="27"/>
      <c r="Z330" s="33">
        <f t="shared" si="347"/>
        <v>0</v>
      </c>
      <c r="AB330" s="33">
        <f t="shared" si="348"/>
        <v>0</v>
      </c>
      <c r="AC330" s="33">
        <f t="shared" si="349"/>
        <v>0</v>
      </c>
      <c r="AD330" s="33">
        <f t="shared" si="350"/>
        <v>0</v>
      </c>
      <c r="AE330" s="33">
        <f t="shared" si="351"/>
        <v>0</v>
      </c>
      <c r="AF330" s="33">
        <f t="shared" si="352"/>
        <v>0</v>
      </c>
      <c r="AG330" s="33">
        <f t="shared" si="353"/>
        <v>0</v>
      </c>
      <c r="AH330" s="33">
        <f t="shared" si="354"/>
        <v>0</v>
      </c>
      <c r="AI330" s="28"/>
      <c r="AJ330" s="16">
        <f t="shared" si="355"/>
        <v>0</v>
      </c>
      <c r="AK330" s="16">
        <f t="shared" si="356"/>
        <v>0</v>
      </c>
      <c r="AL330" s="16">
        <f t="shared" si="357"/>
        <v>0</v>
      </c>
      <c r="AN330" s="33">
        <v>21</v>
      </c>
      <c r="AO330" s="33">
        <f t="shared" si="358"/>
        <v>0</v>
      </c>
      <c r="AP330" s="33">
        <f t="shared" si="359"/>
        <v>0</v>
      </c>
      <c r="AQ330" s="27" t="s">
        <v>13</v>
      </c>
      <c r="AV330" s="33">
        <f t="shared" si="360"/>
        <v>0</v>
      </c>
      <c r="AW330" s="33">
        <f t="shared" si="361"/>
        <v>0</v>
      </c>
      <c r="AX330" s="33">
        <f t="shared" si="362"/>
        <v>0</v>
      </c>
      <c r="AY330" s="34" t="s">
        <v>1728</v>
      </c>
      <c r="AZ330" s="34" t="s">
        <v>1748</v>
      </c>
      <c r="BA330" s="28" t="s">
        <v>1752</v>
      </c>
      <c r="BC330" s="33">
        <f t="shared" si="363"/>
        <v>0</v>
      </c>
      <c r="BD330" s="33">
        <f t="shared" si="364"/>
        <v>0</v>
      </c>
      <c r="BE330" s="33">
        <v>0</v>
      </c>
      <c r="BF330" s="33">
        <f>330</f>
        <v>330</v>
      </c>
      <c r="BH330" s="16">
        <f t="shared" si="365"/>
        <v>0</v>
      </c>
      <c r="BI330" s="16">
        <f t="shared" si="366"/>
        <v>0</v>
      </c>
      <c r="BJ330" s="16">
        <f t="shared" si="367"/>
        <v>0</v>
      </c>
    </row>
    <row r="331" spans="1:62" x14ac:dyDescent="0.2">
      <c r="A331" s="4" t="s">
        <v>271</v>
      </c>
      <c r="B331" s="4" t="s">
        <v>811</v>
      </c>
      <c r="C331" s="131" t="s">
        <v>1390</v>
      </c>
      <c r="D331" s="132"/>
      <c r="E331" s="132"/>
      <c r="F331" s="4" t="s">
        <v>1665</v>
      </c>
      <c r="G331" s="68">
        <v>54</v>
      </c>
      <c r="H331" s="162">
        <v>0</v>
      </c>
      <c r="I331" s="16">
        <f t="shared" si="344"/>
        <v>0</v>
      </c>
      <c r="J331" s="16">
        <f t="shared" si="345"/>
        <v>0</v>
      </c>
      <c r="K331" s="16">
        <f t="shared" si="346"/>
        <v>0</v>
      </c>
      <c r="L331" s="27"/>
      <c r="Z331" s="33">
        <f t="shared" si="347"/>
        <v>0</v>
      </c>
      <c r="AB331" s="33">
        <f t="shared" si="348"/>
        <v>0</v>
      </c>
      <c r="AC331" s="33">
        <f t="shared" si="349"/>
        <v>0</v>
      </c>
      <c r="AD331" s="33">
        <f t="shared" si="350"/>
        <v>0</v>
      </c>
      <c r="AE331" s="33">
        <f t="shared" si="351"/>
        <v>0</v>
      </c>
      <c r="AF331" s="33">
        <f t="shared" si="352"/>
        <v>0</v>
      </c>
      <c r="AG331" s="33">
        <f t="shared" si="353"/>
        <v>0</v>
      </c>
      <c r="AH331" s="33">
        <f t="shared" si="354"/>
        <v>0</v>
      </c>
      <c r="AI331" s="28"/>
      <c r="AJ331" s="16">
        <f t="shared" si="355"/>
        <v>0</v>
      </c>
      <c r="AK331" s="16">
        <f t="shared" si="356"/>
        <v>0</v>
      </c>
      <c r="AL331" s="16">
        <f t="shared" si="357"/>
        <v>0</v>
      </c>
      <c r="AN331" s="33">
        <v>21</v>
      </c>
      <c r="AO331" s="33">
        <f t="shared" si="358"/>
        <v>0</v>
      </c>
      <c r="AP331" s="33">
        <f t="shared" si="359"/>
        <v>0</v>
      </c>
      <c r="AQ331" s="27" t="s">
        <v>13</v>
      </c>
      <c r="AV331" s="33">
        <f t="shared" si="360"/>
        <v>0</v>
      </c>
      <c r="AW331" s="33">
        <f t="shared" si="361"/>
        <v>0</v>
      </c>
      <c r="AX331" s="33">
        <f t="shared" si="362"/>
        <v>0</v>
      </c>
      <c r="AY331" s="34" t="s">
        <v>1728</v>
      </c>
      <c r="AZ331" s="34" t="s">
        <v>1748</v>
      </c>
      <c r="BA331" s="28" t="s">
        <v>1752</v>
      </c>
      <c r="BC331" s="33">
        <f t="shared" si="363"/>
        <v>0</v>
      </c>
      <c r="BD331" s="33">
        <f t="shared" si="364"/>
        <v>0</v>
      </c>
      <c r="BE331" s="33">
        <v>0</v>
      </c>
      <c r="BF331" s="33">
        <f>331</f>
        <v>331</v>
      </c>
      <c r="BH331" s="16">
        <f t="shared" si="365"/>
        <v>0</v>
      </c>
      <c r="BI331" s="16">
        <f t="shared" si="366"/>
        <v>0</v>
      </c>
      <c r="BJ331" s="16">
        <f t="shared" si="367"/>
        <v>0</v>
      </c>
    </row>
    <row r="332" spans="1:62" x14ac:dyDescent="0.2">
      <c r="C332" s="140" t="s">
        <v>1391</v>
      </c>
      <c r="D332" s="141"/>
      <c r="E332" s="141"/>
      <c r="H332" s="164"/>
    </row>
    <row r="333" spans="1:62" x14ac:dyDescent="0.2">
      <c r="A333" s="4" t="s">
        <v>272</v>
      </c>
      <c r="B333" s="4" t="s">
        <v>812</v>
      </c>
      <c r="C333" s="131" t="s">
        <v>1392</v>
      </c>
      <c r="D333" s="132"/>
      <c r="E333" s="132"/>
      <c r="F333" s="4" t="s">
        <v>1665</v>
      </c>
      <c r="G333" s="68">
        <v>54</v>
      </c>
      <c r="H333" s="162">
        <v>0</v>
      </c>
      <c r="I333" s="16">
        <f t="shared" ref="I333:I340" si="368">G333*AO333</f>
        <v>0</v>
      </c>
      <c r="J333" s="16">
        <f t="shared" ref="J333:J340" si="369">G333*AP333</f>
        <v>0</v>
      </c>
      <c r="K333" s="16">
        <f t="shared" ref="K333:K340" si="370">G333*H333</f>
        <v>0</v>
      </c>
      <c r="L333" s="27"/>
      <c r="Z333" s="33">
        <f t="shared" ref="Z333:Z340" si="371">IF(AQ333="5",BJ333,0)</f>
        <v>0</v>
      </c>
      <c r="AB333" s="33">
        <f t="shared" ref="AB333:AB340" si="372">IF(AQ333="1",BH333,0)</f>
        <v>0</v>
      </c>
      <c r="AC333" s="33">
        <f t="shared" ref="AC333:AC340" si="373">IF(AQ333="1",BI333,0)</f>
        <v>0</v>
      </c>
      <c r="AD333" s="33">
        <f t="shared" ref="AD333:AD340" si="374">IF(AQ333="7",BH333,0)</f>
        <v>0</v>
      </c>
      <c r="AE333" s="33">
        <f t="shared" ref="AE333:AE340" si="375">IF(AQ333="7",BI333,0)</f>
        <v>0</v>
      </c>
      <c r="AF333" s="33">
        <f t="shared" ref="AF333:AF340" si="376">IF(AQ333="2",BH333,0)</f>
        <v>0</v>
      </c>
      <c r="AG333" s="33">
        <f t="shared" ref="AG333:AG340" si="377">IF(AQ333="2",BI333,0)</f>
        <v>0</v>
      </c>
      <c r="AH333" s="33">
        <f t="shared" ref="AH333:AH340" si="378">IF(AQ333="0",BJ333,0)</f>
        <v>0</v>
      </c>
      <c r="AI333" s="28"/>
      <c r="AJ333" s="16">
        <f t="shared" ref="AJ333:AJ340" si="379">IF(AN333=0,K333,0)</f>
        <v>0</v>
      </c>
      <c r="AK333" s="16">
        <f t="shared" ref="AK333:AK340" si="380">IF(AN333=15,K333,0)</f>
        <v>0</v>
      </c>
      <c r="AL333" s="16">
        <f t="shared" ref="AL333:AL340" si="381">IF(AN333=21,K333,0)</f>
        <v>0</v>
      </c>
      <c r="AN333" s="33">
        <v>21</v>
      </c>
      <c r="AO333" s="33">
        <f t="shared" ref="AO333:AO340" si="382">H333*0</f>
        <v>0</v>
      </c>
      <c r="AP333" s="33">
        <f t="shared" ref="AP333:AP340" si="383">H333*(1-0)</f>
        <v>0</v>
      </c>
      <c r="AQ333" s="27" t="s">
        <v>13</v>
      </c>
      <c r="AV333" s="33">
        <f t="shared" ref="AV333:AV340" si="384">AW333+AX333</f>
        <v>0</v>
      </c>
      <c r="AW333" s="33">
        <f t="shared" ref="AW333:AW340" si="385">G333*AO333</f>
        <v>0</v>
      </c>
      <c r="AX333" s="33">
        <f t="shared" ref="AX333:AX340" si="386">G333*AP333</f>
        <v>0</v>
      </c>
      <c r="AY333" s="34" t="s">
        <v>1728</v>
      </c>
      <c r="AZ333" s="34" t="s">
        <v>1748</v>
      </c>
      <c r="BA333" s="28" t="s">
        <v>1752</v>
      </c>
      <c r="BC333" s="33">
        <f t="shared" ref="BC333:BC340" si="387">AW333+AX333</f>
        <v>0</v>
      </c>
      <c r="BD333" s="33">
        <f t="shared" ref="BD333:BD340" si="388">H333/(100-BE333)*100</f>
        <v>0</v>
      </c>
      <c r="BE333" s="33">
        <v>0</v>
      </c>
      <c r="BF333" s="33">
        <f>333</f>
        <v>333</v>
      </c>
      <c r="BH333" s="16">
        <f t="shared" ref="BH333:BH340" si="389">G333*AO333</f>
        <v>0</v>
      </c>
      <c r="BI333" s="16">
        <f t="shared" ref="BI333:BI340" si="390">G333*AP333</f>
        <v>0</v>
      </c>
      <c r="BJ333" s="16">
        <f t="shared" ref="BJ333:BJ340" si="391">G333*H333</f>
        <v>0</v>
      </c>
    </row>
    <row r="334" spans="1:62" x14ac:dyDescent="0.2">
      <c r="A334" s="4" t="s">
        <v>273</v>
      </c>
      <c r="B334" s="4" t="s">
        <v>813</v>
      </c>
      <c r="C334" s="131" t="s">
        <v>1393</v>
      </c>
      <c r="D334" s="132"/>
      <c r="E334" s="132"/>
      <c r="F334" s="4" t="s">
        <v>1665</v>
      </c>
      <c r="G334" s="68">
        <v>54</v>
      </c>
      <c r="H334" s="162">
        <v>0</v>
      </c>
      <c r="I334" s="16">
        <f t="shared" si="368"/>
        <v>0</v>
      </c>
      <c r="J334" s="16">
        <f t="shared" si="369"/>
        <v>0</v>
      </c>
      <c r="K334" s="16">
        <f t="shared" si="370"/>
        <v>0</v>
      </c>
      <c r="L334" s="27"/>
      <c r="Z334" s="33">
        <f t="shared" si="371"/>
        <v>0</v>
      </c>
      <c r="AB334" s="33">
        <f t="shared" si="372"/>
        <v>0</v>
      </c>
      <c r="AC334" s="33">
        <f t="shared" si="373"/>
        <v>0</v>
      </c>
      <c r="AD334" s="33">
        <f t="shared" si="374"/>
        <v>0</v>
      </c>
      <c r="AE334" s="33">
        <f t="shared" si="375"/>
        <v>0</v>
      </c>
      <c r="AF334" s="33">
        <f t="shared" si="376"/>
        <v>0</v>
      </c>
      <c r="AG334" s="33">
        <f t="shared" si="377"/>
        <v>0</v>
      </c>
      <c r="AH334" s="33">
        <f t="shared" si="378"/>
        <v>0</v>
      </c>
      <c r="AI334" s="28"/>
      <c r="AJ334" s="16">
        <f t="shared" si="379"/>
        <v>0</v>
      </c>
      <c r="AK334" s="16">
        <f t="shared" si="380"/>
        <v>0</v>
      </c>
      <c r="AL334" s="16">
        <f t="shared" si="381"/>
        <v>0</v>
      </c>
      <c r="AN334" s="33">
        <v>21</v>
      </c>
      <c r="AO334" s="33">
        <f t="shared" si="382"/>
        <v>0</v>
      </c>
      <c r="AP334" s="33">
        <f t="shared" si="383"/>
        <v>0</v>
      </c>
      <c r="AQ334" s="27" t="s">
        <v>13</v>
      </c>
      <c r="AV334" s="33">
        <f t="shared" si="384"/>
        <v>0</v>
      </c>
      <c r="AW334" s="33">
        <f t="shared" si="385"/>
        <v>0</v>
      </c>
      <c r="AX334" s="33">
        <f t="shared" si="386"/>
        <v>0</v>
      </c>
      <c r="AY334" s="34" t="s">
        <v>1728</v>
      </c>
      <c r="AZ334" s="34" t="s">
        <v>1748</v>
      </c>
      <c r="BA334" s="28" t="s">
        <v>1752</v>
      </c>
      <c r="BC334" s="33">
        <f t="shared" si="387"/>
        <v>0</v>
      </c>
      <c r="BD334" s="33">
        <f t="shared" si="388"/>
        <v>0</v>
      </c>
      <c r="BE334" s="33">
        <v>0</v>
      </c>
      <c r="BF334" s="33">
        <f>334</f>
        <v>334</v>
      </c>
      <c r="BH334" s="16">
        <f t="shared" si="389"/>
        <v>0</v>
      </c>
      <c r="BI334" s="16">
        <f t="shared" si="390"/>
        <v>0</v>
      </c>
      <c r="BJ334" s="16">
        <f t="shared" si="391"/>
        <v>0</v>
      </c>
    </row>
    <row r="335" spans="1:62" x14ac:dyDescent="0.2">
      <c r="A335" s="4" t="s">
        <v>274</v>
      </c>
      <c r="B335" s="4" t="s">
        <v>814</v>
      </c>
      <c r="C335" s="131" t="s">
        <v>1394</v>
      </c>
      <c r="D335" s="132"/>
      <c r="E335" s="132"/>
      <c r="F335" s="4" t="s">
        <v>1665</v>
      </c>
      <c r="G335" s="68">
        <v>54</v>
      </c>
      <c r="H335" s="162">
        <v>0</v>
      </c>
      <c r="I335" s="16">
        <f t="shared" si="368"/>
        <v>0</v>
      </c>
      <c r="J335" s="16">
        <f t="shared" si="369"/>
        <v>0</v>
      </c>
      <c r="K335" s="16">
        <f t="shared" si="370"/>
        <v>0</v>
      </c>
      <c r="L335" s="27"/>
      <c r="Z335" s="33">
        <f t="shared" si="371"/>
        <v>0</v>
      </c>
      <c r="AB335" s="33">
        <f t="shared" si="372"/>
        <v>0</v>
      </c>
      <c r="AC335" s="33">
        <f t="shared" si="373"/>
        <v>0</v>
      </c>
      <c r="AD335" s="33">
        <f t="shared" si="374"/>
        <v>0</v>
      </c>
      <c r="AE335" s="33">
        <f t="shared" si="375"/>
        <v>0</v>
      </c>
      <c r="AF335" s="33">
        <f t="shared" si="376"/>
        <v>0</v>
      </c>
      <c r="AG335" s="33">
        <f t="shared" si="377"/>
        <v>0</v>
      </c>
      <c r="AH335" s="33">
        <f t="shared" si="378"/>
        <v>0</v>
      </c>
      <c r="AI335" s="28"/>
      <c r="AJ335" s="16">
        <f t="shared" si="379"/>
        <v>0</v>
      </c>
      <c r="AK335" s="16">
        <f t="shared" si="380"/>
        <v>0</v>
      </c>
      <c r="AL335" s="16">
        <f t="shared" si="381"/>
        <v>0</v>
      </c>
      <c r="AN335" s="33">
        <v>21</v>
      </c>
      <c r="AO335" s="33">
        <f t="shared" si="382"/>
        <v>0</v>
      </c>
      <c r="AP335" s="33">
        <f t="shared" si="383"/>
        <v>0</v>
      </c>
      <c r="AQ335" s="27" t="s">
        <v>13</v>
      </c>
      <c r="AV335" s="33">
        <f t="shared" si="384"/>
        <v>0</v>
      </c>
      <c r="AW335" s="33">
        <f t="shared" si="385"/>
        <v>0</v>
      </c>
      <c r="AX335" s="33">
        <f t="shared" si="386"/>
        <v>0</v>
      </c>
      <c r="AY335" s="34" t="s">
        <v>1728</v>
      </c>
      <c r="AZ335" s="34" t="s">
        <v>1748</v>
      </c>
      <c r="BA335" s="28" t="s">
        <v>1752</v>
      </c>
      <c r="BC335" s="33">
        <f t="shared" si="387"/>
        <v>0</v>
      </c>
      <c r="BD335" s="33">
        <f t="shared" si="388"/>
        <v>0</v>
      </c>
      <c r="BE335" s="33">
        <v>0</v>
      </c>
      <c r="BF335" s="33">
        <f>335</f>
        <v>335</v>
      </c>
      <c r="BH335" s="16">
        <f t="shared" si="389"/>
        <v>0</v>
      </c>
      <c r="BI335" s="16">
        <f t="shared" si="390"/>
        <v>0</v>
      </c>
      <c r="BJ335" s="16">
        <f t="shared" si="391"/>
        <v>0</v>
      </c>
    </row>
    <row r="336" spans="1:62" x14ac:dyDescent="0.2">
      <c r="A336" s="4" t="s">
        <v>275</v>
      </c>
      <c r="B336" s="4" t="s">
        <v>815</v>
      </c>
      <c r="C336" s="131" t="s">
        <v>1395</v>
      </c>
      <c r="D336" s="132"/>
      <c r="E336" s="132"/>
      <c r="F336" s="4" t="s">
        <v>1665</v>
      </c>
      <c r="G336" s="68">
        <v>402</v>
      </c>
      <c r="H336" s="162">
        <v>0</v>
      </c>
      <c r="I336" s="16">
        <f t="shared" si="368"/>
        <v>0</v>
      </c>
      <c r="J336" s="16">
        <f t="shared" si="369"/>
        <v>0</v>
      </c>
      <c r="K336" s="16">
        <f t="shared" si="370"/>
        <v>0</v>
      </c>
      <c r="L336" s="27"/>
      <c r="Z336" s="33">
        <f t="shared" si="371"/>
        <v>0</v>
      </c>
      <c r="AB336" s="33">
        <f t="shared" si="372"/>
        <v>0</v>
      </c>
      <c r="AC336" s="33">
        <f t="shared" si="373"/>
        <v>0</v>
      </c>
      <c r="AD336" s="33">
        <f t="shared" si="374"/>
        <v>0</v>
      </c>
      <c r="AE336" s="33">
        <f t="shared" si="375"/>
        <v>0</v>
      </c>
      <c r="AF336" s="33">
        <f t="shared" si="376"/>
        <v>0</v>
      </c>
      <c r="AG336" s="33">
        <f t="shared" si="377"/>
        <v>0</v>
      </c>
      <c r="AH336" s="33">
        <f t="shared" si="378"/>
        <v>0</v>
      </c>
      <c r="AI336" s="28"/>
      <c r="AJ336" s="16">
        <f t="shared" si="379"/>
        <v>0</v>
      </c>
      <c r="AK336" s="16">
        <f t="shared" si="380"/>
        <v>0</v>
      </c>
      <c r="AL336" s="16">
        <f t="shared" si="381"/>
        <v>0</v>
      </c>
      <c r="AN336" s="33">
        <v>21</v>
      </c>
      <c r="AO336" s="33">
        <f t="shared" si="382"/>
        <v>0</v>
      </c>
      <c r="AP336" s="33">
        <f t="shared" si="383"/>
        <v>0</v>
      </c>
      <c r="AQ336" s="27" t="s">
        <v>13</v>
      </c>
      <c r="AV336" s="33">
        <f t="shared" si="384"/>
        <v>0</v>
      </c>
      <c r="AW336" s="33">
        <f t="shared" si="385"/>
        <v>0</v>
      </c>
      <c r="AX336" s="33">
        <f t="shared" si="386"/>
        <v>0</v>
      </c>
      <c r="AY336" s="34" t="s">
        <v>1728</v>
      </c>
      <c r="AZ336" s="34" t="s">
        <v>1748</v>
      </c>
      <c r="BA336" s="28" t="s">
        <v>1752</v>
      </c>
      <c r="BC336" s="33">
        <f t="shared" si="387"/>
        <v>0</v>
      </c>
      <c r="BD336" s="33">
        <f t="shared" si="388"/>
        <v>0</v>
      </c>
      <c r="BE336" s="33">
        <v>0</v>
      </c>
      <c r="BF336" s="33">
        <f>336</f>
        <v>336</v>
      </c>
      <c r="BH336" s="16">
        <f t="shared" si="389"/>
        <v>0</v>
      </c>
      <c r="BI336" s="16">
        <f t="shared" si="390"/>
        <v>0</v>
      </c>
      <c r="BJ336" s="16">
        <f t="shared" si="391"/>
        <v>0</v>
      </c>
    </row>
    <row r="337" spans="1:62" x14ac:dyDescent="0.2">
      <c r="A337" s="4" t="s">
        <v>276</v>
      </c>
      <c r="B337" s="4" t="s">
        <v>816</v>
      </c>
      <c r="C337" s="131" t="s">
        <v>1396</v>
      </c>
      <c r="D337" s="132"/>
      <c r="E337" s="132"/>
      <c r="F337" s="4" t="s">
        <v>1665</v>
      </c>
      <c r="G337" s="68">
        <v>54</v>
      </c>
      <c r="H337" s="162">
        <v>0</v>
      </c>
      <c r="I337" s="16">
        <f t="shared" si="368"/>
        <v>0</v>
      </c>
      <c r="J337" s="16">
        <f t="shared" si="369"/>
        <v>0</v>
      </c>
      <c r="K337" s="16">
        <f t="shared" si="370"/>
        <v>0</v>
      </c>
      <c r="L337" s="27"/>
      <c r="Z337" s="33">
        <f t="shared" si="371"/>
        <v>0</v>
      </c>
      <c r="AB337" s="33">
        <f t="shared" si="372"/>
        <v>0</v>
      </c>
      <c r="AC337" s="33">
        <f t="shared" si="373"/>
        <v>0</v>
      </c>
      <c r="AD337" s="33">
        <f t="shared" si="374"/>
        <v>0</v>
      </c>
      <c r="AE337" s="33">
        <f t="shared" si="375"/>
        <v>0</v>
      </c>
      <c r="AF337" s="33">
        <f t="shared" si="376"/>
        <v>0</v>
      </c>
      <c r="AG337" s="33">
        <f t="shared" si="377"/>
        <v>0</v>
      </c>
      <c r="AH337" s="33">
        <f t="shared" si="378"/>
        <v>0</v>
      </c>
      <c r="AI337" s="28"/>
      <c r="AJ337" s="16">
        <f t="shared" si="379"/>
        <v>0</v>
      </c>
      <c r="AK337" s="16">
        <f t="shared" si="380"/>
        <v>0</v>
      </c>
      <c r="AL337" s="16">
        <f t="shared" si="381"/>
        <v>0</v>
      </c>
      <c r="AN337" s="33">
        <v>21</v>
      </c>
      <c r="AO337" s="33">
        <f t="shared" si="382"/>
        <v>0</v>
      </c>
      <c r="AP337" s="33">
        <f t="shared" si="383"/>
        <v>0</v>
      </c>
      <c r="AQ337" s="27" t="s">
        <v>13</v>
      </c>
      <c r="AV337" s="33">
        <f t="shared" si="384"/>
        <v>0</v>
      </c>
      <c r="AW337" s="33">
        <f t="shared" si="385"/>
        <v>0</v>
      </c>
      <c r="AX337" s="33">
        <f t="shared" si="386"/>
        <v>0</v>
      </c>
      <c r="AY337" s="34" t="s">
        <v>1728</v>
      </c>
      <c r="AZ337" s="34" t="s">
        <v>1748</v>
      </c>
      <c r="BA337" s="28" t="s">
        <v>1752</v>
      </c>
      <c r="BC337" s="33">
        <f t="shared" si="387"/>
        <v>0</v>
      </c>
      <c r="BD337" s="33">
        <f t="shared" si="388"/>
        <v>0</v>
      </c>
      <c r="BE337" s="33">
        <v>0</v>
      </c>
      <c r="BF337" s="33">
        <f>337</f>
        <v>337</v>
      </c>
      <c r="BH337" s="16">
        <f t="shared" si="389"/>
        <v>0</v>
      </c>
      <c r="BI337" s="16">
        <f t="shared" si="390"/>
        <v>0</v>
      </c>
      <c r="BJ337" s="16">
        <f t="shared" si="391"/>
        <v>0</v>
      </c>
    </row>
    <row r="338" spans="1:62" x14ac:dyDescent="0.2">
      <c r="A338" s="4" t="s">
        <v>277</v>
      </c>
      <c r="B338" s="4" t="s">
        <v>817</v>
      </c>
      <c r="C338" s="131" t="s">
        <v>1397</v>
      </c>
      <c r="D338" s="132"/>
      <c r="E338" s="132"/>
      <c r="F338" s="4" t="s">
        <v>1668</v>
      </c>
      <c r="G338" s="68">
        <v>50</v>
      </c>
      <c r="H338" s="162">
        <v>0</v>
      </c>
      <c r="I338" s="16">
        <f t="shared" si="368"/>
        <v>0</v>
      </c>
      <c r="J338" s="16">
        <f t="shared" si="369"/>
        <v>0</v>
      </c>
      <c r="K338" s="16">
        <f t="shared" si="370"/>
        <v>0</v>
      </c>
      <c r="L338" s="27"/>
      <c r="Z338" s="33">
        <f t="shared" si="371"/>
        <v>0</v>
      </c>
      <c r="AB338" s="33">
        <f t="shared" si="372"/>
        <v>0</v>
      </c>
      <c r="AC338" s="33">
        <f t="shared" si="373"/>
        <v>0</v>
      </c>
      <c r="AD338" s="33">
        <f t="shared" si="374"/>
        <v>0</v>
      </c>
      <c r="AE338" s="33">
        <f t="shared" si="375"/>
        <v>0</v>
      </c>
      <c r="AF338" s="33">
        <f t="shared" si="376"/>
        <v>0</v>
      </c>
      <c r="AG338" s="33">
        <f t="shared" si="377"/>
        <v>0</v>
      </c>
      <c r="AH338" s="33">
        <f t="shared" si="378"/>
        <v>0</v>
      </c>
      <c r="AI338" s="28"/>
      <c r="AJ338" s="16">
        <f t="shared" si="379"/>
        <v>0</v>
      </c>
      <c r="AK338" s="16">
        <f t="shared" si="380"/>
        <v>0</v>
      </c>
      <c r="AL338" s="16">
        <f t="shared" si="381"/>
        <v>0</v>
      </c>
      <c r="AN338" s="33">
        <v>21</v>
      </c>
      <c r="AO338" s="33">
        <f t="shared" si="382"/>
        <v>0</v>
      </c>
      <c r="AP338" s="33">
        <f t="shared" si="383"/>
        <v>0</v>
      </c>
      <c r="AQ338" s="27" t="s">
        <v>13</v>
      </c>
      <c r="AV338" s="33">
        <f t="shared" si="384"/>
        <v>0</v>
      </c>
      <c r="AW338" s="33">
        <f t="shared" si="385"/>
        <v>0</v>
      </c>
      <c r="AX338" s="33">
        <f t="shared" si="386"/>
        <v>0</v>
      </c>
      <c r="AY338" s="34" t="s">
        <v>1728</v>
      </c>
      <c r="AZ338" s="34" t="s">
        <v>1748</v>
      </c>
      <c r="BA338" s="28" t="s">
        <v>1752</v>
      </c>
      <c r="BC338" s="33">
        <f t="shared" si="387"/>
        <v>0</v>
      </c>
      <c r="BD338" s="33">
        <f t="shared" si="388"/>
        <v>0</v>
      </c>
      <c r="BE338" s="33">
        <v>0</v>
      </c>
      <c r="BF338" s="33">
        <f>338</f>
        <v>338</v>
      </c>
      <c r="BH338" s="16">
        <f t="shared" si="389"/>
        <v>0</v>
      </c>
      <c r="BI338" s="16">
        <f t="shared" si="390"/>
        <v>0</v>
      </c>
      <c r="BJ338" s="16">
        <f t="shared" si="391"/>
        <v>0</v>
      </c>
    </row>
    <row r="339" spans="1:62" x14ac:dyDescent="0.2">
      <c r="A339" s="4" t="s">
        <v>278</v>
      </c>
      <c r="B339" s="4" t="s">
        <v>818</v>
      </c>
      <c r="C339" s="131" t="s">
        <v>1398</v>
      </c>
      <c r="D339" s="132"/>
      <c r="E339" s="132"/>
      <c r="F339" s="4" t="s">
        <v>1668</v>
      </c>
      <c r="G339" s="68">
        <v>40</v>
      </c>
      <c r="H339" s="162">
        <v>0</v>
      </c>
      <c r="I339" s="16">
        <f t="shared" si="368"/>
        <v>0</v>
      </c>
      <c r="J339" s="16">
        <f t="shared" si="369"/>
        <v>0</v>
      </c>
      <c r="K339" s="16">
        <f t="shared" si="370"/>
        <v>0</v>
      </c>
      <c r="L339" s="27"/>
      <c r="Z339" s="33">
        <f t="shared" si="371"/>
        <v>0</v>
      </c>
      <c r="AB339" s="33">
        <f t="shared" si="372"/>
        <v>0</v>
      </c>
      <c r="AC339" s="33">
        <f t="shared" si="373"/>
        <v>0</v>
      </c>
      <c r="AD339" s="33">
        <f t="shared" si="374"/>
        <v>0</v>
      </c>
      <c r="AE339" s="33">
        <f t="shared" si="375"/>
        <v>0</v>
      </c>
      <c r="AF339" s="33">
        <f t="shared" si="376"/>
        <v>0</v>
      </c>
      <c r="AG339" s="33">
        <f t="shared" si="377"/>
        <v>0</v>
      </c>
      <c r="AH339" s="33">
        <f t="shared" si="378"/>
        <v>0</v>
      </c>
      <c r="AI339" s="28"/>
      <c r="AJ339" s="16">
        <f t="shared" si="379"/>
        <v>0</v>
      </c>
      <c r="AK339" s="16">
        <f t="shared" si="380"/>
        <v>0</v>
      </c>
      <c r="AL339" s="16">
        <f t="shared" si="381"/>
        <v>0</v>
      </c>
      <c r="AN339" s="33">
        <v>21</v>
      </c>
      <c r="AO339" s="33">
        <f t="shared" si="382"/>
        <v>0</v>
      </c>
      <c r="AP339" s="33">
        <f t="shared" si="383"/>
        <v>0</v>
      </c>
      <c r="AQ339" s="27" t="s">
        <v>13</v>
      </c>
      <c r="AV339" s="33">
        <f t="shared" si="384"/>
        <v>0</v>
      </c>
      <c r="AW339" s="33">
        <f t="shared" si="385"/>
        <v>0</v>
      </c>
      <c r="AX339" s="33">
        <f t="shared" si="386"/>
        <v>0</v>
      </c>
      <c r="AY339" s="34" t="s">
        <v>1728</v>
      </c>
      <c r="AZ339" s="34" t="s">
        <v>1748</v>
      </c>
      <c r="BA339" s="28" t="s">
        <v>1752</v>
      </c>
      <c r="BC339" s="33">
        <f t="shared" si="387"/>
        <v>0</v>
      </c>
      <c r="BD339" s="33">
        <f t="shared" si="388"/>
        <v>0</v>
      </c>
      <c r="BE339" s="33">
        <v>0</v>
      </c>
      <c r="BF339" s="33">
        <f>339</f>
        <v>339</v>
      </c>
      <c r="BH339" s="16">
        <f t="shared" si="389"/>
        <v>0</v>
      </c>
      <c r="BI339" s="16">
        <f t="shared" si="390"/>
        <v>0</v>
      </c>
      <c r="BJ339" s="16">
        <f t="shared" si="391"/>
        <v>0</v>
      </c>
    </row>
    <row r="340" spans="1:62" x14ac:dyDescent="0.2">
      <c r="A340" s="4" t="s">
        <v>279</v>
      </c>
      <c r="B340" s="4" t="s">
        <v>819</v>
      </c>
      <c r="C340" s="131" t="s">
        <v>1399</v>
      </c>
      <c r="D340" s="132"/>
      <c r="E340" s="132"/>
      <c r="F340" s="4" t="s">
        <v>1665</v>
      </c>
      <c r="G340" s="68">
        <v>58</v>
      </c>
      <c r="H340" s="162">
        <v>0</v>
      </c>
      <c r="I340" s="16">
        <f t="shared" si="368"/>
        <v>0</v>
      </c>
      <c r="J340" s="16">
        <f t="shared" si="369"/>
        <v>0</v>
      </c>
      <c r="K340" s="16">
        <f t="shared" si="370"/>
        <v>0</v>
      </c>
      <c r="L340" s="27"/>
      <c r="Z340" s="33">
        <f t="shared" si="371"/>
        <v>0</v>
      </c>
      <c r="AB340" s="33">
        <f t="shared" si="372"/>
        <v>0</v>
      </c>
      <c r="AC340" s="33">
        <f t="shared" si="373"/>
        <v>0</v>
      </c>
      <c r="AD340" s="33">
        <f t="shared" si="374"/>
        <v>0</v>
      </c>
      <c r="AE340" s="33">
        <f t="shared" si="375"/>
        <v>0</v>
      </c>
      <c r="AF340" s="33">
        <f t="shared" si="376"/>
        <v>0</v>
      </c>
      <c r="AG340" s="33">
        <f t="shared" si="377"/>
        <v>0</v>
      </c>
      <c r="AH340" s="33">
        <f t="shared" si="378"/>
        <v>0</v>
      </c>
      <c r="AI340" s="28"/>
      <c r="AJ340" s="16">
        <f t="shared" si="379"/>
        <v>0</v>
      </c>
      <c r="AK340" s="16">
        <f t="shared" si="380"/>
        <v>0</v>
      </c>
      <c r="AL340" s="16">
        <f t="shared" si="381"/>
        <v>0</v>
      </c>
      <c r="AN340" s="33">
        <v>21</v>
      </c>
      <c r="AO340" s="33">
        <f t="shared" si="382"/>
        <v>0</v>
      </c>
      <c r="AP340" s="33">
        <f t="shared" si="383"/>
        <v>0</v>
      </c>
      <c r="AQ340" s="27" t="s">
        <v>13</v>
      </c>
      <c r="AV340" s="33">
        <f t="shared" si="384"/>
        <v>0</v>
      </c>
      <c r="AW340" s="33">
        <f t="shared" si="385"/>
        <v>0</v>
      </c>
      <c r="AX340" s="33">
        <f t="shared" si="386"/>
        <v>0</v>
      </c>
      <c r="AY340" s="34" t="s">
        <v>1728</v>
      </c>
      <c r="AZ340" s="34" t="s">
        <v>1748</v>
      </c>
      <c r="BA340" s="28" t="s">
        <v>1752</v>
      </c>
      <c r="BC340" s="33">
        <f t="shared" si="387"/>
        <v>0</v>
      </c>
      <c r="BD340" s="33">
        <f t="shared" si="388"/>
        <v>0</v>
      </c>
      <c r="BE340" s="33">
        <v>0</v>
      </c>
      <c r="BF340" s="33">
        <f>340</f>
        <v>340</v>
      </c>
      <c r="BH340" s="16">
        <f t="shared" si="389"/>
        <v>0</v>
      </c>
      <c r="BI340" s="16">
        <f t="shared" si="390"/>
        <v>0</v>
      </c>
      <c r="BJ340" s="16">
        <f t="shared" si="391"/>
        <v>0</v>
      </c>
    </row>
    <row r="341" spans="1:62" x14ac:dyDescent="0.2">
      <c r="C341" s="140" t="s">
        <v>1400</v>
      </c>
      <c r="D341" s="141"/>
      <c r="E341" s="141"/>
      <c r="H341" s="164"/>
    </row>
    <row r="342" spans="1:62" x14ac:dyDescent="0.2">
      <c r="A342" s="4" t="s">
        <v>280</v>
      </c>
      <c r="B342" s="4" t="s">
        <v>820</v>
      </c>
      <c r="C342" s="131" t="s">
        <v>1401</v>
      </c>
      <c r="D342" s="132"/>
      <c r="E342" s="132"/>
      <c r="F342" s="4" t="s">
        <v>1665</v>
      </c>
      <c r="G342" s="68">
        <v>1</v>
      </c>
      <c r="H342" s="162">
        <v>0</v>
      </c>
      <c r="I342" s="16">
        <f t="shared" ref="I342:I351" si="392">G342*AO342</f>
        <v>0</v>
      </c>
      <c r="J342" s="16">
        <f t="shared" ref="J342:J351" si="393">G342*AP342</f>
        <v>0</v>
      </c>
      <c r="K342" s="16">
        <f t="shared" ref="K342:K351" si="394">G342*H342</f>
        <v>0</v>
      </c>
      <c r="L342" s="27"/>
      <c r="Z342" s="33">
        <f t="shared" ref="Z342:Z351" si="395">IF(AQ342="5",BJ342,0)</f>
        <v>0</v>
      </c>
      <c r="AB342" s="33">
        <f t="shared" ref="AB342:AB351" si="396">IF(AQ342="1",BH342,0)</f>
        <v>0</v>
      </c>
      <c r="AC342" s="33">
        <f t="shared" ref="AC342:AC351" si="397">IF(AQ342="1",BI342,0)</f>
        <v>0</v>
      </c>
      <c r="AD342" s="33">
        <f t="shared" ref="AD342:AD351" si="398">IF(AQ342="7",BH342,0)</f>
        <v>0</v>
      </c>
      <c r="AE342" s="33">
        <f t="shared" ref="AE342:AE351" si="399">IF(AQ342="7",BI342,0)</f>
        <v>0</v>
      </c>
      <c r="AF342" s="33">
        <f t="shared" ref="AF342:AF351" si="400">IF(AQ342="2",BH342,0)</f>
        <v>0</v>
      </c>
      <c r="AG342" s="33">
        <f t="shared" ref="AG342:AG351" si="401">IF(AQ342="2",BI342,0)</f>
        <v>0</v>
      </c>
      <c r="AH342" s="33">
        <f t="shared" ref="AH342:AH351" si="402">IF(AQ342="0",BJ342,0)</f>
        <v>0</v>
      </c>
      <c r="AI342" s="28"/>
      <c r="AJ342" s="16">
        <f t="shared" ref="AJ342:AJ351" si="403">IF(AN342=0,K342,0)</f>
        <v>0</v>
      </c>
      <c r="AK342" s="16">
        <f t="shared" ref="AK342:AK351" si="404">IF(AN342=15,K342,0)</f>
        <v>0</v>
      </c>
      <c r="AL342" s="16">
        <f t="shared" ref="AL342:AL351" si="405">IF(AN342=21,K342,0)</f>
        <v>0</v>
      </c>
      <c r="AN342" s="33">
        <v>21</v>
      </c>
      <c r="AO342" s="33">
        <f t="shared" ref="AO342:AO351" si="406">H342*0</f>
        <v>0</v>
      </c>
      <c r="AP342" s="33">
        <f t="shared" ref="AP342:AP351" si="407">H342*(1-0)</f>
        <v>0</v>
      </c>
      <c r="AQ342" s="27" t="s">
        <v>13</v>
      </c>
      <c r="AV342" s="33">
        <f t="shared" ref="AV342:AV351" si="408">AW342+AX342</f>
        <v>0</v>
      </c>
      <c r="AW342" s="33">
        <f t="shared" ref="AW342:AW351" si="409">G342*AO342</f>
        <v>0</v>
      </c>
      <c r="AX342" s="33">
        <f t="shared" ref="AX342:AX351" si="410">G342*AP342</f>
        <v>0</v>
      </c>
      <c r="AY342" s="34" t="s">
        <v>1728</v>
      </c>
      <c r="AZ342" s="34" t="s">
        <v>1748</v>
      </c>
      <c r="BA342" s="28" t="s">
        <v>1752</v>
      </c>
      <c r="BC342" s="33">
        <f t="shared" ref="BC342:BC351" si="411">AW342+AX342</f>
        <v>0</v>
      </c>
      <c r="BD342" s="33">
        <f t="shared" ref="BD342:BD351" si="412">H342/(100-BE342)*100</f>
        <v>0</v>
      </c>
      <c r="BE342" s="33">
        <v>0</v>
      </c>
      <c r="BF342" s="33">
        <f>342</f>
        <v>342</v>
      </c>
      <c r="BH342" s="16">
        <f t="shared" ref="BH342:BH351" si="413">G342*AO342</f>
        <v>0</v>
      </c>
      <c r="BI342" s="16">
        <f t="shared" ref="BI342:BI351" si="414">G342*AP342</f>
        <v>0</v>
      </c>
      <c r="BJ342" s="16">
        <f t="shared" ref="BJ342:BJ351" si="415">G342*H342</f>
        <v>0</v>
      </c>
    </row>
    <row r="343" spans="1:62" x14ac:dyDescent="0.2">
      <c r="A343" s="4" t="s">
        <v>281</v>
      </c>
      <c r="B343" s="4" t="s">
        <v>821</v>
      </c>
      <c r="C343" s="131" t="s">
        <v>1295</v>
      </c>
      <c r="D343" s="132"/>
      <c r="E343" s="132"/>
      <c r="F343" s="4" t="s">
        <v>1670</v>
      </c>
      <c r="G343" s="68">
        <v>1</v>
      </c>
      <c r="H343" s="162">
        <v>0</v>
      </c>
      <c r="I343" s="16">
        <f t="shared" si="392"/>
        <v>0</v>
      </c>
      <c r="J343" s="16">
        <f t="shared" si="393"/>
        <v>0</v>
      </c>
      <c r="K343" s="16">
        <f t="shared" si="394"/>
        <v>0</v>
      </c>
      <c r="L343" s="27"/>
      <c r="Z343" s="33">
        <f t="shared" si="395"/>
        <v>0</v>
      </c>
      <c r="AB343" s="33">
        <f t="shared" si="396"/>
        <v>0</v>
      </c>
      <c r="AC343" s="33">
        <f t="shared" si="397"/>
        <v>0</v>
      </c>
      <c r="AD343" s="33">
        <f t="shared" si="398"/>
        <v>0</v>
      </c>
      <c r="AE343" s="33">
        <f t="shared" si="399"/>
        <v>0</v>
      </c>
      <c r="AF343" s="33">
        <f t="shared" si="400"/>
        <v>0</v>
      </c>
      <c r="AG343" s="33">
        <f t="shared" si="401"/>
        <v>0</v>
      </c>
      <c r="AH343" s="33">
        <f t="shared" si="402"/>
        <v>0</v>
      </c>
      <c r="AI343" s="28"/>
      <c r="AJ343" s="16">
        <f t="shared" si="403"/>
        <v>0</v>
      </c>
      <c r="AK343" s="16">
        <f t="shared" si="404"/>
        <v>0</v>
      </c>
      <c r="AL343" s="16">
        <f t="shared" si="405"/>
        <v>0</v>
      </c>
      <c r="AN343" s="33">
        <v>21</v>
      </c>
      <c r="AO343" s="33">
        <f t="shared" si="406"/>
        <v>0</v>
      </c>
      <c r="AP343" s="33">
        <f t="shared" si="407"/>
        <v>0</v>
      </c>
      <c r="AQ343" s="27" t="s">
        <v>13</v>
      </c>
      <c r="AV343" s="33">
        <f t="shared" si="408"/>
        <v>0</v>
      </c>
      <c r="AW343" s="33">
        <f t="shared" si="409"/>
        <v>0</v>
      </c>
      <c r="AX343" s="33">
        <f t="shared" si="410"/>
        <v>0</v>
      </c>
      <c r="AY343" s="34" t="s">
        <v>1728</v>
      </c>
      <c r="AZ343" s="34" t="s">
        <v>1748</v>
      </c>
      <c r="BA343" s="28" t="s">
        <v>1752</v>
      </c>
      <c r="BC343" s="33">
        <f t="shared" si="411"/>
        <v>0</v>
      </c>
      <c r="BD343" s="33">
        <f t="shared" si="412"/>
        <v>0</v>
      </c>
      <c r="BE343" s="33">
        <v>0</v>
      </c>
      <c r="BF343" s="33">
        <f>343</f>
        <v>343</v>
      </c>
      <c r="BH343" s="16">
        <f t="shared" si="413"/>
        <v>0</v>
      </c>
      <c r="BI343" s="16">
        <f t="shared" si="414"/>
        <v>0</v>
      </c>
      <c r="BJ343" s="16">
        <f t="shared" si="415"/>
        <v>0</v>
      </c>
    </row>
    <row r="344" spans="1:62" x14ac:dyDescent="0.2">
      <c r="A344" s="4" t="s">
        <v>282</v>
      </c>
      <c r="B344" s="4" t="s">
        <v>822</v>
      </c>
      <c r="C344" s="131" t="s">
        <v>1402</v>
      </c>
      <c r="D344" s="132"/>
      <c r="E344" s="132"/>
      <c r="F344" s="4" t="s">
        <v>1670</v>
      </c>
      <c r="G344" s="68">
        <v>1</v>
      </c>
      <c r="H344" s="162">
        <v>0</v>
      </c>
      <c r="I344" s="16">
        <f t="shared" si="392"/>
        <v>0</v>
      </c>
      <c r="J344" s="16">
        <f t="shared" si="393"/>
        <v>0</v>
      </c>
      <c r="K344" s="16">
        <f t="shared" si="394"/>
        <v>0</v>
      </c>
      <c r="L344" s="27"/>
      <c r="Z344" s="33">
        <f t="shared" si="395"/>
        <v>0</v>
      </c>
      <c r="AB344" s="33">
        <f t="shared" si="396"/>
        <v>0</v>
      </c>
      <c r="AC344" s="33">
        <f t="shared" si="397"/>
        <v>0</v>
      </c>
      <c r="AD344" s="33">
        <f t="shared" si="398"/>
        <v>0</v>
      </c>
      <c r="AE344" s="33">
        <f t="shared" si="399"/>
        <v>0</v>
      </c>
      <c r="AF344" s="33">
        <f t="shared" si="400"/>
        <v>0</v>
      </c>
      <c r="AG344" s="33">
        <f t="shared" si="401"/>
        <v>0</v>
      </c>
      <c r="AH344" s="33">
        <f t="shared" si="402"/>
        <v>0</v>
      </c>
      <c r="AI344" s="28"/>
      <c r="AJ344" s="16">
        <f t="shared" si="403"/>
        <v>0</v>
      </c>
      <c r="AK344" s="16">
        <f t="shared" si="404"/>
        <v>0</v>
      </c>
      <c r="AL344" s="16">
        <f t="shared" si="405"/>
        <v>0</v>
      </c>
      <c r="AN344" s="33">
        <v>21</v>
      </c>
      <c r="AO344" s="33">
        <f t="shared" si="406"/>
        <v>0</v>
      </c>
      <c r="AP344" s="33">
        <f t="shared" si="407"/>
        <v>0</v>
      </c>
      <c r="AQ344" s="27" t="s">
        <v>13</v>
      </c>
      <c r="AV344" s="33">
        <f t="shared" si="408"/>
        <v>0</v>
      </c>
      <c r="AW344" s="33">
        <f t="shared" si="409"/>
        <v>0</v>
      </c>
      <c r="AX344" s="33">
        <f t="shared" si="410"/>
        <v>0</v>
      </c>
      <c r="AY344" s="34" t="s">
        <v>1728</v>
      </c>
      <c r="AZ344" s="34" t="s">
        <v>1748</v>
      </c>
      <c r="BA344" s="28" t="s">
        <v>1752</v>
      </c>
      <c r="BC344" s="33">
        <f t="shared" si="411"/>
        <v>0</v>
      </c>
      <c r="BD344" s="33">
        <f t="shared" si="412"/>
        <v>0</v>
      </c>
      <c r="BE344" s="33">
        <v>0</v>
      </c>
      <c r="BF344" s="33">
        <f>344</f>
        <v>344</v>
      </c>
      <c r="BH344" s="16">
        <f t="shared" si="413"/>
        <v>0</v>
      </c>
      <c r="BI344" s="16">
        <f t="shared" si="414"/>
        <v>0</v>
      </c>
      <c r="BJ344" s="16">
        <f t="shared" si="415"/>
        <v>0</v>
      </c>
    </row>
    <row r="345" spans="1:62" x14ac:dyDescent="0.2">
      <c r="A345" s="4" t="s">
        <v>283</v>
      </c>
      <c r="B345" s="4" t="s">
        <v>823</v>
      </c>
      <c r="C345" s="131" t="s">
        <v>1403</v>
      </c>
      <c r="D345" s="132"/>
      <c r="E345" s="132"/>
      <c r="F345" s="4" t="s">
        <v>1670</v>
      </c>
      <c r="G345" s="68">
        <v>1</v>
      </c>
      <c r="H345" s="162">
        <v>0</v>
      </c>
      <c r="I345" s="16">
        <f t="shared" si="392"/>
        <v>0</v>
      </c>
      <c r="J345" s="16">
        <f t="shared" si="393"/>
        <v>0</v>
      </c>
      <c r="K345" s="16">
        <f t="shared" si="394"/>
        <v>0</v>
      </c>
      <c r="L345" s="27"/>
      <c r="Z345" s="33">
        <f t="shared" si="395"/>
        <v>0</v>
      </c>
      <c r="AB345" s="33">
        <f t="shared" si="396"/>
        <v>0</v>
      </c>
      <c r="AC345" s="33">
        <f t="shared" si="397"/>
        <v>0</v>
      </c>
      <c r="AD345" s="33">
        <f t="shared" si="398"/>
        <v>0</v>
      </c>
      <c r="AE345" s="33">
        <f t="shared" si="399"/>
        <v>0</v>
      </c>
      <c r="AF345" s="33">
        <f t="shared" si="400"/>
        <v>0</v>
      </c>
      <c r="AG345" s="33">
        <f t="shared" si="401"/>
        <v>0</v>
      </c>
      <c r="AH345" s="33">
        <f t="shared" si="402"/>
        <v>0</v>
      </c>
      <c r="AI345" s="28"/>
      <c r="AJ345" s="16">
        <f t="shared" si="403"/>
        <v>0</v>
      </c>
      <c r="AK345" s="16">
        <f t="shared" si="404"/>
        <v>0</v>
      </c>
      <c r="AL345" s="16">
        <f t="shared" si="405"/>
        <v>0</v>
      </c>
      <c r="AN345" s="33">
        <v>21</v>
      </c>
      <c r="AO345" s="33">
        <f t="shared" si="406"/>
        <v>0</v>
      </c>
      <c r="AP345" s="33">
        <f t="shared" si="407"/>
        <v>0</v>
      </c>
      <c r="AQ345" s="27" t="s">
        <v>13</v>
      </c>
      <c r="AV345" s="33">
        <f t="shared" si="408"/>
        <v>0</v>
      </c>
      <c r="AW345" s="33">
        <f t="shared" si="409"/>
        <v>0</v>
      </c>
      <c r="AX345" s="33">
        <f t="shared" si="410"/>
        <v>0</v>
      </c>
      <c r="AY345" s="34" t="s">
        <v>1728</v>
      </c>
      <c r="AZ345" s="34" t="s">
        <v>1748</v>
      </c>
      <c r="BA345" s="28" t="s">
        <v>1752</v>
      </c>
      <c r="BC345" s="33">
        <f t="shared" si="411"/>
        <v>0</v>
      </c>
      <c r="BD345" s="33">
        <f t="shared" si="412"/>
        <v>0</v>
      </c>
      <c r="BE345" s="33">
        <v>0</v>
      </c>
      <c r="BF345" s="33">
        <f>345</f>
        <v>345</v>
      </c>
      <c r="BH345" s="16">
        <f t="shared" si="413"/>
        <v>0</v>
      </c>
      <c r="BI345" s="16">
        <f t="shared" si="414"/>
        <v>0</v>
      </c>
      <c r="BJ345" s="16">
        <f t="shared" si="415"/>
        <v>0</v>
      </c>
    </row>
    <row r="346" spans="1:62" x14ac:dyDescent="0.2">
      <c r="A346" s="4" t="s">
        <v>284</v>
      </c>
      <c r="B346" s="4" t="s">
        <v>824</v>
      </c>
      <c r="C346" s="131" t="s">
        <v>1404</v>
      </c>
      <c r="D346" s="132"/>
      <c r="E346" s="132"/>
      <c r="F346" s="4" t="s">
        <v>1665</v>
      </c>
      <c r="G346" s="68">
        <v>1</v>
      </c>
      <c r="H346" s="162">
        <v>0</v>
      </c>
      <c r="I346" s="16">
        <f t="shared" si="392"/>
        <v>0</v>
      </c>
      <c r="J346" s="16">
        <f t="shared" si="393"/>
        <v>0</v>
      </c>
      <c r="K346" s="16">
        <f t="shared" si="394"/>
        <v>0</v>
      </c>
      <c r="L346" s="27"/>
      <c r="Z346" s="33">
        <f t="shared" si="395"/>
        <v>0</v>
      </c>
      <c r="AB346" s="33">
        <f t="shared" si="396"/>
        <v>0</v>
      </c>
      <c r="AC346" s="33">
        <f t="shared" si="397"/>
        <v>0</v>
      </c>
      <c r="AD346" s="33">
        <f t="shared" si="398"/>
        <v>0</v>
      </c>
      <c r="AE346" s="33">
        <f t="shared" si="399"/>
        <v>0</v>
      </c>
      <c r="AF346" s="33">
        <f t="shared" si="400"/>
        <v>0</v>
      </c>
      <c r="AG346" s="33">
        <f t="shared" si="401"/>
        <v>0</v>
      </c>
      <c r="AH346" s="33">
        <f t="shared" si="402"/>
        <v>0</v>
      </c>
      <c r="AI346" s="28"/>
      <c r="AJ346" s="16">
        <f t="shared" si="403"/>
        <v>0</v>
      </c>
      <c r="AK346" s="16">
        <f t="shared" si="404"/>
        <v>0</v>
      </c>
      <c r="AL346" s="16">
        <f t="shared" si="405"/>
        <v>0</v>
      </c>
      <c r="AN346" s="33">
        <v>21</v>
      </c>
      <c r="AO346" s="33">
        <f t="shared" si="406"/>
        <v>0</v>
      </c>
      <c r="AP346" s="33">
        <f t="shared" si="407"/>
        <v>0</v>
      </c>
      <c r="AQ346" s="27" t="s">
        <v>13</v>
      </c>
      <c r="AV346" s="33">
        <f t="shared" si="408"/>
        <v>0</v>
      </c>
      <c r="AW346" s="33">
        <f t="shared" si="409"/>
        <v>0</v>
      </c>
      <c r="AX346" s="33">
        <f t="shared" si="410"/>
        <v>0</v>
      </c>
      <c r="AY346" s="34" t="s">
        <v>1728</v>
      </c>
      <c r="AZ346" s="34" t="s">
        <v>1748</v>
      </c>
      <c r="BA346" s="28" t="s">
        <v>1752</v>
      </c>
      <c r="BC346" s="33">
        <f t="shared" si="411"/>
        <v>0</v>
      </c>
      <c r="BD346" s="33">
        <f t="shared" si="412"/>
        <v>0</v>
      </c>
      <c r="BE346" s="33">
        <v>0</v>
      </c>
      <c r="BF346" s="33">
        <f>346</f>
        <v>346</v>
      </c>
      <c r="BH346" s="16">
        <f t="shared" si="413"/>
        <v>0</v>
      </c>
      <c r="BI346" s="16">
        <f t="shared" si="414"/>
        <v>0</v>
      </c>
      <c r="BJ346" s="16">
        <f t="shared" si="415"/>
        <v>0</v>
      </c>
    </row>
    <row r="347" spans="1:62" x14ac:dyDescent="0.2">
      <c r="A347" s="4" t="s">
        <v>285</v>
      </c>
      <c r="B347" s="4" t="s">
        <v>825</v>
      </c>
      <c r="C347" s="131" t="s">
        <v>1405</v>
      </c>
      <c r="D347" s="132"/>
      <c r="E347" s="132"/>
      <c r="F347" s="4" t="s">
        <v>1665</v>
      </c>
      <c r="G347" s="68">
        <v>1</v>
      </c>
      <c r="H347" s="162">
        <v>0</v>
      </c>
      <c r="I347" s="16">
        <f t="shared" si="392"/>
        <v>0</v>
      </c>
      <c r="J347" s="16">
        <f t="shared" si="393"/>
        <v>0</v>
      </c>
      <c r="K347" s="16">
        <f t="shared" si="394"/>
        <v>0</v>
      </c>
      <c r="L347" s="27"/>
      <c r="Z347" s="33">
        <f t="shared" si="395"/>
        <v>0</v>
      </c>
      <c r="AB347" s="33">
        <f t="shared" si="396"/>
        <v>0</v>
      </c>
      <c r="AC347" s="33">
        <f t="shared" si="397"/>
        <v>0</v>
      </c>
      <c r="AD347" s="33">
        <f t="shared" si="398"/>
        <v>0</v>
      </c>
      <c r="AE347" s="33">
        <f t="shared" si="399"/>
        <v>0</v>
      </c>
      <c r="AF347" s="33">
        <f t="shared" si="400"/>
        <v>0</v>
      </c>
      <c r="AG347" s="33">
        <f t="shared" si="401"/>
        <v>0</v>
      </c>
      <c r="AH347" s="33">
        <f t="shared" si="402"/>
        <v>0</v>
      </c>
      <c r="AI347" s="28"/>
      <c r="AJ347" s="16">
        <f t="shared" si="403"/>
        <v>0</v>
      </c>
      <c r="AK347" s="16">
        <f t="shared" si="404"/>
        <v>0</v>
      </c>
      <c r="AL347" s="16">
        <f t="shared" si="405"/>
        <v>0</v>
      </c>
      <c r="AN347" s="33">
        <v>21</v>
      </c>
      <c r="AO347" s="33">
        <f t="shared" si="406"/>
        <v>0</v>
      </c>
      <c r="AP347" s="33">
        <f t="shared" si="407"/>
        <v>0</v>
      </c>
      <c r="AQ347" s="27" t="s">
        <v>13</v>
      </c>
      <c r="AV347" s="33">
        <f t="shared" si="408"/>
        <v>0</v>
      </c>
      <c r="AW347" s="33">
        <f t="shared" si="409"/>
        <v>0</v>
      </c>
      <c r="AX347" s="33">
        <f t="shared" si="410"/>
        <v>0</v>
      </c>
      <c r="AY347" s="34" t="s">
        <v>1728</v>
      </c>
      <c r="AZ347" s="34" t="s">
        <v>1748</v>
      </c>
      <c r="BA347" s="28" t="s">
        <v>1752</v>
      </c>
      <c r="BC347" s="33">
        <f t="shared" si="411"/>
        <v>0</v>
      </c>
      <c r="BD347" s="33">
        <f t="shared" si="412"/>
        <v>0</v>
      </c>
      <c r="BE347" s="33">
        <v>0</v>
      </c>
      <c r="BF347" s="33">
        <f>347</f>
        <v>347</v>
      </c>
      <c r="BH347" s="16">
        <f t="shared" si="413"/>
        <v>0</v>
      </c>
      <c r="BI347" s="16">
        <f t="shared" si="414"/>
        <v>0</v>
      </c>
      <c r="BJ347" s="16">
        <f t="shared" si="415"/>
        <v>0</v>
      </c>
    </row>
    <row r="348" spans="1:62" x14ac:dyDescent="0.2">
      <c r="A348" s="4" t="s">
        <v>286</v>
      </c>
      <c r="B348" s="4" t="s">
        <v>826</v>
      </c>
      <c r="C348" s="131" t="s">
        <v>1406</v>
      </c>
      <c r="D348" s="132"/>
      <c r="E348" s="132"/>
      <c r="F348" s="4" t="s">
        <v>1670</v>
      </c>
      <c r="G348" s="68">
        <v>1</v>
      </c>
      <c r="H348" s="162">
        <v>0</v>
      </c>
      <c r="I348" s="16">
        <f t="shared" si="392"/>
        <v>0</v>
      </c>
      <c r="J348" s="16">
        <f t="shared" si="393"/>
        <v>0</v>
      </c>
      <c r="K348" s="16">
        <f t="shared" si="394"/>
        <v>0</v>
      </c>
      <c r="L348" s="27"/>
      <c r="Z348" s="33">
        <f t="shared" si="395"/>
        <v>0</v>
      </c>
      <c r="AB348" s="33">
        <f t="shared" si="396"/>
        <v>0</v>
      </c>
      <c r="AC348" s="33">
        <f t="shared" si="397"/>
        <v>0</v>
      </c>
      <c r="AD348" s="33">
        <f t="shared" si="398"/>
        <v>0</v>
      </c>
      <c r="AE348" s="33">
        <f t="shared" si="399"/>
        <v>0</v>
      </c>
      <c r="AF348" s="33">
        <f t="shared" si="400"/>
        <v>0</v>
      </c>
      <c r="AG348" s="33">
        <f t="shared" si="401"/>
        <v>0</v>
      </c>
      <c r="AH348" s="33">
        <f t="shared" si="402"/>
        <v>0</v>
      </c>
      <c r="AI348" s="28"/>
      <c r="AJ348" s="16">
        <f t="shared" si="403"/>
        <v>0</v>
      </c>
      <c r="AK348" s="16">
        <f t="shared" si="404"/>
        <v>0</v>
      </c>
      <c r="AL348" s="16">
        <f t="shared" si="405"/>
        <v>0</v>
      </c>
      <c r="AN348" s="33">
        <v>21</v>
      </c>
      <c r="AO348" s="33">
        <f t="shared" si="406"/>
        <v>0</v>
      </c>
      <c r="AP348" s="33">
        <f t="shared" si="407"/>
        <v>0</v>
      </c>
      <c r="AQ348" s="27" t="s">
        <v>13</v>
      </c>
      <c r="AV348" s="33">
        <f t="shared" si="408"/>
        <v>0</v>
      </c>
      <c r="AW348" s="33">
        <f t="shared" si="409"/>
        <v>0</v>
      </c>
      <c r="AX348" s="33">
        <f t="shared" si="410"/>
        <v>0</v>
      </c>
      <c r="AY348" s="34" t="s">
        <v>1728</v>
      </c>
      <c r="AZ348" s="34" t="s">
        <v>1748</v>
      </c>
      <c r="BA348" s="28" t="s">
        <v>1752</v>
      </c>
      <c r="BC348" s="33">
        <f t="shared" si="411"/>
        <v>0</v>
      </c>
      <c r="BD348" s="33">
        <f t="shared" si="412"/>
        <v>0</v>
      </c>
      <c r="BE348" s="33">
        <v>0</v>
      </c>
      <c r="BF348" s="33">
        <f>348</f>
        <v>348</v>
      </c>
      <c r="BH348" s="16">
        <f t="shared" si="413"/>
        <v>0</v>
      </c>
      <c r="BI348" s="16">
        <f t="shared" si="414"/>
        <v>0</v>
      </c>
      <c r="BJ348" s="16">
        <f t="shared" si="415"/>
        <v>0</v>
      </c>
    </row>
    <row r="349" spans="1:62" x14ac:dyDescent="0.2">
      <c r="A349" s="4" t="s">
        <v>287</v>
      </c>
      <c r="B349" s="4" t="s">
        <v>827</v>
      </c>
      <c r="C349" s="131" t="s">
        <v>1303</v>
      </c>
      <c r="D349" s="132"/>
      <c r="E349" s="132"/>
      <c r="F349" s="4" t="s">
        <v>1665</v>
      </c>
      <c r="G349" s="68">
        <v>1</v>
      </c>
      <c r="H349" s="162">
        <v>0</v>
      </c>
      <c r="I349" s="16">
        <f t="shared" si="392"/>
        <v>0</v>
      </c>
      <c r="J349" s="16">
        <f t="shared" si="393"/>
        <v>0</v>
      </c>
      <c r="K349" s="16">
        <f t="shared" si="394"/>
        <v>0</v>
      </c>
      <c r="L349" s="27"/>
      <c r="Z349" s="33">
        <f t="shared" si="395"/>
        <v>0</v>
      </c>
      <c r="AB349" s="33">
        <f t="shared" si="396"/>
        <v>0</v>
      </c>
      <c r="AC349" s="33">
        <f t="shared" si="397"/>
        <v>0</v>
      </c>
      <c r="AD349" s="33">
        <f t="shared" si="398"/>
        <v>0</v>
      </c>
      <c r="AE349" s="33">
        <f t="shared" si="399"/>
        <v>0</v>
      </c>
      <c r="AF349" s="33">
        <f t="shared" si="400"/>
        <v>0</v>
      </c>
      <c r="AG349" s="33">
        <f t="shared" si="401"/>
        <v>0</v>
      </c>
      <c r="AH349" s="33">
        <f t="shared" si="402"/>
        <v>0</v>
      </c>
      <c r="AI349" s="28"/>
      <c r="AJ349" s="16">
        <f t="shared" si="403"/>
        <v>0</v>
      </c>
      <c r="AK349" s="16">
        <f t="shared" si="404"/>
        <v>0</v>
      </c>
      <c r="AL349" s="16">
        <f t="shared" si="405"/>
        <v>0</v>
      </c>
      <c r="AN349" s="33">
        <v>21</v>
      </c>
      <c r="AO349" s="33">
        <f t="shared" si="406"/>
        <v>0</v>
      </c>
      <c r="AP349" s="33">
        <f t="shared" si="407"/>
        <v>0</v>
      </c>
      <c r="AQ349" s="27" t="s">
        <v>13</v>
      </c>
      <c r="AV349" s="33">
        <f t="shared" si="408"/>
        <v>0</v>
      </c>
      <c r="AW349" s="33">
        <f t="shared" si="409"/>
        <v>0</v>
      </c>
      <c r="AX349" s="33">
        <f t="shared" si="410"/>
        <v>0</v>
      </c>
      <c r="AY349" s="34" t="s">
        <v>1728</v>
      </c>
      <c r="AZ349" s="34" t="s">
        <v>1748</v>
      </c>
      <c r="BA349" s="28" t="s">
        <v>1752</v>
      </c>
      <c r="BC349" s="33">
        <f t="shared" si="411"/>
        <v>0</v>
      </c>
      <c r="BD349" s="33">
        <f t="shared" si="412"/>
        <v>0</v>
      </c>
      <c r="BE349" s="33">
        <v>0</v>
      </c>
      <c r="BF349" s="33">
        <f>349</f>
        <v>349</v>
      </c>
      <c r="BH349" s="16">
        <f t="shared" si="413"/>
        <v>0</v>
      </c>
      <c r="BI349" s="16">
        <f t="shared" si="414"/>
        <v>0</v>
      </c>
      <c r="BJ349" s="16">
        <f t="shared" si="415"/>
        <v>0</v>
      </c>
    </row>
    <row r="350" spans="1:62" x14ac:dyDescent="0.2">
      <c r="A350" s="4" t="s">
        <v>288</v>
      </c>
      <c r="B350" s="4" t="s">
        <v>828</v>
      </c>
      <c r="C350" s="131" t="s">
        <v>1304</v>
      </c>
      <c r="D350" s="132"/>
      <c r="E350" s="132"/>
      <c r="F350" s="4" t="s">
        <v>1665</v>
      </c>
      <c r="G350" s="68">
        <v>1</v>
      </c>
      <c r="H350" s="162">
        <v>0</v>
      </c>
      <c r="I350" s="16">
        <f t="shared" si="392"/>
        <v>0</v>
      </c>
      <c r="J350" s="16">
        <f t="shared" si="393"/>
        <v>0</v>
      </c>
      <c r="K350" s="16">
        <f t="shared" si="394"/>
        <v>0</v>
      </c>
      <c r="L350" s="27"/>
      <c r="Z350" s="33">
        <f t="shared" si="395"/>
        <v>0</v>
      </c>
      <c r="AB350" s="33">
        <f t="shared" si="396"/>
        <v>0</v>
      </c>
      <c r="AC350" s="33">
        <f t="shared" si="397"/>
        <v>0</v>
      </c>
      <c r="AD350" s="33">
        <f t="shared" si="398"/>
        <v>0</v>
      </c>
      <c r="AE350" s="33">
        <f t="shared" si="399"/>
        <v>0</v>
      </c>
      <c r="AF350" s="33">
        <f t="shared" si="400"/>
        <v>0</v>
      </c>
      <c r="AG350" s="33">
        <f t="shared" si="401"/>
        <v>0</v>
      </c>
      <c r="AH350" s="33">
        <f t="shared" si="402"/>
        <v>0</v>
      </c>
      <c r="AI350" s="28"/>
      <c r="AJ350" s="16">
        <f t="shared" si="403"/>
        <v>0</v>
      </c>
      <c r="AK350" s="16">
        <f t="shared" si="404"/>
        <v>0</v>
      </c>
      <c r="AL350" s="16">
        <f t="shared" si="405"/>
        <v>0</v>
      </c>
      <c r="AN350" s="33">
        <v>21</v>
      </c>
      <c r="AO350" s="33">
        <f t="shared" si="406"/>
        <v>0</v>
      </c>
      <c r="AP350" s="33">
        <f t="shared" si="407"/>
        <v>0</v>
      </c>
      <c r="AQ350" s="27" t="s">
        <v>13</v>
      </c>
      <c r="AV350" s="33">
        <f t="shared" si="408"/>
        <v>0</v>
      </c>
      <c r="AW350" s="33">
        <f t="shared" si="409"/>
        <v>0</v>
      </c>
      <c r="AX350" s="33">
        <f t="shared" si="410"/>
        <v>0</v>
      </c>
      <c r="AY350" s="34" t="s">
        <v>1728</v>
      </c>
      <c r="AZ350" s="34" t="s">
        <v>1748</v>
      </c>
      <c r="BA350" s="28" t="s">
        <v>1752</v>
      </c>
      <c r="BC350" s="33">
        <f t="shared" si="411"/>
        <v>0</v>
      </c>
      <c r="BD350" s="33">
        <f t="shared" si="412"/>
        <v>0</v>
      </c>
      <c r="BE350" s="33">
        <v>0</v>
      </c>
      <c r="BF350" s="33">
        <f>350</f>
        <v>350</v>
      </c>
      <c r="BH350" s="16">
        <f t="shared" si="413"/>
        <v>0</v>
      </c>
      <c r="BI350" s="16">
        <f t="shared" si="414"/>
        <v>0</v>
      </c>
      <c r="BJ350" s="16">
        <f t="shared" si="415"/>
        <v>0</v>
      </c>
    </row>
    <row r="351" spans="1:62" x14ac:dyDescent="0.2">
      <c r="A351" s="4" t="s">
        <v>289</v>
      </c>
      <c r="B351" s="4" t="s">
        <v>829</v>
      </c>
      <c r="C351" s="131" t="s">
        <v>1305</v>
      </c>
      <c r="D351" s="132"/>
      <c r="E351" s="132"/>
      <c r="F351" s="4" t="s">
        <v>1670</v>
      </c>
      <c r="G351" s="68">
        <v>1</v>
      </c>
      <c r="H351" s="162">
        <v>0</v>
      </c>
      <c r="I351" s="16">
        <f t="shared" si="392"/>
        <v>0</v>
      </c>
      <c r="J351" s="16">
        <f t="shared" si="393"/>
        <v>0</v>
      </c>
      <c r="K351" s="16">
        <f t="shared" si="394"/>
        <v>0</v>
      </c>
      <c r="L351" s="27"/>
      <c r="Z351" s="33">
        <f t="shared" si="395"/>
        <v>0</v>
      </c>
      <c r="AB351" s="33">
        <f t="shared" si="396"/>
        <v>0</v>
      </c>
      <c r="AC351" s="33">
        <f t="shared" si="397"/>
        <v>0</v>
      </c>
      <c r="AD351" s="33">
        <f t="shared" si="398"/>
        <v>0</v>
      </c>
      <c r="AE351" s="33">
        <f t="shared" si="399"/>
        <v>0</v>
      </c>
      <c r="AF351" s="33">
        <f t="shared" si="400"/>
        <v>0</v>
      </c>
      <c r="AG351" s="33">
        <f t="shared" si="401"/>
        <v>0</v>
      </c>
      <c r="AH351" s="33">
        <f t="shared" si="402"/>
        <v>0</v>
      </c>
      <c r="AI351" s="28"/>
      <c r="AJ351" s="16">
        <f t="shared" si="403"/>
        <v>0</v>
      </c>
      <c r="AK351" s="16">
        <f t="shared" si="404"/>
        <v>0</v>
      </c>
      <c r="AL351" s="16">
        <f t="shared" si="405"/>
        <v>0</v>
      </c>
      <c r="AN351" s="33">
        <v>21</v>
      </c>
      <c r="AO351" s="33">
        <f t="shared" si="406"/>
        <v>0</v>
      </c>
      <c r="AP351" s="33">
        <f t="shared" si="407"/>
        <v>0</v>
      </c>
      <c r="AQ351" s="27" t="s">
        <v>13</v>
      </c>
      <c r="AV351" s="33">
        <f t="shared" si="408"/>
        <v>0</v>
      </c>
      <c r="AW351" s="33">
        <f t="shared" si="409"/>
        <v>0</v>
      </c>
      <c r="AX351" s="33">
        <f t="shared" si="410"/>
        <v>0</v>
      </c>
      <c r="AY351" s="34" t="s">
        <v>1728</v>
      </c>
      <c r="AZ351" s="34" t="s">
        <v>1748</v>
      </c>
      <c r="BA351" s="28" t="s">
        <v>1752</v>
      </c>
      <c r="BC351" s="33">
        <f t="shared" si="411"/>
        <v>0</v>
      </c>
      <c r="BD351" s="33">
        <f t="shared" si="412"/>
        <v>0</v>
      </c>
      <c r="BE351" s="33">
        <v>0</v>
      </c>
      <c r="BF351" s="33">
        <f>351</f>
        <v>351</v>
      </c>
      <c r="BH351" s="16">
        <f t="shared" si="413"/>
        <v>0</v>
      </c>
      <c r="BI351" s="16">
        <f t="shared" si="414"/>
        <v>0</v>
      </c>
      <c r="BJ351" s="16">
        <f t="shared" si="415"/>
        <v>0</v>
      </c>
    </row>
    <row r="352" spans="1:62" x14ac:dyDescent="0.2">
      <c r="C352" s="140" t="s">
        <v>1407</v>
      </c>
      <c r="D352" s="141"/>
      <c r="E352" s="141"/>
      <c r="H352" s="164"/>
    </row>
    <row r="353" spans="1:62" x14ac:dyDescent="0.2">
      <c r="A353" s="5"/>
      <c r="B353" s="13" t="s">
        <v>830</v>
      </c>
      <c r="C353" s="136" t="s">
        <v>1408</v>
      </c>
      <c r="D353" s="137"/>
      <c r="E353" s="137"/>
      <c r="F353" s="5" t="s">
        <v>6</v>
      </c>
      <c r="G353" s="5" t="s">
        <v>6</v>
      </c>
      <c r="H353" s="163" t="s">
        <v>6</v>
      </c>
      <c r="I353" s="36">
        <f>SUM(I354:I365)</f>
        <v>0</v>
      </c>
      <c r="J353" s="36">
        <f>SUM(J354:J365)</f>
        <v>0</v>
      </c>
      <c r="K353" s="36">
        <f>SUM(K354:K365)</f>
        <v>0</v>
      </c>
      <c r="L353" s="28"/>
      <c r="AI353" s="28"/>
      <c r="AS353" s="36">
        <f>SUM(AJ354:AJ365)</f>
        <v>0</v>
      </c>
      <c r="AT353" s="36">
        <f>SUM(AK354:AK365)</f>
        <v>0</v>
      </c>
      <c r="AU353" s="36">
        <f>SUM(AL354:AL365)</f>
        <v>0</v>
      </c>
    </row>
    <row r="354" spans="1:62" x14ac:dyDescent="0.2">
      <c r="A354" s="4" t="s">
        <v>290</v>
      </c>
      <c r="B354" s="4" t="s">
        <v>831</v>
      </c>
      <c r="C354" s="131" t="s">
        <v>1409</v>
      </c>
      <c r="D354" s="132"/>
      <c r="E354" s="132"/>
      <c r="F354" s="4" t="s">
        <v>1665</v>
      </c>
      <c r="G354" s="68">
        <v>2</v>
      </c>
      <c r="H354" s="162">
        <v>0</v>
      </c>
      <c r="I354" s="16">
        <f>G354*AO354</f>
        <v>0</v>
      </c>
      <c r="J354" s="16">
        <f>G354*AP354</f>
        <v>0</v>
      </c>
      <c r="K354" s="16">
        <f>G354*H354</f>
        <v>0</v>
      </c>
      <c r="L354" s="27" t="s">
        <v>1692</v>
      </c>
      <c r="Z354" s="33">
        <f>IF(AQ354="5",BJ354,0)</f>
        <v>0</v>
      </c>
      <c r="AB354" s="33">
        <f>IF(AQ354="1",BH354,0)</f>
        <v>0</v>
      </c>
      <c r="AC354" s="33">
        <f>IF(AQ354="1",BI354,0)</f>
        <v>0</v>
      </c>
      <c r="AD354" s="33">
        <f>IF(AQ354="7",BH354,0)</f>
        <v>0</v>
      </c>
      <c r="AE354" s="33">
        <f>IF(AQ354="7",BI354,0)</f>
        <v>0</v>
      </c>
      <c r="AF354" s="33">
        <f>IF(AQ354="2",BH354,0)</f>
        <v>0</v>
      </c>
      <c r="AG354" s="33">
        <f>IF(AQ354="2",BI354,0)</f>
        <v>0</v>
      </c>
      <c r="AH354" s="33">
        <f>IF(AQ354="0",BJ354,0)</f>
        <v>0</v>
      </c>
      <c r="AI354" s="28"/>
      <c r="AJ354" s="16">
        <f>IF(AN354=0,K354,0)</f>
        <v>0</v>
      </c>
      <c r="AK354" s="16">
        <f>IF(AN354=15,K354,0)</f>
        <v>0</v>
      </c>
      <c r="AL354" s="16">
        <f>IF(AN354=21,K354,0)</f>
        <v>0</v>
      </c>
      <c r="AN354" s="33">
        <v>21</v>
      </c>
      <c r="AO354" s="33">
        <f>H354*0.0748846447669977</f>
        <v>0</v>
      </c>
      <c r="AP354" s="33">
        <f>H354*(1-0.0748846447669977)</f>
        <v>0</v>
      </c>
      <c r="AQ354" s="27" t="s">
        <v>13</v>
      </c>
      <c r="AV354" s="33">
        <f>AW354+AX354</f>
        <v>0</v>
      </c>
      <c r="AW354" s="33">
        <f>G354*AO354</f>
        <v>0</v>
      </c>
      <c r="AX354" s="33">
        <f>G354*AP354</f>
        <v>0</v>
      </c>
      <c r="AY354" s="34" t="s">
        <v>1729</v>
      </c>
      <c r="AZ354" s="34" t="s">
        <v>1749</v>
      </c>
      <c r="BA354" s="28" t="s">
        <v>1752</v>
      </c>
      <c r="BC354" s="33">
        <f>AW354+AX354</f>
        <v>0</v>
      </c>
      <c r="BD354" s="33">
        <f>H354/(100-BE354)*100</f>
        <v>0</v>
      </c>
      <c r="BE354" s="33">
        <v>0</v>
      </c>
      <c r="BF354" s="33">
        <f>354</f>
        <v>354</v>
      </c>
      <c r="BH354" s="16">
        <f>G354*AO354</f>
        <v>0</v>
      </c>
      <c r="BI354" s="16">
        <f>G354*AP354</f>
        <v>0</v>
      </c>
      <c r="BJ354" s="16">
        <f>G354*H354</f>
        <v>0</v>
      </c>
    </row>
    <row r="355" spans="1:62" x14ac:dyDescent="0.2">
      <c r="A355" s="4" t="s">
        <v>291</v>
      </c>
      <c r="B355" s="4" t="s">
        <v>832</v>
      </c>
      <c r="C355" s="131" t="s">
        <v>1410</v>
      </c>
      <c r="D355" s="132"/>
      <c r="E355" s="132"/>
      <c r="F355" s="4" t="s">
        <v>1665</v>
      </c>
      <c r="G355" s="68">
        <v>2</v>
      </c>
      <c r="H355" s="162">
        <v>0</v>
      </c>
      <c r="I355" s="16">
        <f>G355*AO355</f>
        <v>0</v>
      </c>
      <c r="J355" s="16">
        <f>G355*AP355</f>
        <v>0</v>
      </c>
      <c r="K355" s="16">
        <f>G355*H355</f>
        <v>0</v>
      </c>
      <c r="L355" s="27" t="s">
        <v>1692</v>
      </c>
      <c r="Z355" s="33">
        <f>IF(AQ355="5",BJ355,0)</f>
        <v>0</v>
      </c>
      <c r="AB355" s="33">
        <f>IF(AQ355="1",BH355,0)</f>
        <v>0</v>
      </c>
      <c r="AC355" s="33">
        <f>IF(AQ355="1",BI355,0)</f>
        <v>0</v>
      </c>
      <c r="AD355" s="33">
        <f>IF(AQ355="7",BH355,0)</f>
        <v>0</v>
      </c>
      <c r="AE355" s="33">
        <f>IF(AQ355="7",BI355,0)</f>
        <v>0</v>
      </c>
      <c r="AF355" s="33">
        <f>IF(AQ355="2",BH355,0)</f>
        <v>0</v>
      </c>
      <c r="AG355" s="33">
        <f>IF(AQ355="2",BI355,0)</f>
        <v>0</v>
      </c>
      <c r="AH355" s="33">
        <f>IF(AQ355="0",BJ355,0)</f>
        <v>0</v>
      </c>
      <c r="AI355" s="28"/>
      <c r="AJ355" s="16">
        <f>IF(AN355=0,K355,0)</f>
        <v>0</v>
      </c>
      <c r="AK355" s="16">
        <f>IF(AN355=15,K355,0)</f>
        <v>0</v>
      </c>
      <c r="AL355" s="16">
        <f>IF(AN355=21,K355,0)</f>
        <v>0</v>
      </c>
      <c r="AN355" s="33">
        <v>21</v>
      </c>
      <c r="AO355" s="33">
        <f>H355*0.106067246364201</f>
        <v>0</v>
      </c>
      <c r="AP355" s="33">
        <f>H355*(1-0.106067246364201)</f>
        <v>0</v>
      </c>
      <c r="AQ355" s="27" t="s">
        <v>13</v>
      </c>
      <c r="AV355" s="33">
        <f>AW355+AX355</f>
        <v>0</v>
      </c>
      <c r="AW355" s="33">
        <f>G355*AO355</f>
        <v>0</v>
      </c>
      <c r="AX355" s="33">
        <f>G355*AP355</f>
        <v>0</v>
      </c>
      <c r="AY355" s="34" t="s">
        <v>1729</v>
      </c>
      <c r="AZ355" s="34" t="s">
        <v>1749</v>
      </c>
      <c r="BA355" s="28" t="s">
        <v>1752</v>
      </c>
      <c r="BC355" s="33">
        <f>AW355+AX355</f>
        <v>0</v>
      </c>
      <c r="BD355" s="33">
        <f>H355/(100-BE355)*100</f>
        <v>0</v>
      </c>
      <c r="BE355" s="33">
        <v>0</v>
      </c>
      <c r="BF355" s="33">
        <f>355</f>
        <v>355</v>
      </c>
      <c r="BH355" s="16">
        <f>G355*AO355</f>
        <v>0</v>
      </c>
      <c r="BI355" s="16">
        <f>G355*AP355</f>
        <v>0</v>
      </c>
      <c r="BJ355" s="16">
        <f>G355*H355</f>
        <v>0</v>
      </c>
    </row>
    <row r="356" spans="1:62" x14ac:dyDescent="0.2">
      <c r="A356" s="4" t="s">
        <v>292</v>
      </c>
      <c r="B356" s="4" t="s">
        <v>833</v>
      </c>
      <c r="C356" s="131" t="s">
        <v>1411</v>
      </c>
      <c r="D356" s="132"/>
      <c r="E356" s="132"/>
      <c r="F356" s="4" t="s">
        <v>1663</v>
      </c>
      <c r="G356" s="68">
        <v>222.876</v>
      </c>
      <c r="H356" s="162">
        <v>0</v>
      </c>
      <c r="I356" s="16">
        <f>G356*AO356</f>
        <v>0</v>
      </c>
      <c r="J356" s="16">
        <f>G356*AP356</f>
        <v>0</v>
      </c>
      <c r="K356" s="16">
        <f>G356*H356</f>
        <v>0</v>
      </c>
      <c r="L356" s="27" t="s">
        <v>1692</v>
      </c>
      <c r="Z356" s="33">
        <f>IF(AQ356="5",BJ356,0)</f>
        <v>0</v>
      </c>
      <c r="AB356" s="33">
        <f>IF(AQ356="1",BH356,0)</f>
        <v>0</v>
      </c>
      <c r="AC356" s="33">
        <f>IF(AQ356="1",BI356,0)</f>
        <v>0</v>
      </c>
      <c r="AD356" s="33">
        <f>IF(AQ356="7",BH356,0)</f>
        <v>0</v>
      </c>
      <c r="AE356" s="33">
        <f>IF(AQ356="7",BI356,0)</f>
        <v>0</v>
      </c>
      <c r="AF356" s="33">
        <f>IF(AQ356="2",BH356,0)</f>
        <v>0</v>
      </c>
      <c r="AG356" s="33">
        <f>IF(AQ356="2",BI356,0)</f>
        <v>0</v>
      </c>
      <c r="AH356" s="33">
        <f>IF(AQ356="0",BJ356,0)</f>
        <v>0</v>
      </c>
      <c r="AI356" s="28"/>
      <c r="AJ356" s="16">
        <f>IF(AN356=0,K356,0)</f>
        <v>0</v>
      </c>
      <c r="AK356" s="16">
        <f>IF(AN356=15,K356,0)</f>
        <v>0</v>
      </c>
      <c r="AL356" s="16">
        <f>IF(AN356=21,K356,0)</f>
        <v>0</v>
      </c>
      <c r="AN356" s="33">
        <v>21</v>
      </c>
      <c r="AO356" s="33">
        <f>H356*0.469650793650794</f>
        <v>0</v>
      </c>
      <c r="AP356" s="33">
        <f>H356*(1-0.469650793650794)</f>
        <v>0</v>
      </c>
      <c r="AQ356" s="27" t="s">
        <v>13</v>
      </c>
      <c r="AV356" s="33">
        <f>AW356+AX356</f>
        <v>0</v>
      </c>
      <c r="AW356" s="33">
        <f>G356*AO356</f>
        <v>0</v>
      </c>
      <c r="AX356" s="33">
        <f>G356*AP356</f>
        <v>0</v>
      </c>
      <c r="AY356" s="34" t="s">
        <v>1729</v>
      </c>
      <c r="AZ356" s="34" t="s">
        <v>1749</v>
      </c>
      <c r="BA356" s="28" t="s">
        <v>1752</v>
      </c>
      <c r="BC356" s="33">
        <f>AW356+AX356</f>
        <v>0</v>
      </c>
      <c r="BD356" s="33">
        <f>H356/(100-BE356)*100</f>
        <v>0</v>
      </c>
      <c r="BE356" s="33">
        <v>0</v>
      </c>
      <c r="BF356" s="33">
        <f>356</f>
        <v>356</v>
      </c>
      <c r="BH356" s="16">
        <f>G356*AO356</f>
        <v>0</v>
      </c>
      <c r="BI356" s="16">
        <f>G356*AP356</f>
        <v>0</v>
      </c>
      <c r="BJ356" s="16">
        <f>G356*H356</f>
        <v>0</v>
      </c>
    </row>
    <row r="357" spans="1:62" x14ac:dyDescent="0.2">
      <c r="C357" s="140" t="s">
        <v>1412</v>
      </c>
      <c r="D357" s="141"/>
      <c r="E357" s="141"/>
      <c r="H357" s="164"/>
    </row>
    <row r="358" spans="1:62" x14ac:dyDescent="0.2">
      <c r="A358" s="4" t="s">
        <v>293</v>
      </c>
      <c r="B358" s="4" t="s">
        <v>834</v>
      </c>
      <c r="C358" s="131" t="s">
        <v>1413</v>
      </c>
      <c r="D358" s="132"/>
      <c r="E358" s="132"/>
      <c r="F358" s="4" t="s">
        <v>1665</v>
      </c>
      <c r="G358" s="68">
        <v>124.47499999999999</v>
      </c>
      <c r="H358" s="162">
        <v>0</v>
      </c>
      <c r="I358" s="16">
        <f>G358*AO358</f>
        <v>0</v>
      </c>
      <c r="J358" s="16">
        <f>G358*AP358</f>
        <v>0</v>
      </c>
      <c r="K358" s="16">
        <f>G358*H358</f>
        <v>0</v>
      </c>
      <c r="L358" s="27" t="s">
        <v>1692</v>
      </c>
      <c r="Z358" s="33">
        <f>IF(AQ358="5",BJ358,0)</f>
        <v>0</v>
      </c>
      <c r="AB358" s="33">
        <f>IF(AQ358="1",BH358,0)</f>
        <v>0</v>
      </c>
      <c r="AC358" s="33">
        <f>IF(AQ358="1",BI358,0)</f>
        <v>0</v>
      </c>
      <c r="AD358" s="33">
        <f>IF(AQ358="7",BH358,0)</f>
        <v>0</v>
      </c>
      <c r="AE358" s="33">
        <f>IF(AQ358="7",BI358,0)</f>
        <v>0</v>
      </c>
      <c r="AF358" s="33">
        <f>IF(AQ358="2",BH358,0)</f>
        <v>0</v>
      </c>
      <c r="AG358" s="33">
        <f>IF(AQ358="2",BI358,0)</f>
        <v>0</v>
      </c>
      <c r="AH358" s="33">
        <f>IF(AQ358="0",BJ358,0)</f>
        <v>0</v>
      </c>
      <c r="AI358" s="28"/>
      <c r="AJ358" s="16">
        <f>IF(AN358=0,K358,0)</f>
        <v>0</v>
      </c>
      <c r="AK358" s="16">
        <f>IF(AN358=15,K358,0)</f>
        <v>0</v>
      </c>
      <c r="AL358" s="16">
        <f>IF(AN358=21,K358,0)</f>
        <v>0</v>
      </c>
      <c r="AN358" s="33">
        <v>21</v>
      </c>
      <c r="AO358" s="33">
        <f>H358*0</f>
        <v>0</v>
      </c>
      <c r="AP358" s="33">
        <f>H358*(1-0)</f>
        <v>0</v>
      </c>
      <c r="AQ358" s="27" t="s">
        <v>13</v>
      </c>
      <c r="AV358" s="33">
        <f>AW358+AX358</f>
        <v>0</v>
      </c>
      <c r="AW358" s="33">
        <f>G358*AO358</f>
        <v>0</v>
      </c>
      <c r="AX358" s="33">
        <f>G358*AP358</f>
        <v>0</v>
      </c>
      <c r="AY358" s="34" t="s">
        <v>1729</v>
      </c>
      <c r="AZ358" s="34" t="s">
        <v>1749</v>
      </c>
      <c r="BA358" s="28" t="s">
        <v>1752</v>
      </c>
      <c r="BC358" s="33">
        <f>AW358+AX358</f>
        <v>0</v>
      </c>
      <c r="BD358" s="33">
        <f>H358/(100-BE358)*100</f>
        <v>0</v>
      </c>
      <c r="BE358" s="33">
        <v>0</v>
      </c>
      <c r="BF358" s="33">
        <f>358</f>
        <v>358</v>
      </c>
      <c r="BH358" s="16">
        <f>G358*AO358</f>
        <v>0</v>
      </c>
      <c r="BI358" s="16">
        <f>G358*AP358</f>
        <v>0</v>
      </c>
      <c r="BJ358" s="16">
        <f>G358*H358</f>
        <v>0</v>
      </c>
    </row>
    <row r="359" spans="1:62" x14ac:dyDescent="0.2">
      <c r="C359" s="140" t="s">
        <v>1414</v>
      </c>
      <c r="D359" s="141"/>
      <c r="E359" s="141"/>
      <c r="H359" s="164"/>
    </row>
    <row r="360" spans="1:62" x14ac:dyDescent="0.2">
      <c r="A360" s="4" t="s">
        <v>294</v>
      </c>
      <c r="B360" s="4" t="s">
        <v>835</v>
      </c>
      <c r="C360" s="131" t="s">
        <v>1415</v>
      </c>
      <c r="D360" s="132"/>
      <c r="E360" s="132"/>
      <c r="F360" s="4" t="s">
        <v>1663</v>
      </c>
      <c r="G360" s="68">
        <v>169.625</v>
      </c>
      <c r="H360" s="162">
        <v>0</v>
      </c>
      <c r="I360" s="16">
        <f>G360*AO360</f>
        <v>0</v>
      </c>
      <c r="J360" s="16">
        <f>G360*AP360</f>
        <v>0</v>
      </c>
      <c r="K360" s="16">
        <f>G360*H360</f>
        <v>0</v>
      </c>
      <c r="L360" s="27" t="s">
        <v>1692</v>
      </c>
      <c r="Z360" s="33">
        <f>IF(AQ360="5",BJ360,0)</f>
        <v>0</v>
      </c>
      <c r="AB360" s="33">
        <f>IF(AQ360="1",BH360,0)</f>
        <v>0</v>
      </c>
      <c r="AC360" s="33">
        <f>IF(AQ360="1",BI360,0)</f>
        <v>0</v>
      </c>
      <c r="AD360" s="33">
        <f>IF(AQ360="7",BH360,0)</f>
        <v>0</v>
      </c>
      <c r="AE360" s="33">
        <f>IF(AQ360="7",BI360,0)</f>
        <v>0</v>
      </c>
      <c r="AF360" s="33">
        <f>IF(AQ360="2",BH360,0)</f>
        <v>0</v>
      </c>
      <c r="AG360" s="33">
        <f>IF(AQ360="2",BI360,0)</f>
        <v>0</v>
      </c>
      <c r="AH360" s="33">
        <f>IF(AQ360="0",BJ360,0)</f>
        <v>0</v>
      </c>
      <c r="AI360" s="28"/>
      <c r="AJ360" s="16">
        <f>IF(AN360=0,K360,0)</f>
        <v>0</v>
      </c>
      <c r="AK360" s="16">
        <f>IF(AN360=15,K360,0)</f>
        <v>0</v>
      </c>
      <c r="AL360" s="16">
        <f>IF(AN360=21,K360,0)</f>
        <v>0</v>
      </c>
      <c r="AN360" s="33">
        <v>21</v>
      </c>
      <c r="AO360" s="33">
        <f>H360*0</f>
        <v>0</v>
      </c>
      <c r="AP360" s="33">
        <f>H360*(1-0)</f>
        <v>0</v>
      </c>
      <c r="AQ360" s="27" t="s">
        <v>13</v>
      </c>
      <c r="AV360" s="33">
        <f>AW360+AX360</f>
        <v>0</v>
      </c>
      <c r="AW360" s="33">
        <f>G360*AO360</f>
        <v>0</v>
      </c>
      <c r="AX360" s="33">
        <f>G360*AP360</f>
        <v>0</v>
      </c>
      <c r="AY360" s="34" t="s">
        <v>1729</v>
      </c>
      <c r="AZ360" s="34" t="s">
        <v>1749</v>
      </c>
      <c r="BA360" s="28" t="s">
        <v>1752</v>
      </c>
      <c r="BC360" s="33">
        <f>AW360+AX360</f>
        <v>0</v>
      </c>
      <c r="BD360" s="33">
        <f>H360/(100-BE360)*100</f>
        <v>0</v>
      </c>
      <c r="BE360" s="33">
        <v>0</v>
      </c>
      <c r="BF360" s="33">
        <f>360</f>
        <v>360</v>
      </c>
      <c r="BH360" s="16">
        <f>G360*AO360</f>
        <v>0</v>
      </c>
      <c r="BI360" s="16">
        <f>G360*AP360</f>
        <v>0</v>
      </c>
      <c r="BJ360" s="16">
        <f>G360*H360</f>
        <v>0</v>
      </c>
    </row>
    <row r="361" spans="1:62" x14ac:dyDescent="0.2">
      <c r="C361" s="140" t="s">
        <v>1414</v>
      </c>
      <c r="D361" s="141"/>
      <c r="E361" s="141"/>
      <c r="H361" s="164"/>
    </row>
    <row r="362" spans="1:62" x14ac:dyDescent="0.2">
      <c r="A362" s="4" t="s">
        <v>295</v>
      </c>
      <c r="B362" s="4" t="s">
        <v>836</v>
      </c>
      <c r="C362" s="131" t="s">
        <v>1416</v>
      </c>
      <c r="D362" s="132"/>
      <c r="E362" s="132"/>
      <c r="F362" s="4" t="s">
        <v>1663</v>
      </c>
      <c r="G362" s="68">
        <v>5.46</v>
      </c>
      <c r="H362" s="162">
        <v>0</v>
      </c>
      <c r="I362" s="16">
        <f>G362*AO362</f>
        <v>0</v>
      </c>
      <c r="J362" s="16">
        <f>G362*AP362</f>
        <v>0</v>
      </c>
      <c r="K362" s="16">
        <f>G362*H362</f>
        <v>0</v>
      </c>
      <c r="L362" s="27" t="s">
        <v>1692</v>
      </c>
      <c r="Z362" s="33">
        <f>IF(AQ362="5",BJ362,0)</f>
        <v>0</v>
      </c>
      <c r="AB362" s="33">
        <f>IF(AQ362="1",BH362,0)</f>
        <v>0</v>
      </c>
      <c r="AC362" s="33">
        <f>IF(AQ362="1",BI362,0)</f>
        <v>0</v>
      </c>
      <c r="AD362" s="33">
        <f>IF(AQ362="7",BH362,0)</f>
        <v>0</v>
      </c>
      <c r="AE362" s="33">
        <f>IF(AQ362="7",BI362,0)</f>
        <v>0</v>
      </c>
      <c r="AF362" s="33">
        <f>IF(AQ362="2",BH362,0)</f>
        <v>0</v>
      </c>
      <c r="AG362" s="33">
        <f>IF(AQ362="2",BI362,0)</f>
        <v>0</v>
      </c>
      <c r="AH362" s="33">
        <f>IF(AQ362="0",BJ362,0)</f>
        <v>0</v>
      </c>
      <c r="AI362" s="28"/>
      <c r="AJ362" s="16">
        <f>IF(AN362=0,K362,0)</f>
        <v>0</v>
      </c>
      <c r="AK362" s="16">
        <f>IF(AN362=15,K362,0)</f>
        <v>0</v>
      </c>
      <c r="AL362" s="16">
        <f>IF(AN362=21,K362,0)</f>
        <v>0</v>
      </c>
      <c r="AN362" s="33">
        <v>21</v>
      </c>
      <c r="AO362" s="33">
        <f>H362*0</f>
        <v>0</v>
      </c>
      <c r="AP362" s="33">
        <f>H362*(1-0)</f>
        <v>0</v>
      </c>
      <c r="AQ362" s="27" t="s">
        <v>13</v>
      </c>
      <c r="AV362" s="33">
        <f>AW362+AX362</f>
        <v>0</v>
      </c>
      <c r="AW362" s="33">
        <f>G362*AO362</f>
        <v>0</v>
      </c>
      <c r="AX362" s="33">
        <f>G362*AP362</f>
        <v>0</v>
      </c>
      <c r="AY362" s="34" t="s">
        <v>1729</v>
      </c>
      <c r="AZ362" s="34" t="s">
        <v>1749</v>
      </c>
      <c r="BA362" s="28" t="s">
        <v>1752</v>
      </c>
      <c r="BC362" s="33">
        <f>AW362+AX362</f>
        <v>0</v>
      </c>
      <c r="BD362" s="33">
        <f>H362/(100-BE362)*100</f>
        <v>0</v>
      </c>
      <c r="BE362" s="33">
        <v>0</v>
      </c>
      <c r="BF362" s="33">
        <f>362</f>
        <v>362</v>
      </c>
      <c r="BH362" s="16">
        <f>G362*AO362</f>
        <v>0</v>
      </c>
      <c r="BI362" s="16">
        <f>G362*AP362</f>
        <v>0</v>
      </c>
      <c r="BJ362" s="16">
        <f>G362*H362</f>
        <v>0</v>
      </c>
    </row>
    <row r="363" spans="1:62" x14ac:dyDescent="0.2">
      <c r="A363" s="4" t="s">
        <v>296</v>
      </c>
      <c r="B363" s="4" t="s">
        <v>837</v>
      </c>
      <c r="C363" s="131" t="s">
        <v>1417</v>
      </c>
      <c r="D363" s="132"/>
      <c r="E363" s="132"/>
      <c r="F363" s="4" t="s">
        <v>1663</v>
      </c>
      <c r="G363" s="68">
        <v>169.625</v>
      </c>
      <c r="H363" s="162">
        <v>0</v>
      </c>
      <c r="I363" s="16">
        <f>G363*AO363</f>
        <v>0</v>
      </c>
      <c r="J363" s="16">
        <f>G363*AP363</f>
        <v>0</v>
      </c>
      <c r="K363" s="16">
        <f>G363*H363</f>
        <v>0</v>
      </c>
      <c r="L363" s="27" t="s">
        <v>1692</v>
      </c>
      <c r="Z363" s="33">
        <f>IF(AQ363="5",BJ363,0)</f>
        <v>0</v>
      </c>
      <c r="AB363" s="33">
        <f>IF(AQ363="1",BH363,0)</f>
        <v>0</v>
      </c>
      <c r="AC363" s="33">
        <f>IF(AQ363="1",BI363,0)</f>
        <v>0</v>
      </c>
      <c r="AD363" s="33">
        <f>IF(AQ363="7",BH363,0)</f>
        <v>0</v>
      </c>
      <c r="AE363" s="33">
        <f>IF(AQ363="7",BI363,0)</f>
        <v>0</v>
      </c>
      <c r="AF363" s="33">
        <f>IF(AQ363="2",BH363,0)</f>
        <v>0</v>
      </c>
      <c r="AG363" s="33">
        <f>IF(AQ363="2",BI363,0)</f>
        <v>0</v>
      </c>
      <c r="AH363" s="33">
        <f>IF(AQ363="0",BJ363,0)</f>
        <v>0</v>
      </c>
      <c r="AI363" s="28"/>
      <c r="AJ363" s="16">
        <f>IF(AN363=0,K363,0)</f>
        <v>0</v>
      </c>
      <c r="AK363" s="16">
        <f>IF(AN363=15,K363,0)</f>
        <v>0</v>
      </c>
      <c r="AL363" s="16">
        <f>IF(AN363=21,K363,0)</f>
        <v>0</v>
      </c>
      <c r="AN363" s="33">
        <v>21</v>
      </c>
      <c r="AO363" s="33">
        <f>H363*0</f>
        <v>0</v>
      </c>
      <c r="AP363" s="33">
        <f>H363*(1-0)</f>
        <v>0</v>
      </c>
      <c r="AQ363" s="27" t="s">
        <v>13</v>
      </c>
      <c r="AV363" s="33">
        <f>AW363+AX363</f>
        <v>0</v>
      </c>
      <c r="AW363" s="33">
        <f>G363*AO363</f>
        <v>0</v>
      </c>
      <c r="AX363" s="33">
        <f>G363*AP363</f>
        <v>0</v>
      </c>
      <c r="AY363" s="34" t="s">
        <v>1729</v>
      </c>
      <c r="AZ363" s="34" t="s">
        <v>1749</v>
      </c>
      <c r="BA363" s="28" t="s">
        <v>1752</v>
      </c>
      <c r="BC363" s="33">
        <f>AW363+AX363</f>
        <v>0</v>
      </c>
      <c r="BD363" s="33">
        <f>H363/(100-BE363)*100</f>
        <v>0</v>
      </c>
      <c r="BE363" s="33">
        <v>0</v>
      </c>
      <c r="BF363" s="33">
        <f>363</f>
        <v>363</v>
      </c>
      <c r="BH363" s="16">
        <f>G363*AO363</f>
        <v>0</v>
      </c>
      <c r="BI363" s="16">
        <f>G363*AP363</f>
        <v>0</v>
      </c>
      <c r="BJ363" s="16">
        <f>G363*H363</f>
        <v>0</v>
      </c>
    </row>
    <row r="364" spans="1:62" x14ac:dyDescent="0.2">
      <c r="A364" s="4" t="s">
        <v>297</v>
      </c>
      <c r="B364" s="4" t="s">
        <v>838</v>
      </c>
      <c r="C364" s="131" t="s">
        <v>1418</v>
      </c>
      <c r="D364" s="132"/>
      <c r="E364" s="132"/>
      <c r="F364" s="4" t="s">
        <v>1663</v>
      </c>
      <c r="G364" s="68">
        <v>222.876</v>
      </c>
      <c r="H364" s="162">
        <v>0</v>
      </c>
      <c r="I364" s="16">
        <f>G364*AO364</f>
        <v>0</v>
      </c>
      <c r="J364" s="16">
        <f>G364*AP364</f>
        <v>0</v>
      </c>
      <c r="K364" s="16">
        <f>G364*H364</f>
        <v>0</v>
      </c>
      <c r="L364" s="27" t="s">
        <v>1692</v>
      </c>
      <c r="Z364" s="33">
        <f>IF(AQ364="5",BJ364,0)</f>
        <v>0</v>
      </c>
      <c r="AB364" s="33">
        <f>IF(AQ364="1",BH364,0)</f>
        <v>0</v>
      </c>
      <c r="AC364" s="33">
        <f>IF(AQ364="1",BI364,0)</f>
        <v>0</v>
      </c>
      <c r="AD364" s="33">
        <f>IF(AQ364="7",BH364,0)</f>
        <v>0</v>
      </c>
      <c r="AE364" s="33">
        <f>IF(AQ364="7",BI364,0)</f>
        <v>0</v>
      </c>
      <c r="AF364" s="33">
        <f>IF(AQ364="2",BH364,0)</f>
        <v>0</v>
      </c>
      <c r="AG364" s="33">
        <f>IF(AQ364="2",BI364,0)</f>
        <v>0</v>
      </c>
      <c r="AH364" s="33">
        <f>IF(AQ364="0",BJ364,0)</f>
        <v>0</v>
      </c>
      <c r="AI364" s="28"/>
      <c r="AJ364" s="16">
        <f>IF(AN364=0,K364,0)</f>
        <v>0</v>
      </c>
      <c r="AK364" s="16">
        <f>IF(AN364=15,K364,0)</f>
        <v>0</v>
      </c>
      <c r="AL364" s="16">
        <f>IF(AN364=21,K364,0)</f>
        <v>0</v>
      </c>
      <c r="AN364" s="33">
        <v>21</v>
      </c>
      <c r="AO364" s="33">
        <f>H364*0</f>
        <v>0</v>
      </c>
      <c r="AP364" s="33">
        <f>H364*(1-0)</f>
        <v>0</v>
      </c>
      <c r="AQ364" s="27" t="s">
        <v>13</v>
      </c>
      <c r="AV364" s="33">
        <f>AW364+AX364</f>
        <v>0</v>
      </c>
      <c r="AW364" s="33">
        <f>G364*AO364</f>
        <v>0</v>
      </c>
      <c r="AX364" s="33">
        <f>G364*AP364</f>
        <v>0</v>
      </c>
      <c r="AY364" s="34" t="s">
        <v>1729</v>
      </c>
      <c r="AZ364" s="34" t="s">
        <v>1749</v>
      </c>
      <c r="BA364" s="28" t="s">
        <v>1752</v>
      </c>
      <c r="BC364" s="33">
        <f>AW364+AX364</f>
        <v>0</v>
      </c>
      <c r="BD364" s="33">
        <f>H364/(100-BE364)*100</f>
        <v>0</v>
      </c>
      <c r="BE364" s="33">
        <v>0</v>
      </c>
      <c r="BF364" s="33">
        <f>364</f>
        <v>364</v>
      </c>
      <c r="BH364" s="16">
        <f>G364*AO364</f>
        <v>0</v>
      </c>
      <c r="BI364" s="16">
        <f>G364*AP364</f>
        <v>0</v>
      </c>
      <c r="BJ364" s="16">
        <f>G364*H364</f>
        <v>0</v>
      </c>
    </row>
    <row r="365" spans="1:62" x14ac:dyDescent="0.2">
      <c r="A365" s="4" t="s">
        <v>298</v>
      </c>
      <c r="B365" s="4" t="s">
        <v>839</v>
      </c>
      <c r="C365" s="131" t="s">
        <v>1419</v>
      </c>
      <c r="D365" s="132"/>
      <c r="E365" s="132"/>
      <c r="F365" s="4" t="s">
        <v>1664</v>
      </c>
      <c r="G365" s="68">
        <v>12.442</v>
      </c>
      <c r="H365" s="162">
        <v>0</v>
      </c>
      <c r="I365" s="16">
        <f>G365*AO365</f>
        <v>0</v>
      </c>
      <c r="J365" s="16">
        <f>G365*AP365</f>
        <v>0</v>
      </c>
      <c r="K365" s="16">
        <f>G365*H365</f>
        <v>0</v>
      </c>
      <c r="L365" s="27" t="s">
        <v>1692</v>
      </c>
      <c r="Z365" s="33">
        <f>IF(AQ365="5",BJ365,0)</f>
        <v>0</v>
      </c>
      <c r="AB365" s="33">
        <f>IF(AQ365="1",BH365,0)</f>
        <v>0</v>
      </c>
      <c r="AC365" s="33">
        <f>IF(AQ365="1",BI365,0)</f>
        <v>0</v>
      </c>
      <c r="AD365" s="33">
        <f>IF(AQ365="7",BH365,0)</f>
        <v>0</v>
      </c>
      <c r="AE365" s="33">
        <f>IF(AQ365="7",BI365,0)</f>
        <v>0</v>
      </c>
      <c r="AF365" s="33">
        <f>IF(AQ365="2",BH365,0)</f>
        <v>0</v>
      </c>
      <c r="AG365" s="33">
        <f>IF(AQ365="2",BI365,0)</f>
        <v>0</v>
      </c>
      <c r="AH365" s="33">
        <f>IF(AQ365="0",BJ365,0)</f>
        <v>0</v>
      </c>
      <c r="AI365" s="28"/>
      <c r="AJ365" s="16">
        <f>IF(AN365=0,K365,0)</f>
        <v>0</v>
      </c>
      <c r="AK365" s="16">
        <f>IF(AN365=15,K365,0)</f>
        <v>0</v>
      </c>
      <c r="AL365" s="16">
        <f>IF(AN365=21,K365,0)</f>
        <v>0</v>
      </c>
      <c r="AN365" s="33">
        <v>21</v>
      </c>
      <c r="AO365" s="33">
        <f>H365*0</f>
        <v>0</v>
      </c>
      <c r="AP365" s="33">
        <f>H365*(1-0)</f>
        <v>0</v>
      </c>
      <c r="AQ365" s="27" t="s">
        <v>11</v>
      </c>
      <c r="AV365" s="33">
        <f>AW365+AX365</f>
        <v>0</v>
      </c>
      <c r="AW365" s="33">
        <f>G365*AO365</f>
        <v>0</v>
      </c>
      <c r="AX365" s="33">
        <f>G365*AP365</f>
        <v>0</v>
      </c>
      <c r="AY365" s="34" t="s">
        <v>1729</v>
      </c>
      <c r="AZ365" s="34" t="s">
        <v>1749</v>
      </c>
      <c r="BA365" s="28" t="s">
        <v>1752</v>
      </c>
      <c r="BC365" s="33">
        <f>AW365+AX365</f>
        <v>0</v>
      </c>
      <c r="BD365" s="33">
        <f>H365/(100-BE365)*100</f>
        <v>0</v>
      </c>
      <c r="BE365" s="33">
        <v>0</v>
      </c>
      <c r="BF365" s="33">
        <f>365</f>
        <v>365</v>
      </c>
      <c r="BH365" s="16">
        <f>G365*AO365</f>
        <v>0</v>
      </c>
      <c r="BI365" s="16">
        <f>G365*AP365</f>
        <v>0</v>
      </c>
      <c r="BJ365" s="16">
        <f>G365*H365</f>
        <v>0</v>
      </c>
    </row>
    <row r="366" spans="1:62" x14ac:dyDescent="0.2">
      <c r="A366" s="5"/>
      <c r="B366" s="13" t="s">
        <v>840</v>
      </c>
      <c r="C366" s="136" t="s">
        <v>1420</v>
      </c>
      <c r="D366" s="137"/>
      <c r="E366" s="137"/>
      <c r="F366" s="5" t="s">
        <v>6</v>
      </c>
      <c r="G366" s="5" t="s">
        <v>6</v>
      </c>
      <c r="H366" s="163" t="s">
        <v>6</v>
      </c>
      <c r="I366" s="36">
        <f>SUM(I367:I385)</f>
        <v>0</v>
      </c>
      <c r="J366" s="36">
        <f>SUM(J367:J385)</f>
        <v>0</v>
      </c>
      <c r="K366" s="36">
        <f>SUM(K367:K385)</f>
        <v>0</v>
      </c>
      <c r="L366" s="28"/>
      <c r="AI366" s="28"/>
      <c r="AS366" s="36">
        <f>SUM(AJ367:AJ385)</f>
        <v>0</v>
      </c>
      <c r="AT366" s="36">
        <f>SUM(AK367:AK385)</f>
        <v>0</v>
      </c>
      <c r="AU366" s="36">
        <f>SUM(AL367:AL385)</f>
        <v>0</v>
      </c>
    </row>
    <row r="367" spans="1:62" x14ac:dyDescent="0.2">
      <c r="A367" s="4" t="s">
        <v>299</v>
      </c>
      <c r="B367" s="4" t="s">
        <v>841</v>
      </c>
      <c r="C367" s="131" t="s">
        <v>1421</v>
      </c>
      <c r="D367" s="132"/>
      <c r="E367" s="132"/>
      <c r="F367" s="4" t="s">
        <v>1663</v>
      </c>
      <c r="G367" s="68">
        <v>294.10000000000002</v>
      </c>
      <c r="H367" s="162">
        <v>0</v>
      </c>
      <c r="I367" s="16">
        <f t="shared" ref="I367:I385" si="416">G367*AO367</f>
        <v>0</v>
      </c>
      <c r="J367" s="16">
        <f t="shared" ref="J367:J385" si="417">G367*AP367</f>
        <v>0</v>
      </c>
      <c r="K367" s="16">
        <f t="shared" ref="K367:K385" si="418">G367*H367</f>
        <v>0</v>
      </c>
      <c r="L367" s="27" t="s">
        <v>1692</v>
      </c>
      <c r="Z367" s="33">
        <f t="shared" ref="Z367:Z385" si="419">IF(AQ367="5",BJ367,0)</f>
        <v>0</v>
      </c>
      <c r="AB367" s="33">
        <f t="shared" ref="AB367:AB385" si="420">IF(AQ367="1",BH367,0)</f>
        <v>0</v>
      </c>
      <c r="AC367" s="33">
        <f t="shared" ref="AC367:AC385" si="421">IF(AQ367="1",BI367,0)</f>
        <v>0</v>
      </c>
      <c r="AD367" s="33">
        <f t="shared" ref="AD367:AD385" si="422">IF(AQ367="7",BH367,0)</f>
        <v>0</v>
      </c>
      <c r="AE367" s="33">
        <f t="shared" ref="AE367:AE385" si="423">IF(AQ367="7",BI367,0)</f>
        <v>0</v>
      </c>
      <c r="AF367" s="33">
        <f t="shared" ref="AF367:AF385" si="424">IF(AQ367="2",BH367,0)</f>
        <v>0</v>
      </c>
      <c r="AG367" s="33">
        <f t="shared" ref="AG367:AG385" si="425">IF(AQ367="2",BI367,0)</f>
        <v>0</v>
      </c>
      <c r="AH367" s="33">
        <f t="shared" ref="AH367:AH385" si="426">IF(AQ367="0",BJ367,0)</f>
        <v>0</v>
      </c>
      <c r="AI367" s="28"/>
      <c r="AJ367" s="16">
        <f t="shared" ref="AJ367:AJ385" si="427">IF(AN367=0,K367,0)</f>
        <v>0</v>
      </c>
      <c r="AK367" s="16">
        <f t="shared" ref="AK367:AK385" si="428">IF(AN367=15,K367,0)</f>
        <v>0</v>
      </c>
      <c r="AL367" s="16">
        <f t="shared" ref="AL367:AL385" si="429">IF(AN367=21,K367,0)</f>
        <v>0</v>
      </c>
      <c r="AN367" s="33">
        <v>21</v>
      </c>
      <c r="AO367" s="33">
        <f>H367*0</f>
        <v>0</v>
      </c>
      <c r="AP367" s="33">
        <f>H367*(1-0)</f>
        <v>0</v>
      </c>
      <c r="AQ367" s="27" t="s">
        <v>13</v>
      </c>
      <c r="AV367" s="33">
        <f t="shared" ref="AV367:AV385" si="430">AW367+AX367</f>
        <v>0</v>
      </c>
      <c r="AW367" s="33">
        <f t="shared" ref="AW367:AW385" si="431">G367*AO367</f>
        <v>0</v>
      </c>
      <c r="AX367" s="33">
        <f t="shared" ref="AX367:AX385" si="432">G367*AP367</f>
        <v>0</v>
      </c>
      <c r="AY367" s="34" t="s">
        <v>1730</v>
      </c>
      <c r="AZ367" s="34" t="s">
        <v>1749</v>
      </c>
      <c r="BA367" s="28" t="s">
        <v>1752</v>
      </c>
      <c r="BC367" s="33">
        <f t="shared" ref="BC367:BC385" si="433">AW367+AX367</f>
        <v>0</v>
      </c>
      <c r="BD367" s="33">
        <f t="shared" ref="BD367:BD385" si="434">H367/(100-BE367)*100</f>
        <v>0</v>
      </c>
      <c r="BE367" s="33">
        <v>0</v>
      </c>
      <c r="BF367" s="33">
        <f>367</f>
        <v>367</v>
      </c>
      <c r="BH367" s="16">
        <f t="shared" ref="BH367:BH385" si="435">G367*AO367</f>
        <v>0</v>
      </c>
      <c r="BI367" s="16">
        <f t="shared" ref="BI367:BI385" si="436">G367*AP367</f>
        <v>0</v>
      </c>
      <c r="BJ367" s="16">
        <f t="shared" ref="BJ367:BJ385" si="437">G367*H367</f>
        <v>0</v>
      </c>
    </row>
    <row r="368" spans="1:62" x14ac:dyDescent="0.2">
      <c r="A368" s="4" t="s">
        <v>300</v>
      </c>
      <c r="B368" s="4" t="s">
        <v>842</v>
      </c>
      <c r="C368" s="131" t="s">
        <v>1422</v>
      </c>
      <c r="D368" s="132"/>
      <c r="E368" s="132"/>
      <c r="F368" s="4" t="s">
        <v>1663</v>
      </c>
      <c r="G368" s="68">
        <v>4.0890000000000004</v>
      </c>
      <c r="H368" s="162">
        <v>0</v>
      </c>
      <c r="I368" s="16">
        <f t="shared" si="416"/>
        <v>0</v>
      </c>
      <c r="J368" s="16">
        <f t="shared" si="417"/>
        <v>0</v>
      </c>
      <c r="K368" s="16">
        <f t="shared" si="418"/>
        <v>0</v>
      </c>
      <c r="L368" s="27" t="s">
        <v>1692</v>
      </c>
      <c r="Z368" s="33">
        <f t="shared" si="419"/>
        <v>0</v>
      </c>
      <c r="AB368" s="33">
        <f t="shared" si="420"/>
        <v>0</v>
      </c>
      <c r="AC368" s="33">
        <f t="shared" si="421"/>
        <v>0</v>
      </c>
      <c r="AD368" s="33">
        <f t="shared" si="422"/>
        <v>0</v>
      </c>
      <c r="AE368" s="33">
        <f t="shared" si="423"/>
        <v>0</v>
      </c>
      <c r="AF368" s="33">
        <f t="shared" si="424"/>
        <v>0</v>
      </c>
      <c r="AG368" s="33">
        <f t="shared" si="425"/>
        <v>0</v>
      </c>
      <c r="AH368" s="33">
        <f t="shared" si="426"/>
        <v>0</v>
      </c>
      <c r="AI368" s="28"/>
      <c r="AJ368" s="16">
        <f t="shared" si="427"/>
        <v>0</v>
      </c>
      <c r="AK368" s="16">
        <f t="shared" si="428"/>
        <v>0</v>
      </c>
      <c r="AL368" s="16">
        <f t="shared" si="429"/>
        <v>0</v>
      </c>
      <c r="AN368" s="33">
        <v>21</v>
      </c>
      <c r="AO368" s="33">
        <f>H368*0</f>
        <v>0</v>
      </c>
      <c r="AP368" s="33">
        <f>H368*(1-0)</f>
        <v>0</v>
      </c>
      <c r="AQ368" s="27" t="s">
        <v>13</v>
      </c>
      <c r="AV368" s="33">
        <f t="shared" si="430"/>
        <v>0</v>
      </c>
      <c r="AW368" s="33">
        <f t="shared" si="431"/>
        <v>0</v>
      </c>
      <c r="AX368" s="33">
        <f t="shared" si="432"/>
        <v>0</v>
      </c>
      <c r="AY368" s="34" t="s">
        <v>1730</v>
      </c>
      <c r="AZ368" s="34" t="s">
        <v>1749</v>
      </c>
      <c r="BA368" s="28" t="s">
        <v>1752</v>
      </c>
      <c r="BC368" s="33">
        <f t="shared" si="433"/>
        <v>0</v>
      </c>
      <c r="BD368" s="33">
        <f t="shared" si="434"/>
        <v>0</v>
      </c>
      <c r="BE368" s="33">
        <v>0</v>
      </c>
      <c r="BF368" s="33">
        <f>368</f>
        <v>368</v>
      </c>
      <c r="BH368" s="16">
        <f t="shared" si="435"/>
        <v>0</v>
      </c>
      <c r="BI368" s="16">
        <f t="shared" si="436"/>
        <v>0</v>
      </c>
      <c r="BJ368" s="16">
        <f t="shared" si="437"/>
        <v>0</v>
      </c>
    </row>
    <row r="369" spans="1:62" x14ac:dyDescent="0.2">
      <c r="A369" s="4" t="s">
        <v>301</v>
      </c>
      <c r="B369" s="4" t="s">
        <v>843</v>
      </c>
      <c r="C369" s="131" t="s">
        <v>1423</v>
      </c>
      <c r="D369" s="132"/>
      <c r="E369" s="132"/>
      <c r="F369" s="4" t="s">
        <v>1666</v>
      </c>
      <c r="G369" s="68">
        <v>203.55</v>
      </c>
      <c r="H369" s="162">
        <v>0</v>
      </c>
      <c r="I369" s="16">
        <f t="shared" si="416"/>
        <v>0</v>
      </c>
      <c r="J369" s="16">
        <f t="shared" si="417"/>
        <v>0</v>
      </c>
      <c r="K369" s="16">
        <f t="shared" si="418"/>
        <v>0</v>
      </c>
      <c r="L369" s="27" t="s">
        <v>1692</v>
      </c>
      <c r="Z369" s="33">
        <f t="shared" si="419"/>
        <v>0</v>
      </c>
      <c r="AB369" s="33">
        <f t="shared" si="420"/>
        <v>0</v>
      </c>
      <c r="AC369" s="33">
        <f t="shared" si="421"/>
        <v>0</v>
      </c>
      <c r="AD369" s="33">
        <f t="shared" si="422"/>
        <v>0</v>
      </c>
      <c r="AE369" s="33">
        <f t="shared" si="423"/>
        <v>0</v>
      </c>
      <c r="AF369" s="33">
        <f t="shared" si="424"/>
        <v>0</v>
      </c>
      <c r="AG369" s="33">
        <f t="shared" si="425"/>
        <v>0</v>
      </c>
      <c r="AH369" s="33">
        <f t="shared" si="426"/>
        <v>0</v>
      </c>
      <c r="AI369" s="28"/>
      <c r="AJ369" s="16">
        <f t="shared" si="427"/>
        <v>0</v>
      </c>
      <c r="AK369" s="16">
        <f t="shared" si="428"/>
        <v>0</v>
      </c>
      <c r="AL369" s="16">
        <f t="shared" si="429"/>
        <v>0</v>
      </c>
      <c r="AN369" s="33">
        <v>21</v>
      </c>
      <c r="AO369" s="33">
        <f>H369*0</f>
        <v>0</v>
      </c>
      <c r="AP369" s="33">
        <f>H369*(1-0)</f>
        <v>0</v>
      </c>
      <c r="AQ369" s="27" t="s">
        <v>13</v>
      </c>
      <c r="AV369" s="33">
        <f t="shared" si="430"/>
        <v>0</v>
      </c>
      <c r="AW369" s="33">
        <f t="shared" si="431"/>
        <v>0</v>
      </c>
      <c r="AX369" s="33">
        <f t="shared" si="432"/>
        <v>0</v>
      </c>
      <c r="AY369" s="34" t="s">
        <v>1730</v>
      </c>
      <c r="AZ369" s="34" t="s">
        <v>1749</v>
      </c>
      <c r="BA369" s="28" t="s">
        <v>1752</v>
      </c>
      <c r="BC369" s="33">
        <f t="shared" si="433"/>
        <v>0</v>
      </c>
      <c r="BD369" s="33">
        <f t="shared" si="434"/>
        <v>0</v>
      </c>
      <c r="BE369" s="33">
        <v>0</v>
      </c>
      <c r="BF369" s="33">
        <f>369</f>
        <v>369</v>
      </c>
      <c r="BH369" s="16">
        <f t="shared" si="435"/>
        <v>0</v>
      </c>
      <c r="BI369" s="16">
        <f t="shared" si="436"/>
        <v>0</v>
      </c>
      <c r="BJ369" s="16">
        <f t="shared" si="437"/>
        <v>0</v>
      </c>
    </row>
    <row r="370" spans="1:62" x14ac:dyDescent="0.2">
      <c r="A370" s="4" t="s">
        <v>302</v>
      </c>
      <c r="B370" s="4" t="s">
        <v>844</v>
      </c>
      <c r="C370" s="131" t="s">
        <v>1424</v>
      </c>
      <c r="D370" s="132"/>
      <c r="E370" s="132"/>
      <c r="F370" s="4" t="s">
        <v>1665</v>
      </c>
      <c r="G370" s="68">
        <v>14</v>
      </c>
      <c r="H370" s="162">
        <v>0</v>
      </c>
      <c r="I370" s="16">
        <f t="shared" si="416"/>
        <v>0</v>
      </c>
      <c r="J370" s="16">
        <f t="shared" si="417"/>
        <v>0</v>
      </c>
      <c r="K370" s="16">
        <f t="shared" si="418"/>
        <v>0</v>
      </c>
      <c r="L370" s="27" t="s">
        <v>1692</v>
      </c>
      <c r="Z370" s="33">
        <f t="shared" si="419"/>
        <v>0</v>
      </c>
      <c r="AB370" s="33">
        <f t="shared" si="420"/>
        <v>0</v>
      </c>
      <c r="AC370" s="33">
        <f t="shared" si="421"/>
        <v>0</v>
      </c>
      <c r="AD370" s="33">
        <f t="shared" si="422"/>
        <v>0</v>
      </c>
      <c r="AE370" s="33">
        <f t="shared" si="423"/>
        <v>0</v>
      </c>
      <c r="AF370" s="33">
        <f t="shared" si="424"/>
        <v>0</v>
      </c>
      <c r="AG370" s="33">
        <f t="shared" si="425"/>
        <v>0</v>
      </c>
      <c r="AH370" s="33">
        <f t="shared" si="426"/>
        <v>0</v>
      </c>
      <c r="AI370" s="28"/>
      <c r="AJ370" s="16">
        <f t="shared" si="427"/>
        <v>0</v>
      </c>
      <c r="AK370" s="16">
        <f t="shared" si="428"/>
        <v>0</v>
      </c>
      <c r="AL370" s="16">
        <f t="shared" si="429"/>
        <v>0</v>
      </c>
      <c r="AN370" s="33">
        <v>21</v>
      </c>
      <c r="AO370" s="33">
        <f>H370*0</f>
        <v>0</v>
      </c>
      <c r="AP370" s="33">
        <f>H370*(1-0)</f>
        <v>0</v>
      </c>
      <c r="AQ370" s="27" t="s">
        <v>13</v>
      </c>
      <c r="AV370" s="33">
        <f t="shared" si="430"/>
        <v>0</v>
      </c>
      <c r="AW370" s="33">
        <f t="shared" si="431"/>
        <v>0</v>
      </c>
      <c r="AX370" s="33">
        <f t="shared" si="432"/>
        <v>0</v>
      </c>
      <c r="AY370" s="34" t="s">
        <v>1730</v>
      </c>
      <c r="AZ370" s="34" t="s">
        <v>1749</v>
      </c>
      <c r="BA370" s="28" t="s">
        <v>1752</v>
      </c>
      <c r="BC370" s="33">
        <f t="shared" si="433"/>
        <v>0</v>
      </c>
      <c r="BD370" s="33">
        <f t="shared" si="434"/>
        <v>0</v>
      </c>
      <c r="BE370" s="33">
        <v>0</v>
      </c>
      <c r="BF370" s="33">
        <f>370</f>
        <v>370</v>
      </c>
      <c r="BH370" s="16">
        <f t="shared" si="435"/>
        <v>0</v>
      </c>
      <c r="BI370" s="16">
        <f t="shared" si="436"/>
        <v>0</v>
      </c>
      <c r="BJ370" s="16">
        <f t="shared" si="437"/>
        <v>0</v>
      </c>
    </row>
    <row r="371" spans="1:62" x14ac:dyDescent="0.2">
      <c r="A371" s="4" t="s">
        <v>303</v>
      </c>
      <c r="B371" s="4" t="s">
        <v>845</v>
      </c>
      <c r="C371" s="131" t="s">
        <v>1425</v>
      </c>
      <c r="D371" s="132"/>
      <c r="E371" s="132"/>
      <c r="F371" s="4" t="s">
        <v>1666</v>
      </c>
      <c r="G371" s="68">
        <v>58.92</v>
      </c>
      <c r="H371" s="162">
        <v>0</v>
      </c>
      <c r="I371" s="16">
        <f t="shared" si="416"/>
        <v>0</v>
      </c>
      <c r="J371" s="16">
        <f t="shared" si="417"/>
        <v>0</v>
      </c>
      <c r="K371" s="16">
        <f t="shared" si="418"/>
        <v>0</v>
      </c>
      <c r="L371" s="27" t="s">
        <v>1692</v>
      </c>
      <c r="Z371" s="33">
        <f t="shared" si="419"/>
        <v>0</v>
      </c>
      <c r="AB371" s="33">
        <f t="shared" si="420"/>
        <v>0</v>
      </c>
      <c r="AC371" s="33">
        <f t="shared" si="421"/>
        <v>0</v>
      </c>
      <c r="AD371" s="33">
        <f t="shared" si="422"/>
        <v>0</v>
      </c>
      <c r="AE371" s="33">
        <f t="shared" si="423"/>
        <v>0</v>
      </c>
      <c r="AF371" s="33">
        <f t="shared" si="424"/>
        <v>0</v>
      </c>
      <c r="AG371" s="33">
        <f t="shared" si="425"/>
        <v>0</v>
      </c>
      <c r="AH371" s="33">
        <f t="shared" si="426"/>
        <v>0</v>
      </c>
      <c r="AI371" s="28"/>
      <c r="AJ371" s="16">
        <f t="shared" si="427"/>
        <v>0</v>
      </c>
      <c r="AK371" s="16">
        <f t="shared" si="428"/>
        <v>0</v>
      </c>
      <c r="AL371" s="16">
        <f t="shared" si="429"/>
        <v>0</v>
      </c>
      <c r="AN371" s="33">
        <v>21</v>
      </c>
      <c r="AO371" s="33">
        <f>H371*0.356706231454006</f>
        <v>0</v>
      </c>
      <c r="AP371" s="33">
        <f>H371*(1-0.356706231454006)</f>
        <v>0</v>
      </c>
      <c r="AQ371" s="27" t="s">
        <v>13</v>
      </c>
      <c r="AV371" s="33">
        <f t="shared" si="430"/>
        <v>0</v>
      </c>
      <c r="AW371" s="33">
        <f t="shared" si="431"/>
        <v>0</v>
      </c>
      <c r="AX371" s="33">
        <f t="shared" si="432"/>
        <v>0</v>
      </c>
      <c r="AY371" s="34" t="s">
        <v>1730</v>
      </c>
      <c r="AZ371" s="34" t="s">
        <v>1749</v>
      </c>
      <c r="BA371" s="28" t="s">
        <v>1752</v>
      </c>
      <c r="BC371" s="33">
        <f t="shared" si="433"/>
        <v>0</v>
      </c>
      <c r="BD371" s="33">
        <f t="shared" si="434"/>
        <v>0</v>
      </c>
      <c r="BE371" s="33">
        <v>0</v>
      </c>
      <c r="BF371" s="33">
        <f>371</f>
        <v>371</v>
      </c>
      <c r="BH371" s="16">
        <f t="shared" si="435"/>
        <v>0</v>
      </c>
      <c r="BI371" s="16">
        <f t="shared" si="436"/>
        <v>0</v>
      </c>
      <c r="BJ371" s="16">
        <f t="shared" si="437"/>
        <v>0</v>
      </c>
    </row>
    <row r="372" spans="1:62" x14ac:dyDescent="0.2">
      <c r="A372" s="4" t="s">
        <v>304</v>
      </c>
      <c r="B372" s="4" t="s">
        <v>846</v>
      </c>
      <c r="C372" s="131" t="s">
        <v>1426</v>
      </c>
      <c r="D372" s="132"/>
      <c r="E372" s="132"/>
      <c r="F372" s="4" t="s">
        <v>1666</v>
      </c>
      <c r="G372" s="68">
        <v>21</v>
      </c>
      <c r="H372" s="162">
        <v>0</v>
      </c>
      <c r="I372" s="16">
        <f t="shared" si="416"/>
        <v>0</v>
      </c>
      <c r="J372" s="16">
        <f t="shared" si="417"/>
        <v>0</v>
      </c>
      <c r="K372" s="16">
        <f t="shared" si="418"/>
        <v>0</v>
      </c>
      <c r="L372" s="27" t="s">
        <v>1692</v>
      </c>
      <c r="Z372" s="33">
        <f t="shared" si="419"/>
        <v>0</v>
      </c>
      <c r="AB372" s="33">
        <f t="shared" si="420"/>
        <v>0</v>
      </c>
      <c r="AC372" s="33">
        <f t="shared" si="421"/>
        <v>0</v>
      </c>
      <c r="AD372" s="33">
        <f t="shared" si="422"/>
        <v>0</v>
      </c>
      <c r="AE372" s="33">
        <f t="shared" si="423"/>
        <v>0</v>
      </c>
      <c r="AF372" s="33">
        <f t="shared" si="424"/>
        <v>0</v>
      </c>
      <c r="AG372" s="33">
        <f t="shared" si="425"/>
        <v>0</v>
      </c>
      <c r="AH372" s="33">
        <f t="shared" si="426"/>
        <v>0</v>
      </c>
      <c r="AI372" s="28"/>
      <c r="AJ372" s="16">
        <f t="shared" si="427"/>
        <v>0</v>
      </c>
      <c r="AK372" s="16">
        <f t="shared" si="428"/>
        <v>0</v>
      </c>
      <c r="AL372" s="16">
        <f t="shared" si="429"/>
        <v>0</v>
      </c>
      <c r="AN372" s="33">
        <v>21</v>
      </c>
      <c r="AO372" s="33">
        <f>H372*0.356717325227964</f>
        <v>0</v>
      </c>
      <c r="AP372" s="33">
        <f>H372*(1-0.356717325227964)</f>
        <v>0</v>
      </c>
      <c r="AQ372" s="27" t="s">
        <v>13</v>
      </c>
      <c r="AV372" s="33">
        <f t="shared" si="430"/>
        <v>0</v>
      </c>
      <c r="AW372" s="33">
        <f t="shared" si="431"/>
        <v>0</v>
      </c>
      <c r="AX372" s="33">
        <f t="shared" si="432"/>
        <v>0</v>
      </c>
      <c r="AY372" s="34" t="s">
        <v>1730</v>
      </c>
      <c r="AZ372" s="34" t="s">
        <v>1749</v>
      </c>
      <c r="BA372" s="28" t="s">
        <v>1752</v>
      </c>
      <c r="BC372" s="33">
        <f t="shared" si="433"/>
        <v>0</v>
      </c>
      <c r="BD372" s="33">
        <f t="shared" si="434"/>
        <v>0</v>
      </c>
      <c r="BE372" s="33">
        <v>0</v>
      </c>
      <c r="BF372" s="33">
        <f>372</f>
        <v>372</v>
      </c>
      <c r="BH372" s="16">
        <f t="shared" si="435"/>
        <v>0</v>
      </c>
      <c r="BI372" s="16">
        <f t="shared" si="436"/>
        <v>0</v>
      </c>
      <c r="BJ372" s="16">
        <f t="shared" si="437"/>
        <v>0</v>
      </c>
    </row>
    <row r="373" spans="1:62" x14ac:dyDescent="0.2">
      <c r="A373" s="4" t="s">
        <v>305</v>
      </c>
      <c r="B373" s="4" t="s">
        <v>847</v>
      </c>
      <c r="C373" s="131" t="s">
        <v>1427</v>
      </c>
      <c r="D373" s="132"/>
      <c r="E373" s="132"/>
      <c r="F373" s="4" t="s">
        <v>1666</v>
      </c>
      <c r="G373" s="68">
        <v>57.3</v>
      </c>
      <c r="H373" s="162">
        <v>0</v>
      </c>
      <c r="I373" s="16">
        <f t="shared" si="416"/>
        <v>0</v>
      </c>
      <c r="J373" s="16">
        <f t="shared" si="417"/>
        <v>0</v>
      </c>
      <c r="K373" s="16">
        <f t="shared" si="418"/>
        <v>0</v>
      </c>
      <c r="L373" s="27" t="s">
        <v>1692</v>
      </c>
      <c r="Z373" s="33">
        <f t="shared" si="419"/>
        <v>0</v>
      </c>
      <c r="AB373" s="33">
        <f t="shared" si="420"/>
        <v>0</v>
      </c>
      <c r="AC373" s="33">
        <f t="shared" si="421"/>
        <v>0</v>
      </c>
      <c r="AD373" s="33">
        <f t="shared" si="422"/>
        <v>0</v>
      </c>
      <c r="AE373" s="33">
        <f t="shared" si="423"/>
        <v>0</v>
      </c>
      <c r="AF373" s="33">
        <f t="shared" si="424"/>
        <v>0</v>
      </c>
      <c r="AG373" s="33">
        <f t="shared" si="425"/>
        <v>0</v>
      </c>
      <c r="AH373" s="33">
        <f t="shared" si="426"/>
        <v>0</v>
      </c>
      <c r="AI373" s="28"/>
      <c r="AJ373" s="16">
        <f t="shared" si="427"/>
        <v>0</v>
      </c>
      <c r="AK373" s="16">
        <f t="shared" si="428"/>
        <v>0</v>
      </c>
      <c r="AL373" s="16">
        <f t="shared" si="429"/>
        <v>0</v>
      </c>
      <c r="AN373" s="33">
        <v>21</v>
      </c>
      <c r="AO373" s="33">
        <f>H373*0.356725092250923</f>
        <v>0</v>
      </c>
      <c r="AP373" s="33">
        <f>H373*(1-0.356725092250923)</f>
        <v>0</v>
      </c>
      <c r="AQ373" s="27" t="s">
        <v>13</v>
      </c>
      <c r="AV373" s="33">
        <f t="shared" si="430"/>
        <v>0</v>
      </c>
      <c r="AW373" s="33">
        <f t="shared" si="431"/>
        <v>0</v>
      </c>
      <c r="AX373" s="33">
        <f t="shared" si="432"/>
        <v>0</v>
      </c>
      <c r="AY373" s="34" t="s">
        <v>1730</v>
      </c>
      <c r="AZ373" s="34" t="s">
        <v>1749</v>
      </c>
      <c r="BA373" s="28" t="s">
        <v>1752</v>
      </c>
      <c r="BC373" s="33">
        <f t="shared" si="433"/>
        <v>0</v>
      </c>
      <c r="BD373" s="33">
        <f t="shared" si="434"/>
        <v>0</v>
      </c>
      <c r="BE373" s="33">
        <v>0</v>
      </c>
      <c r="BF373" s="33">
        <f>373</f>
        <v>373</v>
      </c>
      <c r="BH373" s="16">
        <f t="shared" si="435"/>
        <v>0</v>
      </c>
      <c r="BI373" s="16">
        <f t="shared" si="436"/>
        <v>0</v>
      </c>
      <c r="BJ373" s="16">
        <f t="shared" si="437"/>
        <v>0</v>
      </c>
    </row>
    <row r="374" spans="1:62" x14ac:dyDescent="0.2">
      <c r="A374" s="4" t="s">
        <v>306</v>
      </c>
      <c r="B374" s="4" t="s">
        <v>848</v>
      </c>
      <c r="C374" s="131" t="s">
        <v>1428</v>
      </c>
      <c r="D374" s="132"/>
      <c r="E374" s="132"/>
      <c r="F374" s="4" t="s">
        <v>1666</v>
      </c>
      <c r="G374" s="68">
        <v>289.06</v>
      </c>
      <c r="H374" s="162">
        <v>0</v>
      </c>
      <c r="I374" s="16">
        <f t="shared" si="416"/>
        <v>0</v>
      </c>
      <c r="J374" s="16">
        <f t="shared" si="417"/>
        <v>0</v>
      </c>
      <c r="K374" s="16">
        <f t="shared" si="418"/>
        <v>0</v>
      </c>
      <c r="L374" s="27" t="s">
        <v>1692</v>
      </c>
      <c r="Z374" s="33">
        <f t="shared" si="419"/>
        <v>0</v>
      </c>
      <c r="AB374" s="33">
        <f t="shared" si="420"/>
        <v>0</v>
      </c>
      <c r="AC374" s="33">
        <f t="shared" si="421"/>
        <v>0</v>
      </c>
      <c r="AD374" s="33">
        <f t="shared" si="422"/>
        <v>0</v>
      </c>
      <c r="AE374" s="33">
        <f t="shared" si="423"/>
        <v>0</v>
      </c>
      <c r="AF374" s="33">
        <f t="shared" si="424"/>
        <v>0</v>
      </c>
      <c r="AG374" s="33">
        <f t="shared" si="425"/>
        <v>0</v>
      </c>
      <c r="AH374" s="33">
        <f t="shared" si="426"/>
        <v>0</v>
      </c>
      <c r="AI374" s="28"/>
      <c r="AJ374" s="16">
        <f t="shared" si="427"/>
        <v>0</v>
      </c>
      <c r="AK374" s="16">
        <f t="shared" si="428"/>
        <v>0</v>
      </c>
      <c r="AL374" s="16">
        <f t="shared" si="429"/>
        <v>0</v>
      </c>
      <c r="AN374" s="33">
        <v>21</v>
      </c>
      <c r="AO374" s="33">
        <f>H374*0</f>
        <v>0</v>
      </c>
      <c r="AP374" s="33">
        <f>H374*(1-0)</f>
        <v>0</v>
      </c>
      <c r="AQ374" s="27" t="s">
        <v>13</v>
      </c>
      <c r="AV374" s="33">
        <f t="shared" si="430"/>
        <v>0</v>
      </c>
      <c r="AW374" s="33">
        <f t="shared" si="431"/>
        <v>0</v>
      </c>
      <c r="AX374" s="33">
        <f t="shared" si="432"/>
        <v>0</v>
      </c>
      <c r="AY374" s="34" t="s">
        <v>1730</v>
      </c>
      <c r="AZ374" s="34" t="s">
        <v>1749</v>
      </c>
      <c r="BA374" s="28" t="s">
        <v>1752</v>
      </c>
      <c r="BC374" s="33">
        <f t="shared" si="433"/>
        <v>0</v>
      </c>
      <c r="BD374" s="33">
        <f t="shared" si="434"/>
        <v>0</v>
      </c>
      <c r="BE374" s="33">
        <v>0</v>
      </c>
      <c r="BF374" s="33">
        <f>374</f>
        <v>374</v>
      </c>
      <c r="BH374" s="16">
        <f t="shared" si="435"/>
        <v>0</v>
      </c>
      <c r="BI374" s="16">
        <f t="shared" si="436"/>
        <v>0</v>
      </c>
      <c r="BJ374" s="16">
        <f t="shared" si="437"/>
        <v>0</v>
      </c>
    </row>
    <row r="375" spans="1:62" x14ac:dyDescent="0.2">
      <c r="A375" s="4" t="s">
        <v>307</v>
      </c>
      <c r="B375" s="4" t="s">
        <v>849</v>
      </c>
      <c r="C375" s="131" t="s">
        <v>1429</v>
      </c>
      <c r="D375" s="132"/>
      <c r="E375" s="132"/>
      <c r="F375" s="4" t="s">
        <v>1665</v>
      </c>
      <c r="G375" s="68">
        <v>14</v>
      </c>
      <c r="H375" s="162">
        <v>0</v>
      </c>
      <c r="I375" s="16">
        <f t="shared" si="416"/>
        <v>0</v>
      </c>
      <c r="J375" s="16">
        <f t="shared" si="417"/>
        <v>0</v>
      </c>
      <c r="K375" s="16">
        <f t="shared" si="418"/>
        <v>0</v>
      </c>
      <c r="L375" s="27" t="s">
        <v>1692</v>
      </c>
      <c r="Z375" s="33">
        <f t="shared" si="419"/>
        <v>0</v>
      </c>
      <c r="AB375" s="33">
        <f t="shared" si="420"/>
        <v>0</v>
      </c>
      <c r="AC375" s="33">
        <f t="shared" si="421"/>
        <v>0</v>
      </c>
      <c r="AD375" s="33">
        <f t="shared" si="422"/>
        <v>0</v>
      </c>
      <c r="AE375" s="33">
        <f t="shared" si="423"/>
        <v>0</v>
      </c>
      <c r="AF375" s="33">
        <f t="shared" si="424"/>
        <v>0</v>
      </c>
      <c r="AG375" s="33">
        <f t="shared" si="425"/>
        <v>0</v>
      </c>
      <c r="AH375" s="33">
        <f t="shared" si="426"/>
        <v>0</v>
      </c>
      <c r="AI375" s="28"/>
      <c r="AJ375" s="16">
        <f t="shared" si="427"/>
        <v>0</v>
      </c>
      <c r="AK375" s="16">
        <f t="shared" si="428"/>
        <v>0</v>
      </c>
      <c r="AL375" s="16">
        <f t="shared" si="429"/>
        <v>0</v>
      </c>
      <c r="AN375" s="33">
        <v>21</v>
      </c>
      <c r="AO375" s="33">
        <f>H375*0</f>
        <v>0</v>
      </c>
      <c r="AP375" s="33">
        <f>H375*(1-0)</f>
        <v>0</v>
      </c>
      <c r="AQ375" s="27" t="s">
        <v>13</v>
      </c>
      <c r="AV375" s="33">
        <f t="shared" si="430"/>
        <v>0</v>
      </c>
      <c r="AW375" s="33">
        <f t="shared" si="431"/>
        <v>0</v>
      </c>
      <c r="AX375" s="33">
        <f t="shared" si="432"/>
        <v>0</v>
      </c>
      <c r="AY375" s="34" t="s">
        <v>1730</v>
      </c>
      <c r="AZ375" s="34" t="s">
        <v>1749</v>
      </c>
      <c r="BA375" s="28" t="s">
        <v>1752</v>
      </c>
      <c r="BC375" s="33">
        <f t="shared" si="433"/>
        <v>0</v>
      </c>
      <c r="BD375" s="33">
        <f t="shared" si="434"/>
        <v>0</v>
      </c>
      <c r="BE375" s="33">
        <v>0</v>
      </c>
      <c r="BF375" s="33">
        <f>375</f>
        <v>375</v>
      </c>
      <c r="BH375" s="16">
        <f t="shared" si="435"/>
        <v>0</v>
      </c>
      <c r="BI375" s="16">
        <f t="shared" si="436"/>
        <v>0</v>
      </c>
      <c r="BJ375" s="16">
        <f t="shared" si="437"/>
        <v>0</v>
      </c>
    </row>
    <row r="376" spans="1:62" x14ac:dyDescent="0.2">
      <c r="A376" s="4" t="s">
        <v>308</v>
      </c>
      <c r="B376" s="4" t="s">
        <v>850</v>
      </c>
      <c r="C376" s="131" t="s">
        <v>1430</v>
      </c>
      <c r="D376" s="132"/>
      <c r="E376" s="132"/>
      <c r="F376" s="4" t="s">
        <v>1666</v>
      </c>
      <c r="G376" s="68">
        <v>47</v>
      </c>
      <c r="H376" s="162">
        <v>0</v>
      </c>
      <c r="I376" s="16">
        <f t="shared" si="416"/>
        <v>0</v>
      </c>
      <c r="J376" s="16">
        <f t="shared" si="417"/>
        <v>0</v>
      </c>
      <c r="K376" s="16">
        <f t="shared" si="418"/>
        <v>0</v>
      </c>
      <c r="L376" s="27" t="s">
        <v>1692</v>
      </c>
      <c r="Z376" s="33">
        <f t="shared" si="419"/>
        <v>0</v>
      </c>
      <c r="AB376" s="33">
        <f t="shared" si="420"/>
        <v>0</v>
      </c>
      <c r="AC376" s="33">
        <f t="shared" si="421"/>
        <v>0</v>
      </c>
      <c r="AD376" s="33">
        <f t="shared" si="422"/>
        <v>0</v>
      </c>
      <c r="AE376" s="33">
        <f t="shared" si="423"/>
        <v>0</v>
      </c>
      <c r="AF376" s="33">
        <f t="shared" si="424"/>
        <v>0</v>
      </c>
      <c r="AG376" s="33">
        <f t="shared" si="425"/>
        <v>0</v>
      </c>
      <c r="AH376" s="33">
        <f t="shared" si="426"/>
        <v>0</v>
      </c>
      <c r="AI376" s="28"/>
      <c r="AJ376" s="16">
        <f t="shared" si="427"/>
        <v>0</v>
      </c>
      <c r="AK376" s="16">
        <f t="shared" si="428"/>
        <v>0</v>
      </c>
      <c r="AL376" s="16">
        <f t="shared" si="429"/>
        <v>0</v>
      </c>
      <c r="AN376" s="33">
        <v>21</v>
      </c>
      <c r="AO376" s="33">
        <f>H376*0</f>
        <v>0</v>
      </c>
      <c r="AP376" s="33">
        <f>H376*(1-0)</f>
        <v>0</v>
      </c>
      <c r="AQ376" s="27" t="s">
        <v>13</v>
      </c>
      <c r="AV376" s="33">
        <f t="shared" si="430"/>
        <v>0</v>
      </c>
      <c r="AW376" s="33">
        <f t="shared" si="431"/>
        <v>0</v>
      </c>
      <c r="AX376" s="33">
        <f t="shared" si="432"/>
        <v>0</v>
      </c>
      <c r="AY376" s="34" t="s">
        <v>1730</v>
      </c>
      <c r="AZ376" s="34" t="s">
        <v>1749</v>
      </c>
      <c r="BA376" s="28" t="s">
        <v>1752</v>
      </c>
      <c r="BC376" s="33">
        <f t="shared" si="433"/>
        <v>0</v>
      </c>
      <c r="BD376" s="33">
        <f t="shared" si="434"/>
        <v>0</v>
      </c>
      <c r="BE376" s="33">
        <v>0</v>
      </c>
      <c r="BF376" s="33">
        <f>376</f>
        <v>376</v>
      </c>
      <c r="BH376" s="16">
        <f t="shared" si="435"/>
        <v>0</v>
      </c>
      <c r="BI376" s="16">
        <f t="shared" si="436"/>
        <v>0</v>
      </c>
      <c r="BJ376" s="16">
        <f t="shared" si="437"/>
        <v>0</v>
      </c>
    </row>
    <row r="377" spans="1:62" x14ac:dyDescent="0.2">
      <c r="A377" s="4" t="s">
        <v>309</v>
      </c>
      <c r="B377" s="4" t="s">
        <v>851</v>
      </c>
      <c r="C377" s="131" t="s">
        <v>1431</v>
      </c>
      <c r="D377" s="132"/>
      <c r="E377" s="132"/>
      <c r="F377" s="4" t="s">
        <v>1665</v>
      </c>
      <c r="G377" s="68">
        <v>11</v>
      </c>
      <c r="H377" s="162">
        <v>0</v>
      </c>
      <c r="I377" s="16">
        <f t="shared" si="416"/>
        <v>0</v>
      </c>
      <c r="J377" s="16">
        <f t="shared" si="417"/>
        <v>0</v>
      </c>
      <c r="K377" s="16">
        <f t="shared" si="418"/>
        <v>0</v>
      </c>
      <c r="L377" s="27" t="s">
        <v>1692</v>
      </c>
      <c r="Z377" s="33">
        <f t="shared" si="419"/>
        <v>0</v>
      </c>
      <c r="AB377" s="33">
        <f t="shared" si="420"/>
        <v>0</v>
      </c>
      <c r="AC377" s="33">
        <f t="shared" si="421"/>
        <v>0</v>
      </c>
      <c r="AD377" s="33">
        <f t="shared" si="422"/>
        <v>0</v>
      </c>
      <c r="AE377" s="33">
        <f t="shared" si="423"/>
        <v>0</v>
      </c>
      <c r="AF377" s="33">
        <f t="shared" si="424"/>
        <v>0</v>
      </c>
      <c r="AG377" s="33">
        <f t="shared" si="425"/>
        <v>0</v>
      </c>
      <c r="AH377" s="33">
        <f t="shared" si="426"/>
        <v>0</v>
      </c>
      <c r="AI377" s="28"/>
      <c r="AJ377" s="16">
        <f t="shared" si="427"/>
        <v>0</v>
      </c>
      <c r="AK377" s="16">
        <f t="shared" si="428"/>
        <v>0</v>
      </c>
      <c r="AL377" s="16">
        <f t="shared" si="429"/>
        <v>0</v>
      </c>
      <c r="AN377" s="33">
        <v>21</v>
      </c>
      <c r="AO377" s="33">
        <f>H377*0</f>
        <v>0</v>
      </c>
      <c r="AP377" s="33">
        <f>H377*(1-0)</f>
        <v>0</v>
      </c>
      <c r="AQ377" s="27" t="s">
        <v>13</v>
      </c>
      <c r="AV377" s="33">
        <f t="shared" si="430"/>
        <v>0</v>
      </c>
      <c r="AW377" s="33">
        <f t="shared" si="431"/>
        <v>0</v>
      </c>
      <c r="AX377" s="33">
        <f t="shared" si="432"/>
        <v>0</v>
      </c>
      <c r="AY377" s="34" t="s">
        <v>1730</v>
      </c>
      <c r="AZ377" s="34" t="s">
        <v>1749</v>
      </c>
      <c r="BA377" s="28" t="s">
        <v>1752</v>
      </c>
      <c r="BC377" s="33">
        <f t="shared" si="433"/>
        <v>0</v>
      </c>
      <c r="BD377" s="33">
        <f t="shared" si="434"/>
        <v>0</v>
      </c>
      <c r="BE377" s="33">
        <v>0</v>
      </c>
      <c r="BF377" s="33">
        <f>377</f>
        <v>377</v>
      </c>
      <c r="BH377" s="16">
        <f t="shared" si="435"/>
        <v>0</v>
      </c>
      <c r="BI377" s="16">
        <f t="shared" si="436"/>
        <v>0</v>
      </c>
      <c r="BJ377" s="16">
        <f t="shared" si="437"/>
        <v>0</v>
      </c>
    </row>
    <row r="378" spans="1:62" x14ac:dyDescent="0.2">
      <c r="A378" s="4" t="s">
        <v>310</v>
      </c>
      <c r="B378" s="4" t="s">
        <v>852</v>
      </c>
      <c r="C378" s="131" t="s">
        <v>1432</v>
      </c>
      <c r="D378" s="132"/>
      <c r="E378" s="132"/>
      <c r="F378" s="4" t="s">
        <v>1666</v>
      </c>
      <c r="G378" s="68">
        <v>1.42</v>
      </c>
      <c r="H378" s="162">
        <v>0</v>
      </c>
      <c r="I378" s="16">
        <f t="shared" si="416"/>
        <v>0</v>
      </c>
      <c r="J378" s="16">
        <f t="shared" si="417"/>
        <v>0</v>
      </c>
      <c r="K378" s="16">
        <f t="shared" si="418"/>
        <v>0</v>
      </c>
      <c r="L378" s="27" t="s">
        <v>1692</v>
      </c>
      <c r="Z378" s="33">
        <f t="shared" si="419"/>
        <v>0</v>
      </c>
      <c r="AB378" s="33">
        <f t="shared" si="420"/>
        <v>0</v>
      </c>
      <c r="AC378" s="33">
        <f t="shared" si="421"/>
        <v>0</v>
      </c>
      <c r="AD378" s="33">
        <f t="shared" si="422"/>
        <v>0</v>
      </c>
      <c r="AE378" s="33">
        <f t="shared" si="423"/>
        <v>0</v>
      </c>
      <c r="AF378" s="33">
        <f t="shared" si="424"/>
        <v>0</v>
      </c>
      <c r="AG378" s="33">
        <f t="shared" si="425"/>
        <v>0</v>
      </c>
      <c r="AH378" s="33">
        <f t="shared" si="426"/>
        <v>0</v>
      </c>
      <c r="AI378" s="28"/>
      <c r="AJ378" s="16">
        <f t="shared" si="427"/>
        <v>0</v>
      </c>
      <c r="AK378" s="16">
        <f t="shared" si="428"/>
        <v>0</v>
      </c>
      <c r="AL378" s="16">
        <f t="shared" si="429"/>
        <v>0</v>
      </c>
      <c r="AN378" s="33">
        <v>21</v>
      </c>
      <c r="AO378" s="33">
        <f>H378*0.533417721518987</f>
        <v>0</v>
      </c>
      <c r="AP378" s="33">
        <f>H378*(1-0.533417721518987)</f>
        <v>0</v>
      </c>
      <c r="AQ378" s="27" t="s">
        <v>13</v>
      </c>
      <c r="AV378" s="33">
        <f t="shared" si="430"/>
        <v>0</v>
      </c>
      <c r="AW378" s="33">
        <f t="shared" si="431"/>
        <v>0</v>
      </c>
      <c r="AX378" s="33">
        <f t="shared" si="432"/>
        <v>0</v>
      </c>
      <c r="AY378" s="34" t="s">
        <v>1730</v>
      </c>
      <c r="AZ378" s="34" t="s">
        <v>1749</v>
      </c>
      <c r="BA378" s="28" t="s">
        <v>1752</v>
      </c>
      <c r="BC378" s="33">
        <f t="shared" si="433"/>
        <v>0</v>
      </c>
      <c r="BD378" s="33">
        <f t="shared" si="434"/>
        <v>0</v>
      </c>
      <c r="BE378" s="33">
        <v>0</v>
      </c>
      <c r="BF378" s="33">
        <f>378</f>
        <v>378</v>
      </c>
      <c r="BH378" s="16">
        <f t="shared" si="435"/>
        <v>0</v>
      </c>
      <c r="BI378" s="16">
        <f t="shared" si="436"/>
        <v>0</v>
      </c>
      <c r="BJ378" s="16">
        <f t="shared" si="437"/>
        <v>0</v>
      </c>
    </row>
    <row r="379" spans="1:62" x14ac:dyDescent="0.2">
      <c r="A379" s="4" t="s">
        <v>311</v>
      </c>
      <c r="B379" s="4" t="s">
        <v>853</v>
      </c>
      <c r="C379" s="131" t="s">
        <v>1433</v>
      </c>
      <c r="D379" s="132"/>
      <c r="E379" s="132"/>
      <c r="F379" s="4" t="s">
        <v>1666</v>
      </c>
      <c r="G379" s="68">
        <v>80</v>
      </c>
      <c r="H379" s="162">
        <v>0</v>
      </c>
      <c r="I379" s="16">
        <f t="shared" si="416"/>
        <v>0</v>
      </c>
      <c r="J379" s="16">
        <f t="shared" si="417"/>
        <v>0</v>
      </c>
      <c r="K379" s="16">
        <f t="shared" si="418"/>
        <v>0</v>
      </c>
      <c r="L379" s="27" t="s">
        <v>1692</v>
      </c>
      <c r="Z379" s="33">
        <f t="shared" si="419"/>
        <v>0</v>
      </c>
      <c r="AB379" s="33">
        <f t="shared" si="420"/>
        <v>0</v>
      </c>
      <c r="AC379" s="33">
        <f t="shared" si="421"/>
        <v>0</v>
      </c>
      <c r="AD379" s="33">
        <f t="shared" si="422"/>
        <v>0</v>
      </c>
      <c r="AE379" s="33">
        <f t="shared" si="423"/>
        <v>0</v>
      </c>
      <c r="AF379" s="33">
        <f t="shared" si="424"/>
        <v>0</v>
      </c>
      <c r="AG379" s="33">
        <f t="shared" si="425"/>
        <v>0</v>
      </c>
      <c r="AH379" s="33">
        <f t="shared" si="426"/>
        <v>0</v>
      </c>
      <c r="AI379" s="28"/>
      <c r="AJ379" s="16">
        <f t="shared" si="427"/>
        <v>0</v>
      </c>
      <c r="AK379" s="16">
        <f t="shared" si="428"/>
        <v>0</v>
      </c>
      <c r="AL379" s="16">
        <f t="shared" si="429"/>
        <v>0</v>
      </c>
      <c r="AN379" s="33">
        <v>21</v>
      </c>
      <c r="AO379" s="33">
        <f>H379*0.495822890559733</f>
        <v>0</v>
      </c>
      <c r="AP379" s="33">
        <f>H379*(1-0.495822890559733)</f>
        <v>0</v>
      </c>
      <c r="AQ379" s="27" t="s">
        <v>13</v>
      </c>
      <c r="AV379" s="33">
        <f t="shared" si="430"/>
        <v>0</v>
      </c>
      <c r="AW379" s="33">
        <f t="shared" si="431"/>
        <v>0</v>
      </c>
      <c r="AX379" s="33">
        <f t="shared" si="432"/>
        <v>0</v>
      </c>
      <c r="AY379" s="34" t="s">
        <v>1730</v>
      </c>
      <c r="AZ379" s="34" t="s">
        <v>1749</v>
      </c>
      <c r="BA379" s="28" t="s">
        <v>1752</v>
      </c>
      <c r="BC379" s="33">
        <f t="shared" si="433"/>
        <v>0</v>
      </c>
      <c r="BD379" s="33">
        <f t="shared" si="434"/>
        <v>0</v>
      </c>
      <c r="BE379" s="33">
        <v>0</v>
      </c>
      <c r="BF379" s="33">
        <f>379</f>
        <v>379</v>
      </c>
      <c r="BH379" s="16">
        <f t="shared" si="435"/>
        <v>0</v>
      </c>
      <c r="BI379" s="16">
        <f t="shared" si="436"/>
        <v>0</v>
      </c>
      <c r="BJ379" s="16">
        <f t="shared" si="437"/>
        <v>0</v>
      </c>
    </row>
    <row r="380" spans="1:62" x14ac:dyDescent="0.2">
      <c r="A380" s="4" t="s">
        <v>312</v>
      </c>
      <c r="B380" s="4" t="s">
        <v>854</v>
      </c>
      <c r="C380" s="131" t="s">
        <v>1434</v>
      </c>
      <c r="D380" s="132"/>
      <c r="E380" s="132"/>
      <c r="F380" s="4" t="s">
        <v>1666</v>
      </c>
      <c r="G380" s="68">
        <v>5</v>
      </c>
      <c r="H380" s="162">
        <v>0</v>
      </c>
      <c r="I380" s="16">
        <f t="shared" si="416"/>
        <v>0</v>
      </c>
      <c r="J380" s="16">
        <f t="shared" si="417"/>
        <v>0</v>
      </c>
      <c r="K380" s="16">
        <f t="shared" si="418"/>
        <v>0</v>
      </c>
      <c r="L380" s="27" t="s">
        <v>1692</v>
      </c>
      <c r="Z380" s="33">
        <f t="shared" si="419"/>
        <v>0</v>
      </c>
      <c r="AB380" s="33">
        <f t="shared" si="420"/>
        <v>0</v>
      </c>
      <c r="AC380" s="33">
        <f t="shared" si="421"/>
        <v>0</v>
      </c>
      <c r="AD380" s="33">
        <f t="shared" si="422"/>
        <v>0</v>
      </c>
      <c r="AE380" s="33">
        <f t="shared" si="423"/>
        <v>0</v>
      </c>
      <c r="AF380" s="33">
        <f t="shared" si="424"/>
        <v>0</v>
      </c>
      <c r="AG380" s="33">
        <f t="shared" si="425"/>
        <v>0</v>
      </c>
      <c r="AH380" s="33">
        <f t="shared" si="426"/>
        <v>0</v>
      </c>
      <c r="AI380" s="28"/>
      <c r="AJ380" s="16">
        <f t="shared" si="427"/>
        <v>0</v>
      </c>
      <c r="AK380" s="16">
        <f t="shared" si="428"/>
        <v>0</v>
      </c>
      <c r="AL380" s="16">
        <f t="shared" si="429"/>
        <v>0</v>
      </c>
      <c r="AN380" s="33">
        <v>21</v>
      </c>
      <c r="AO380" s="33">
        <f>H380*0.533364884051112</f>
        <v>0</v>
      </c>
      <c r="AP380" s="33">
        <f>H380*(1-0.533364884051112)</f>
        <v>0</v>
      </c>
      <c r="AQ380" s="27" t="s">
        <v>13</v>
      </c>
      <c r="AV380" s="33">
        <f t="shared" si="430"/>
        <v>0</v>
      </c>
      <c r="AW380" s="33">
        <f t="shared" si="431"/>
        <v>0</v>
      </c>
      <c r="AX380" s="33">
        <f t="shared" si="432"/>
        <v>0</v>
      </c>
      <c r="AY380" s="34" t="s">
        <v>1730</v>
      </c>
      <c r="AZ380" s="34" t="s">
        <v>1749</v>
      </c>
      <c r="BA380" s="28" t="s">
        <v>1752</v>
      </c>
      <c r="BC380" s="33">
        <f t="shared" si="433"/>
        <v>0</v>
      </c>
      <c r="BD380" s="33">
        <f t="shared" si="434"/>
        <v>0</v>
      </c>
      <c r="BE380" s="33">
        <v>0</v>
      </c>
      <c r="BF380" s="33">
        <f>380</f>
        <v>380</v>
      </c>
      <c r="BH380" s="16">
        <f t="shared" si="435"/>
        <v>0</v>
      </c>
      <c r="BI380" s="16">
        <f t="shared" si="436"/>
        <v>0</v>
      </c>
      <c r="BJ380" s="16">
        <f t="shared" si="437"/>
        <v>0</v>
      </c>
    </row>
    <row r="381" spans="1:62" x14ac:dyDescent="0.2">
      <c r="A381" s="4" t="s">
        <v>313</v>
      </c>
      <c r="B381" s="4" t="s">
        <v>855</v>
      </c>
      <c r="C381" s="131" t="s">
        <v>1435</v>
      </c>
      <c r="D381" s="132"/>
      <c r="E381" s="132"/>
      <c r="F381" s="4" t="s">
        <v>1666</v>
      </c>
      <c r="G381" s="68">
        <v>75</v>
      </c>
      <c r="H381" s="162">
        <v>0</v>
      </c>
      <c r="I381" s="16">
        <f t="shared" si="416"/>
        <v>0</v>
      </c>
      <c r="J381" s="16">
        <f t="shared" si="417"/>
        <v>0</v>
      </c>
      <c r="K381" s="16">
        <f t="shared" si="418"/>
        <v>0</v>
      </c>
      <c r="L381" s="27" t="s">
        <v>1692</v>
      </c>
      <c r="Z381" s="33">
        <f t="shared" si="419"/>
        <v>0</v>
      </c>
      <c r="AB381" s="33">
        <f t="shared" si="420"/>
        <v>0</v>
      </c>
      <c r="AC381" s="33">
        <f t="shared" si="421"/>
        <v>0</v>
      </c>
      <c r="AD381" s="33">
        <f t="shared" si="422"/>
        <v>0</v>
      </c>
      <c r="AE381" s="33">
        <f t="shared" si="423"/>
        <v>0</v>
      </c>
      <c r="AF381" s="33">
        <f t="shared" si="424"/>
        <v>0</v>
      </c>
      <c r="AG381" s="33">
        <f t="shared" si="425"/>
        <v>0</v>
      </c>
      <c r="AH381" s="33">
        <f t="shared" si="426"/>
        <v>0</v>
      </c>
      <c r="AI381" s="28"/>
      <c r="AJ381" s="16">
        <f t="shared" si="427"/>
        <v>0</v>
      </c>
      <c r="AK381" s="16">
        <f t="shared" si="428"/>
        <v>0</v>
      </c>
      <c r="AL381" s="16">
        <f t="shared" si="429"/>
        <v>0</v>
      </c>
      <c r="AN381" s="33">
        <v>21</v>
      </c>
      <c r="AO381" s="33">
        <f>H381*0.533403643336529</f>
        <v>0</v>
      </c>
      <c r="AP381" s="33">
        <f>H381*(1-0.533403643336529)</f>
        <v>0</v>
      </c>
      <c r="AQ381" s="27" t="s">
        <v>13</v>
      </c>
      <c r="AV381" s="33">
        <f t="shared" si="430"/>
        <v>0</v>
      </c>
      <c r="AW381" s="33">
        <f t="shared" si="431"/>
        <v>0</v>
      </c>
      <c r="AX381" s="33">
        <f t="shared" si="432"/>
        <v>0</v>
      </c>
      <c r="AY381" s="34" t="s">
        <v>1730</v>
      </c>
      <c r="AZ381" s="34" t="s">
        <v>1749</v>
      </c>
      <c r="BA381" s="28" t="s">
        <v>1752</v>
      </c>
      <c r="BC381" s="33">
        <f t="shared" si="433"/>
        <v>0</v>
      </c>
      <c r="BD381" s="33">
        <f t="shared" si="434"/>
        <v>0</v>
      </c>
      <c r="BE381" s="33">
        <v>0</v>
      </c>
      <c r="BF381" s="33">
        <f>381</f>
        <v>381</v>
      </c>
      <c r="BH381" s="16">
        <f t="shared" si="435"/>
        <v>0</v>
      </c>
      <c r="BI381" s="16">
        <f t="shared" si="436"/>
        <v>0</v>
      </c>
      <c r="BJ381" s="16">
        <f t="shared" si="437"/>
        <v>0</v>
      </c>
    </row>
    <row r="382" spans="1:62" x14ac:dyDescent="0.2">
      <c r="A382" s="4" t="s">
        <v>314</v>
      </c>
      <c r="B382" s="4" t="s">
        <v>856</v>
      </c>
      <c r="C382" s="131" t="s">
        <v>1436</v>
      </c>
      <c r="D382" s="132"/>
      <c r="E382" s="132"/>
      <c r="F382" s="4" t="s">
        <v>1666</v>
      </c>
      <c r="G382" s="68">
        <v>5</v>
      </c>
      <c r="H382" s="162">
        <v>0</v>
      </c>
      <c r="I382" s="16">
        <f t="shared" si="416"/>
        <v>0</v>
      </c>
      <c r="J382" s="16">
        <f t="shared" si="417"/>
        <v>0</v>
      </c>
      <c r="K382" s="16">
        <f t="shared" si="418"/>
        <v>0</v>
      </c>
      <c r="L382" s="27" t="s">
        <v>1692</v>
      </c>
      <c r="Z382" s="33">
        <f t="shared" si="419"/>
        <v>0</v>
      </c>
      <c r="AB382" s="33">
        <f t="shared" si="420"/>
        <v>0</v>
      </c>
      <c r="AC382" s="33">
        <f t="shared" si="421"/>
        <v>0</v>
      </c>
      <c r="AD382" s="33">
        <f t="shared" si="422"/>
        <v>0</v>
      </c>
      <c r="AE382" s="33">
        <f t="shared" si="423"/>
        <v>0</v>
      </c>
      <c r="AF382" s="33">
        <f t="shared" si="424"/>
        <v>0</v>
      </c>
      <c r="AG382" s="33">
        <f t="shared" si="425"/>
        <v>0</v>
      </c>
      <c r="AH382" s="33">
        <f t="shared" si="426"/>
        <v>0</v>
      </c>
      <c r="AI382" s="28"/>
      <c r="AJ382" s="16">
        <f t="shared" si="427"/>
        <v>0</v>
      </c>
      <c r="AK382" s="16">
        <f t="shared" si="428"/>
        <v>0</v>
      </c>
      <c r="AL382" s="16">
        <f t="shared" si="429"/>
        <v>0</v>
      </c>
      <c r="AN382" s="33">
        <v>21</v>
      </c>
      <c r="AO382" s="33">
        <f>H382*0.533416424317962</f>
        <v>0</v>
      </c>
      <c r="AP382" s="33">
        <f>H382*(1-0.533416424317962)</f>
        <v>0</v>
      </c>
      <c r="AQ382" s="27" t="s">
        <v>13</v>
      </c>
      <c r="AV382" s="33">
        <f t="shared" si="430"/>
        <v>0</v>
      </c>
      <c r="AW382" s="33">
        <f t="shared" si="431"/>
        <v>0</v>
      </c>
      <c r="AX382" s="33">
        <f t="shared" si="432"/>
        <v>0</v>
      </c>
      <c r="AY382" s="34" t="s">
        <v>1730</v>
      </c>
      <c r="AZ382" s="34" t="s">
        <v>1749</v>
      </c>
      <c r="BA382" s="28" t="s">
        <v>1752</v>
      </c>
      <c r="BC382" s="33">
        <f t="shared" si="433"/>
        <v>0</v>
      </c>
      <c r="BD382" s="33">
        <f t="shared" si="434"/>
        <v>0</v>
      </c>
      <c r="BE382" s="33">
        <v>0</v>
      </c>
      <c r="BF382" s="33">
        <f>382</f>
        <v>382</v>
      </c>
      <c r="BH382" s="16">
        <f t="shared" si="435"/>
        <v>0</v>
      </c>
      <c r="BI382" s="16">
        <f t="shared" si="436"/>
        <v>0</v>
      </c>
      <c r="BJ382" s="16">
        <f t="shared" si="437"/>
        <v>0</v>
      </c>
    </row>
    <row r="383" spans="1:62" x14ac:dyDescent="0.2">
      <c r="A383" s="4" t="s">
        <v>315</v>
      </c>
      <c r="B383" s="4" t="s">
        <v>857</v>
      </c>
      <c r="C383" s="131" t="s">
        <v>1437</v>
      </c>
      <c r="D383" s="132"/>
      <c r="E383" s="132"/>
      <c r="F383" s="4" t="s">
        <v>1666</v>
      </c>
      <c r="G383" s="68">
        <v>204.3</v>
      </c>
      <c r="H383" s="162">
        <v>0</v>
      </c>
      <c r="I383" s="16">
        <f t="shared" si="416"/>
        <v>0</v>
      </c>
      <c r="J383" s="16">
        <f t="shared" si="417"/>
        <v>0</v>
      </c>
      <c r="K383" s="16">
        <f t="shared" si="418"/>
        <v>0</v>
      </c>
      <c r="L383" s="27" t="s">
        <v>1692</v>
      </c>
      <c r="Z383" s="33">
        <f t="shared" si="419"/>
        <v>0</v>
      </c>
      <c r="AB383" s="33">
        <f t="shared" si="420"/>
        <v>0</v>
      </c>
      <c r="AC383" s="33">
        <f t="shared" si="421"/>
        <v>0</v>
      </c>
      <c r="AD383" s="33">
        <f t="shared" si="422"/>
        <v>0</v>
      </c>
      <c r="AE383" s="33">
        <f t="shared" si="423"/>
        <v>0</v>
      </c>
      <c r="AF383" s="33">
        <f t="shared" si="424"/>
        <v>0</v>
      </c>
      <c r="AG383" s="33">
        <f t="shared" si="425"/>
        <v>0</v>
      </c>
      <c r="AH383" s="33">
        <f t="shared" si="426"/>
        <v>0</v>
      </c>
      <c r="AI383" s="28"/>
      <c r="AJ383" s="16">
        <f t="shared" si="427"/>
        <v>0</v>
      </c>
      <c r="AK383" s="16">
        <f t="shared" si="428"/>
        <v>0</v>
      </c>
      <c r="AL383" s="16">
        <f t="shared" si="429"/>
        <v>0</v>
      </c>
      <c r="AN383" s="33">
        <v>21</v>
      </c>
      <c r="AO383" s="33">
        <f>H383*0.610895953757225</f>
        <v>0</v>
      </c>
      <c r="AP383" s="33">
        <f>H383*(1-0.610895953757225)</f>
        <v>0</v>
      </c>
      <c r="AQ383" s="27" t="s">
        <v>13</v>
      </c>
      <c r="AV383" s="33">
        <f t="shared" si="430"/>
        <v>0</v>
      </c>
      <c r="AW383" s="33">
        <f t="shared" si="431"/>
        <v>0</v>
      </c>
      <c r="AX383" s="33">
        <f t="shared" si="432"/>
        <v>0</v>
      </c>
      <c r="AY383" s="34" t="s">
        <v>1730</v>
      </c>
      <c r="AZ383" s="34" t="s">
        <v>1749</v>
      </c>
      <c r="BA383" s="28" t="s">
        <v>1752</v>
      </c>
      <c r="BC383" s="33">
        <f t="shared" si="433"/>
        <v>0</v>
      </c>
      <c r="BD383" s="33">
        <f t="shared" si="434"/>
        <v>0</v>
      </c>
      <c r="BE383" s="33">
        <v>0</v>
      </c>
      <c r="BF383" s="33">
        <f>383</f>
        <v>383</v>
      </c>
      <c r="BH383" s="16">
        <f t="shared" si="435"/>
        <v>0</v>
      </c>
      <c r="BI383" s="16">
        <f t="shared" si="436"/>
        <v>0</v>
      </c>
      <c r="BJ383" s="16">
        <f t="shared" si="437"/>
        <v>0</v>
      </c>
    </row>
    <row r="384" spans="1:62" x14ac:dyDescent="0.2">
      <c r="A384" s="4" t="s">
        <v>316</v>
      </c>
      <c r="B384" s="4" t="s">
        <v>858</v>
      </c>
      <c r="C384" s="131" t="s">
        <v>1438</v>
      </c>
      <c r="D384" s="132"/>
      <c r="E384" s="132"/>
      <c r="F384" s="4" t="s">
        <v>1666</v>
      </c>
      <c r="G384" s="68">
        <v>45</v>
      </c>
      <c r="H384" s="162">
        <v>0</v>
      </c>
      <c r="I384" s="16">
        <f t="shared" si="416"/>
        <v>0</v>
      </c>
      <c r="J384" s="16">
        <f t="shared" si="417"/>
        <v>0</v>
      </c>
      <c r="K384" s="16">
        <f t="shared" si="418"/>
        <v>0</v>
      </c>
      <c r="L384" s="27" t="s">
        <v>1692</v>
      </c>
      <c r="Z384" s="33">
        <f t="shared" si="419"/>
        <v>0</v>
      </c>
      <c r="AB384" s="33">
        <f t="shared" si="420"/>
        <v>0</v>
      </c>
      <c r="AC384" s="33">
        <f t="shared" si="421"/>
        <v>0</v>
      </c>
      <c r="AD384" s="33">
        <f t="shared" si="422"/>
        <v>0</v>
      </c>
      <c r="AE384" s="33">
        <f t="shared" si="423"/>
        <v>0</v>
      </c>
      <c r="AF384" s="33">
        <f t="shared" si="424"/>
        <v>0</v>
      </c>
      <c r="AG384" s="33">
        <f t="shared" si="425"/>
        <v>0</v>
      </c>
      <c r="AH384" s="33">
        <f t="shared" si="426"/>
        <v>0</v>
      </c>
      <c r="AI384" s="28"/>
      <c r="AJ384" s="16">
        <f t="shared" si="427"/>
        <v>0</v>
      </c>
      <c r="AK384" s="16">
        <f t="shared" si="428"/>
        <v>0</v>
      </c>
      <c r="AL384" s="16">
        <f t="shared" si="429"/>
        <v>0</v>
      </c>
      <c r="AN384" s="33">
        <v>21</v>
      </c>
      <c r="AO384" s="33">
        <f>H384*0.777229862475442</f>
        <v>0</v>
      </c>
      <c r="AP384" s="33">
        <f>H384*(1-0.777229862475442)</f>
        <v>0</v>
      </c>
      <c r="AQ384" s="27" t="s">
        <v>13</v>
      </c>
      <c r="AV384" s="33">
        <f t="shared" si="430"/>
        <v>0</v>
      </c>
      <c r="AW384" s="33">
        <f t="shared" si="431"/>
        <v>0</v>
      </c>
      <c r="AX384" s="33">
        <f t="shared" si="432"/>
        <v>0</v>
      </c>
      <c r="AY384" s="34" t="s">
        <v>1730</v>
      </c>
      <c r="AZ384" s="34" t="s">
        <v>1749</v>
      </c>
      <c r="BA384" s="28" t="s">
        <v>1752</v>
      </c>
      <c r="BC384" s="33">
        <f t="shared" si="433"/>
        <v>0</v>
      </c>
      <c r="BD384" s="33">
        <f t="shared" si="434"/>
        <v>0</v>
      </c>
      <c r="BE384" s="33">
        <v>0</v>
      </c>
      <c r="BF384" s="33">
        <f>384</f>
        <v>384</v>
      </c>
      <c r="BH384" s="16">
        <f t="shared" si="435"/>
        <v>0</v>
      </c>
      <c r="BI384" s="16">
        <f t="shared" si="436"/>
        <v>0</v>
      </c>
      <c r="BJ384" s="16">
        <f t="shared" si="437"/>
        <v>0</v>
      </c>
    </row>
    <row r="385" spans="1:62" x14ac:dyDescent="0.2">
      <c r="A385" s="4" t="s">
        <v>317</v>
      </c>
      <c r="B385" s="4" t="s">
        <v>859</v>
      </c>
      <c r="C385" s="131" t="s">
        <v>1439</v>
      </c>
      <c r="D385" s="132"/>
      <c r="E385" s="132"/>
      <c r="F385" s="4" t="s">
        <v>1664</v>
      </c>
      <c r="G385" s="68">
        <v>5.68</v>
      </c>
      <c r="H385" s="162">
        <v>0</v>
      </c>
      <c r="I385" s="16">
        <f t="shared" si="416"/>
        <v>0</v>
      </c>
      <c r="J385" s="16">
        <f t="shared" si="417"/>
        <v>0</v>
      </c>
      <c r="K385" s="16">
        <f t="shared" si="418"/>
        <v>0</v>
      </c>
      <c r="L385" s="27" t="s">
        <v>1692</v>
      </c>
      <c r="Z385" s="33">
        <f t="shared" si="419"/>
        <v>0</v>
      </c>
      <c r="AB385" s="33">
        <f t="shared" si="420"/>
        <v>0</v>
      </c>
      <c r="AC385" s="33">
        <f t="shared" si="421"/>
        <v>0</v>
      </c>
      <c r="AD385" s="33">
        <f t="shared" si="422"/>
        <v>0</v>
      </c>
      <c r="AE385" s="33">
        <f t="shared" si="423"/>
        <v>0</v>
      </c>
      <c r="AF385" s="33">
        <f t="shared" si="424"/>
        <v>0</v>
      </c>
      <c r="AG385" s="33">
        <f t="shared" si="425"/>
        <v>0</v>
      </c>
      <c r="AH385" s="33">
        <f t="shared" si="426"/>
        <v>0</v>
      </c>
      <c r="AI385" s="28"/>
      <c r="AJ385" s="16">
        <f t="shared" si="427"/>
        <v>0</v>
      </c>
      <c r="AK385" s="16">
        <f t="shared" si="428"/>
        <v>0</v>
      </c>
      <c r="AL385" s="16">
        <f t="shared" si="429"/>
        <v>0</v>
      </c>
      <c r="AN385" s="33">
        <v>21</v>
      </c>
      <c r="AO385" s="33">
        <f>H385*0</f>
        <v>0</v>
      </c>
      <c r="AP385" s="33">
        <f>H385*(1-0)</f>
        <v>0</v>
      </c>
      <c r="AQ385" s="27" t="s">
        <v>11</v>
      </c>
      <c r="AV385" s="33">
        <f t="shared" si="430"/>
        <v>0</v>
      </c>
      <c r="AW385" s="33">
        <f t="shared" si="431"/>
        <v>0</v>
      </c>
      <c r="AX385" s="33">
        <f t="shared" si="432"/>
        <v>0</v>
      </c>
      <c r="AY385" s="34" t="s">
        <v>1730</v>
      </c>
      <c r="AZ385" s="34" t="s">
        <v>1749</v>
      </c>
      <c r="BA385" s="28" t="s">
        <v>1752</v>
      </c>
      <c r="BC385" s="33">
        <f t="shared" si="433"/>
        <v>0</v>
      </c>
      <c r="BD385" s="33">
        <f t="shared" si="434"/>
        <v>0</v>
      </c>
      <c r="BE385" s="33">
        <v>0</v>
      </c>
      <c r="BF385" s="33">
        <f>385</f>
        <v>385</v>
      </c>
      <c r="BH385" s="16">
        <f t="shared" si="435"/>
        <v>0</v>
      </c>
      <c r="BI385" s="16">
        <f t="shared" si="436"/>
        <v>0</v>
      </c>
      <c r="BJ385" s="16">
        <f t="shared" si="437"/>
        <v>0</v>
      </c>
    </row>
    <row r="386" spans="1:62" x14ac:dyDescent="0.2">
      <c r="A386" s="5"/>
      <c r="B386" s="13" t="s">
        <v>860</v>
      </c>
      <c r="C386" s="136" t="s">
        <v>1440</v>
      </c>
      <c r="D386" s="137"/>
      <c r="E386" s="137"/>
      <c r="F386" s="5" t="s">
        <v>6</v>
      </c>
      <c r="G386" s="5" t="s">
        <v>6</v>
      </c>
      <c r="H386" s="163" t="s">
        <v>6</v>
      </c>
      <c r="I386" s="36">
        <f>SUM(I387:I413)</f>
        <v>0</v>
      </c>
      <c r="J386" s="36">
        <f>SUM(J387:J413)</f>
        <v>0</v>
      </c>
      <c r="K386" s="36">
        <f>SUM(K387:K413)</f>
        <v>0</v>
      </c>
      <c r="L386" s="28"/>
      <c r="AI386" s="28"/>
      <c r="AS386" s="36">
        <f>SUM(AJ387:AJ413)</f>
        <v>0</v>
      </c>
      <c r="AT386" s="36">
        <f>SUM(AK387:AK413)</f>
        <v>0</v>
      </c>
      <c r="AU386" s="36">
        <f>SUM(AL387:AL413)</f>
        <v>0</v>
      </c>
    </row>
    <row r="387" spans="1:62" x14ac:dyDescent="0.2">
      <c r="A387" s="4" t="s">
        <v>318</v>
      </c>
      <c r="B387" s="4" t="s">
        <v>861</v>
      </c>
      <c r="C387" s="131" t="s">
        <v>1441</v>
      </c>
      <c r="D387" s="132"/>
      <c r="E387" s="132"/>
      <c r="F387" s="4" t="s">
        <v>1663</v>
      </c>
      <c r="G387" s="68">
        <v>4.0890000000000004</v>
      </c>
      <c r="H387" s="162">
        <v>0</v>
      </c>
      <c r="I387" s="16">
        <f t="shared" ref="I387:I413" si="438">G387*AO387</f>
        <v>0</v>
      </c>
      <c r="J387" s="16">
        <f t="shared" ref="J387:J413" si="439">G387*AP387</f>
        <v>0</v>
      </c>
      <c r="K387" s="16">
        <f t="shared" ref="K387:K413" si="440">G387*H387</f>
        <v>0</v>
      </c>
      <c r="L387" s="27" t="s">
        <v>1692</v>
      </c>
      <c r="Z387" s="33">
        <f t="shared" ref="Z387:Z413" si="441">IF(AQ387="5",BJ387,0)</f>
        <v>0</v>
      </c>
      <c r="AB387" s="33">
        <f t="shared" ref="AB387:AB413" si="442">IF(AQ387="1",BH387,0)</f>
        <v>0</v>
      </c>
      <c r="AC387" s="33">
        <f t="shared" ref="AC387:AC413" si="443">IF(AQ387="1",BI387,0)</f>
        <v>0</v>
      </c>
      <c r="AD387" s="33">
        <f t="shared" ref="AD387:AD413" si="444">IF(AQ387="7",BH387,0)</f>
        <v>0</v>
      </c>
      <c r="AE387" s="33">
        <f t="shared" ref="AE387:AE413" si="445">IF(AQ387="7",BI387,0)</f>
        <v>0</v>
      </c>
      <c r="AF387" s="33">
        <f t="shared" ref="AF387:AF413" si="446">IF(AQ387="2",BH387,0)</f>
        <v>0</v>
      </c>
      <c r="AG387" s="33">
        <f t="shared" ref="AG387:AG413" si="447">IF(AQ387="2",BI387,0)</f>
        <v>0</v>
      </c>
      <c r="AH387" s="33">
        <f t="shared" ref="AH387:AH413" si="448">IF(AQ387="0",BJ387,0)</f>
        <v>0</v>
      </c>
      <c r="AI387" s="28"/>
      <c r="AJ387" s="16">
        <f t="shared" ref="AJ387:AJ413" si="449">IF(AN387=0,K387,0)</f>
        <v>0</v>
      </c>
      <c r="AK387" s="16">
        <f t="shared" ref="AK387:AK413" si="450">IF(AN387=15,K387,0)</f>
        <v>0</v>
      </c>
      <c r="AL387" s="16">
        <f t="shared" ref="AL387:AL413" si="451">IF(AN387=21,K387,0)</f>
        <v>0</v>
      </c>
      <c r="AN387" s="33">
        <v>21</v>
      </c>
      <c r="AO387" s="33">
        <f>H387*0</f>
        <v>0</v>
      </c>
      <c r="AP387" s="33">
        <f>H387*(1-0)</f>
        <v>0</v>
      </c>
      <c r="AQ387" s="27" t="s">
        <v>13</v>
      </c>
      <c r="AV387" s="33">
        <f t="shared" ref="AV387:AV413" si="452">AW387+AX387</f>
        <v>0</v>
      </c>
      <c r="AW387" s="33">
        <f t="shared" ref="AW387:AW413" si="453">G387*AO387</f>
        <v>0</v>
      </c>
      <c r="AX387" s="33">
        <f t="shared" ref="AX387:AX413" si="454">G387*AP387</f>
        <v>0</v>
      </c>
      <c r="AY387" s="34" t="s">
        <v>1731</v>
      </c>
      <c r="AZ387" s="34" t="s">
        <v>1749</v>
      </c>
      <c r="BA387" s="28" t="s">
        <v>1752</v>
      </c>
      <c r="BC387" s="33">
        <f t="shared" ref="BC387:BC413" si="455">AW387+AX387</f>
        <v>0</v>
      </c>
      <c r="BD387" s="33">
        <f t="shared" ref="BD387:BD413" si="456">H387/(100-BE387)*100</f>
        <v>0</v>
      </c>
      <c r="BE387" s="33">
        <v>0</v>
      </c>
      <c r="BF387" s="33">
        <f>387</f>
        <v>387</v>
      </c>
      <c r="BH387" s="16">
        <f t="shared" ref="BH387:BH413" si="457">G387*AO387</f>
        <v>0</v>
      </c>
      <c r="BI387" s="16">
        <f t="shared" ref="BI387:BI413" si="458">G387*AP387</f>
        <v>0</v>
      </c>
      <c r="BJ387" s="16">
        <f t="shared" ref="BJ387:BJ413" si="459">G387*H387</f>
        <v>0</v>
      </c>
    </row>
    <row r="388" spans="1:62" x14ac:dyDescent="0.2">
      <c r="A388" s="4" t="s">
        <v>319</v>
      </c>
      <c r="B388" s="4" t="s">
        <v>862</v>
      </c>
      <c r="C388" s="131" t="s">
        <v>1442</v>
      </c>
      <c r="D388" s="132"/>
      <c r="E388" s="132"/>
      <c r="F388" s="4" t="s">
        <v>1663</v>
      </c>
      <c r="G388" s="68">
        <v>4.0890000000000004</v>
      </c>
      <c r="H388" s="162">
        <v>0</v>
      </c>
      <c r="I388" s="16">
        <f t="shared" si="438"/>
        <v>0</v>
      </c>
      <c r="J388" s="16">
        <f t="shared" si="439"/>
        <v>0</v>
      </c>
      <c r="K388" s="16">
        <f t="shared" si="440"/>
        <v>0</v>
      </c>
      <c r="L388" s="27" t="s">
        <v>1692</v>
      </c>
      <c r="Z388" s="33">
        <f t="shared" si="441"/>
        <v>0</v>
      </c>
      <c r="AB388" s="33">
        <f t="shared" si="442"/>
        <v>0</v>
      </c>
      <c r="AC388" s="33">
        <f t="shared" si="443"/>
        <v>0</v>
      </c>
      <c r="AD388" s="33">
        <f t="shared" si="444"/>
        <v>0</v>
      </c>
      <c r="AE388" s="33">
        <f t="shared" si="445"/>
        <v>0</v>
      </c>
      <c r="AF388" s="33">
        <f t="shared" si="446"/>
        <v>0</v>
      </c>
      <c r="AG388" s="33">
        <f t="shared" si="447"/>
        <v>0</v>
      </c>
      <c r="AH388" s="33">
        <f t="shared" si="448"/>
        <v>0</v>
      </c>
      <c r="AI388" s="28"/>
      <c r="AJ388" s="16">
        <f t="shared" si="449"/>
        <v>0</v>
      </c>
      <c r="AK388" s="16">
        <f t="shared" si="450"/>
        <v>0</v>
      </c>
      <c r="AL388" s="16">
        <f t="shared" si="451"/>
        <v>0</v>
      </c>
      <c r="AN388" s="33">
        <v>21</v>
      </c>
      <c r="AO388" s="33">
        <f>H388*0</f>
        <v>0</v>
      </c>
      <c r="AP388" s="33">
        <f>H388*(1-0)</f>
        <v>0</v>
      </c>
      <c r="AQ388" s="27" t="s">
        <v>13</v>
      </c>
      <c r="AV388" s="33">
        <f t="shared" si="452"/>
        <v>0</v>
      </c>
      <c r="AW388" s="33">
        <f t="shared" si="453"/>
        <v>0</v>
      </c>
      <c r="AX388" s="33">
        <f t="shared" si="454"/>
        <v>0</v>
      </c>
      <c r="AY388" s="34" t="s">
        <v>1731</v>
      </c>
      <c r="AZ388" s="34" t="s">
        <v>1749</v>
      </c>
      <c r="BA388" s="28" t="s">
        <v>1752</v>
      </c>
      <c r="BC388" s="33">
        <f t="shared" si="455"/>
        <v>0</v>
      </c>
      <c r="BD388" s="33">
        <f t="shared" si="456"/>
        <v>0</v>
      </c>
      <c r="BE388" s="33">
        <v>0</v>
      </c>
      <c r="BF388" s="33">
        <f>388</f>
        <v>388</v>
      </c>
      <c r="BH388" s="16">
        <f t="shared" si="457"/>
        <v>0</v>
      </c>
      <c r="BI388" s="16">
        <f t="shared" si="458"/>
        <v>0</v>
      </c>
      <c r="BJ388" s="16">
        <f t="shared" si="459"/>
        <v>0</v>
      </c>
    </row>
    <row r="389" spans="1:62" x14ac:dyDescent="0.2">
      <c r="A389" s="4" t="s">
        <v>320</v>
      </c>
      <c r="B389" s="4" t="s">
        <v>863</v>
      </c>
      <c r="C389" s="131" t="s">
        <v>1443</v>
      </c>
      <c r="D389" s="132"/>
      <c r="E389" s="132"/>
      <c r="F389" s="4" t="s">
        <v>1663</v>
      </c>
      <c r="G389" s="68">
        <v>4.0890000000000004</v>
      </c>
      <c r="H389" s="162">
        <v>0</v>
      </c>
      <c r="I389" s="16">
        <f t="shared" si="438"/>
        <v>0</v>
      </c>
      <c r="J389" s="16">
        <f t="shared" si="439"/>
        <v>0</v>
      </c>
      <c r="K389" s="16">
        <f t="shared" si="440"/>
        <v>0</v>
      </c>
      <c r="L389" s="27" t="s">
        <v>1692</v>
      </c>
      <c r="Z389" s="33">
        <f t="shared" si="441"/>
        <v>0</v>
      </c>
      <c r="AB389" s="33">
        <f t="shared" si="442"/>
        <v>0</v>
      </c>
      <c r="AC389" s="33">
        <f t="shared" si="443"/>
        <v>0</v>
      </c>
      <c r="AD389" s="33">
        <f t="shared" si="444"/>
        <v>0</v>
      </c>
      <c r="AE389" s="33">
        <f t="shared" si="445"/>
        <v>0</v>
      </c>
      <c r="AF389" s="33">
        <f t="shared" si="446"/>
        <v>0</v>
      </c>
      <c r="AG389" s="33">
        <f t="shared" si="447"/>
        <v>0</v>
      </c>
      <c r="AH389" s="33">
        <f t="shared" si="448"/>
        <v>0</v>
      </c>
      <c r="AI389" s="28"/>
      <c r="AJ389" s="16">
        <f t="shared" si="449"/>
        <v>0</v>
      </c>
      <c r="AK389" s="16">
        <f t="shared" si="450"/>
        <v>0</v>
      </c>
      <c r="AL389" s="16">
        <f t="shared" si="451"/>
        <v>0</v>
      </c>
      <c r="AN389" s="33">
        <v>21</v>
      </c>
      <c r="AO389" s="33">
        <f>H389*0</f>
        <v>0</v>
      </c>
      <c r="AP389" s="33">
        <f>H389*(1-0)</f>
        <v>0</v>
      </c>
      <c r="AQ389" s="27" t="s">
        <v>13</v>
      </c>
      <c r="AV389" s="33">
        <f t="shared" si="452"/>
        <v>0</v>
      </c>
      <c r="AW389" s="33">
        <f t="shared" si="453"/>
        <v>0</v>
      </c>
      <c r="AX389" s="33">
        <f t="shared" si="454"/>
        <v>0</v>
      </c>
      <c r="AY389" s="34" t="s">
        <v>1731</v>
      </c>
      <c r="AZ389" s="34" t="s">
        <v>1749</v>
      </c>
      <c r="BA389" s="28" t="s">
        <v>1752</v>
      </c>
      <c r="BC389" s="33">
        <f t="shared" si="455"/>
        <v>0</v>
      </c>
      <c r="BD389" s="33">
        <f t="shared" si="456"/>
        <v>0</v>
      </c>
      <c r="BE389" s="33">
        <v>0</v>
      </c>
      <c r="BF389" s="33">
        <f>389</f>
        <v>389</v>
      </c>
      <c r="BH389" s="16">
        <f t="shared" si="457"/>
        <v>0</v>
      </c>
      <c r="BI389" s="16">
        <f t="shared" si="458"/>
        <v>0</v>
      </c>
      <c r="BJ389" s="16">
        <f t="shared" si="459"/>
        <v>0</v>
      </c>
    </row>
    <row r="390" spans="1:62" x14ac:dyDescent="0.2">
      <c r="A390" s="4" t="s">
        <v>321</v>
      </c>
      <c r="B390" s="4" t="s">
        <v>864</v>
      </c>
      <c r="C390" s="131" t="s">
        <v>1444</v>
      </c>
      <c r="D390" s="132"/>
      <c r="E390" s="132"/>
      <c r="F390" s="4" t="s">
        <v>1663</v>
      </c>
      <c r="G390" s="68">
        <v>45.15</v>
      </c>
      <c r="H390" s="162">
        <v>0</v>
      </c>
      <c r="I390" s="16">
        <f t="shared" si="438"/>
        <v>0</v>
      </c>
      <c r="J390" s="16">
        <f t="shared" si="439"/>
        <v>0</v>
      </c>
      <c r="K390" s="16">
        <f t="shared" si="440"/>
        <v>0</v>
      </c>
      <c r="L390" s="27" t="s">
        <v>1692</v>
      </c>
      <c r="Z390" s="33">
        <f t="shared" si="441"/>
        <v>0</v>
      </c>
      <c r="AB390" s="33">
        <f t="shared" si="442"/>
        <v>0</v>
      </c>
      <c r="AC390" s="33">
        <f t="shared" si="443"/>
        <v>0</v>
      </c>
      <c r="AD390" s="33">
        <f t="shared" si="444"/>
        <v>0</v>
      </c>
      <c r="AE390" s="33">
        <f t="shared" si="445"/>
        <v>0</v>
      </c>
      <c r="AF390" s="33">
        <f t="shared" si="446"/>
        <v>0</v>
      </c>
      <c r="AG390" s="33">
        <f t="shared" si="447"/>
        <v>0</v>
      </c>
      <c r="AH390" s="33">
        <f t="shared" si="448"/>
        <v>0</v>
      </c>
      <c r="AI390" s="28"/>
      <c r="AJ390" s="16">
        <f t="shared" si="449"/>
        <v>0</v>
      </c>
      <c r="AK390" s="16">
        <f t="shared" si="450"/>
        <v>0</v>
      </c>
      <c r="AL390" s="16">
        <f t="shared" si="451"/>
        <v>0</v>
      </c>
      <c r="AN390" s="33">
        <v>21</v>
      </c>
      <c r="AO390" s="33">
        <f>H390*0</f>
        <v>0</v>
      </c>
      <c r="AP390" s="33">
        <f>H390*(1-0)</f>
        <v>0</v>
      </c>
      <c r="AQ390" s="27" t="s">
        <v>13</v>
      </c>
      <c r="AV390" s="33">
        <f t="shared" si="452"/>
        <v>0</v>
      </c>
      <c r="AW390" s="33">
        <f t="shared" si="453"/>
        <v>0</v>
      </c>
      <c r="AX390" s="33">
        <f t="shared" si="454"/>
        <v>0</v>
      </c>
      <c r="AY390" s="34" t="s">
        <v>1731</v>
      </c>
      <c r="AZ390" s="34" t="s">
        <v>1749</v>
      </c>
      <c r="BA390" s="28" t="s">
        <v>1752</v>
      </c>
      <c r="BC390" s="33">
        <f t="shared" si="455"/>
        <v>0</v>
      </c>
      <c r="BD390" s="33">
        <f t="shared" si="456"/>
        <v>0</v>
      </c>
      <c r="BE390" s="33">
        <v>0</v>
      </c>
      <c r="BF390" s="33">
        <f>390</f>
        <v>390</v>
      </c>
      <c r="BH390" s="16">
        <f t="shared" si="457"/>
        <v>0</v>
      </c>
      <c r="BI390" s="16">
        <f t="shared" si="458"/>
        <v>0</v>
      </c>
      <c r="BJ390" s="16">
        <f t="shared" si="459"/>
        <v>0</v>
      </c>
    </row>
    <row r="391" spans="1:62" x14ac:dyDescent="0.2">
      <c r="A391" s="4" t="s">
        <v>322</v>
      </c>
      <c r="B391" s="4" t="s">
        <v>865</v>
      </c>
      <c r="C391" s="131" t="s">
        <v>1445</v>
      </c>
      <c r="D391" s="132"/>
      <c r="E391" s="132"/>
      <c r="F391" s="4" t="s">
        <v>1663</v>
      </c>
      <c r="G391" s="68">
        <v>45.15</v>
      </c>
      <c r="H391" s="162">
        <v>0</v>
      </c>
      <c r="I391" s="16">
        <f t="shared" si="438"/>
        <v>0</v>
      </c>
      <c r="J391" s="16">
        <f t="shared" si="439"/>
        <v>0</v>
      </c>
      <c r="K391" s="16">
        <f t="shared" si="440"/>
        <v>0</v>
      </c>
      <c r="L391" s="27" t="s">
        <v>1692</v>
      </c>
      <c r="Z391" s="33">
        <f t="shared" si="441"/>
        <v>0</v>
      </c>
      <c r="AB391" s="33">
        <f t="shared" si="442"/>
        <v>0</v>
      </c>
      <c r="AC391" s="33">
        <f t="shared" si="443"/>
        <v>0</v>
      </c>
      <c r="AD391" s="33">
        <f t="shared" si="444"/>
        <v>0</v>
      </c>
      <c r="AE391" s="33">
        <f t="shared" si="445"/>
        <v>0</v>
      </c>
      <c r="AF391" s="33">
        <f t="shared" si="446"/>
        <v>0</v>
      </c>
      <c r="AG391" s="33">
        <f t="shared" si="447"/>
        <v>0</v>
      </c>
      <c r="AH391" s="33">
        <f t="shared" si="448"/>
        <v>0</v>
      </c>
      <c r="AI391" s="28"/>
      <c r="AJ391" s="16">
        <f t="shared" si="449"/>
        <v>0</v>
      </c>
      <c r="AK391" s="16">
        <f t="shared" si="450"/>
        <v>0</v>
      </c>
      <c r="AL391" s="16">
        <f t="shared" si="451"/>
        <v>0</v>
      </c>
      <c r="AN391" s="33">
        <v>21</v>
      </c>
      <c r="AO391" s="33">
        <f>H391*0</f>
        <v>0</v>
      </c>
      <c r="AP391" s="33">
        <f>H391*(1-0)</f>
        <v>0</v>
      </c>
      <c r="AQ391" s="27" t="s">
        <v>13</v>
      </c>
      <c r="AV391" s="33">
        <f t="shared" si="452"/>
        <v>0</v>
      </c>
      <c r="AW391" s="33">
        <f t="shared" si="453"/>
        <v>0</v>
      </c>
      <c r="AX391" s="33">
        <f t="shared" si="454"/>
        <v>0</v>
      </c>
      <c r="AY391" s="34" t="s">
        <v>1731</v>
      </c>
      <c r="AZ391" s="34" t="s">
        <v>1749</v>
      </c>
      <c r="BA391" s="28" t="s">
        <v>1752</v>
      </c>
      <c r="BC391" s="33">
        <f t="shared" si="455"/>
        <v>0</v>
      </c>
      <c r="BD391" s="33">
        <f t="shared" si="456"/>
        <v>0</v>
      </c>
      <c r="BE391" s="33">
        <v>0</v>
      </c>
      <c r="BF391" s="33">
        <f>391</f>
        <v>391</v>
      </c>
      <c r="BH391" s="16">
        <f t="shared" si="457"/>
        <v>0</v>
      </c>
      <c r="BI391" s="16">
        <f t="shared" si="458"/>
        <v>0</v>
      </c>
      <c r="BJ391" s="16">
        <f t="shared" si="459"/>
        <v>0</v>
      </c>
    </row>
    <row r="392" spans="1:62" x14ac:dyDescent="0.2">
      <c r="A392" s="4" t="s">
        <v>323</v>
      </c>
      <c r="B392" s="4" t="s">
        <v>866</v>
      </c>
      <c r="C392" s="131" t="s">
        <v>1446</v>
      </c>
      <c r="D392" s="132"/>
      <c r="E392" s="132"/>
      <c r="F392" s="4" t="s">
        <v>1665</v>
      </c>
      <c r="G392" s="68">
        <v>1</v>
      </c>
      <c r="H392" s="162">
        <v>0</v>
      </c>
      <c r="I392" s="16">
        <f t="shared" si="438"/>
        <v>0</v>
      </c>
      <c r="J392" s="16">
        <f t="shared" si="439"/>
        <v>0</v>
      </c>
      <c r="K392" s="16">
        <f t="shared" si="440"/>
        <v>0</v>
      </c>
      <c r="L392" s="27" t="s">
        <v>1692</v>
      </c>
      <c r="Z392" s="33">
        <f t="shared" si="441"/>
        <v>0</v>
      </c>
      <c r="AB392" s="33">
        <f t="shared" si="442"/>
        <v>0</v>
      </c>
      <c r="AC392" s="33">
        <f t="shared" si="443"/>
        <v>0</v>
      </c>
      <c r="AD392" s="33">
        <f t="shared" si="444"/>
        <v>0</v>
      </c>
      <c r="AE392" s="33">
        <f t="shared" si="445"/>
        <v>0</v>
      </c>
      <c r="AF392" s="33">
        <f t="shared" si="446"/>
        <v>0</v>
      </c>
      <c r="AG392" s="33">
        <f t="shared" si="447"/>
        <v>0</v>
      </c>
      <c r="AH392" s="33">
        <f t="shared" si="448"/>
        <v>0</v>
      </c>
      <c r="AI392" s="28"/>
      <c r="AJ392" s="16">
        <f t="shared" si="449"/>
        <v>0</v>
      </c>
      <c r="AK392" s="16">
        <f t="shared" si="450"/>
        <v>0</v>
      </c>
      <c r="AL392" s="16">
        <f t="shared" si="451"/>
        <v>0</v>
      </c>
      <c r="AN392" s="33">
        <v>21</v>
      </c>
      <c r="AO392" s="33">
        <f>H392*0.79</f>
        <v>0</v>
      </c>
      <c r="AP392" s="33">
        <f>H392*(1-0.79)</f>
        <v>0</v>
      </c>
      <c r="AQ392" s="27" t="s">
        <v>13</v>
      </c>
      <c r="AV392" s="33">
        <f t="shared" si="452"/>
        <v>0</v>
      </c>
      <c r="AW392" s="33">
        <f t="shared" si="453"/>
        <v>0</v>
      </c>
      <c r="AX392" s="33">
        <f t="shared" si="454"/>
        <v>0</v>
      </c>
      <c r="AY392" s="34" t="s">
        <v>1731</v>
      </c>
      <c r="AZ392" s="34" t="s">
        <v>1749</v>
      </c>
      <c r="BA392" s="28" t="s">
        <v>1752</v>
      </c>
      <c r="BC392" s="33">
        <f t="shared" si="455"/>
        <v>0</v>
      </c>
      <c r="BD392" s="33">
        <f t="shared" si="456"/>
        <v>0</v>
      </c>
      <c r="BE392" s="33">
        <v>0</v>
      </c>
      <c r="BF392" s="33">
        <f>392</f>
        <v>392</v>
      </c>
      <c r="BH392" s="16">
        <f t="shared" si="457"/>
        <v>0</v>
      </c>
      <c r="BI392" s="16">
        <f t="shared" si="458"/>
        <v>0</v>
      </c>
      <c r="BJ392" s="16">
        <f t="shared" si="459"/>
        <v>0</v>
      </c>
    </row>
    <row r="393" spans="1:62" x14ac:dyDescent="0.2">
      <c r="A393" s="4" t="s">
        <v>324</v>
      </c>
      <c r="B393" s="4" t="s">
        <v>867</v>
      </c>
      <c r="C393" s="131" t="s">
        <v>1447</v>
      </c>
      <c r="D393" s="132"/>
      <c r="E393" s="132"/>
      <c r="F393" s="4" t="s">
        <v>1666</v>
      </c>
      <c r="G393" s="68">
        <v>444.38499999999999</v>
      </c>
      <c r="H393" s="162">
        <v>0</v>
      </c>
      <c r="I393" s="16">
        <f t="shared" si="438"/>
        <v>0</v>
      </c>
      <c r="J393" s="16">
        <f t="shared" si="439"/>
        <v>0</v>
      </c>
      <c r="K393" s="16">
        <f t="shared" si="440"/>
        <v>0</v>
      </c>
      <c r="L393" s="27" t="s">
        <v>1692</v>
      </c>
      <c r="Z393" s="33">
        <f t="shared" si="441"/>
        <v>0</v>
      </c>
      <c r="AB393" s="33">
        <f t="shared" si="442"/>
        <v>0</v>
      </c>
      <c r="AC393" s="33">
        <f t="shared" si="443"/>
        <v>0</v>
      </c>
      <c r="AD393" s="33">
        <f t="shared" si="444"/>
        <v>0</v>
      </c>
      <c r="AE393" s="33">
        <f t="shared" si="445"/>
        <v>0</v>
      </c>
      <c r="AF393" s="33">
        <f t="shared" si="446"/>
        <v>0</v>
      </c>
      <c r="AG393" s="33">
        <f t="shared" si="447"/>
        <v>0</v>
      </c>
      <c r="AH393" s="33">
        <f t="shared" si="448"/>
        <v>0</v>
      </c>
      <c r="AI393" s="28"/>
      <c r="AJ393" s="16">
        <f t="shared" si="449"/>
        <v>0</v>
      </c>
      <c r="AK393" s="16">
        <f t="shared" si="450"/>
        <v>0</v>
      </c>
      <c r="AL393" s="16">
        <f t="shared" si="451"/>
        <v>0</v>
      </c>
      <c r="AN393" s="33">
        <v>21</v>
      </c>
      <c r="AO393" s="33">
        <f>H393*0.423699744684342</f>
        <v>0</v>
      </c>
      <c r="AP393" s="33">
        <f>H393*(1-0.423699744684342)</f>
        <v>0</v>
      </c>
      <c r="AQ393" s="27" t="s">
        <v>13</v>
      </c>
      <c r="AV393" s="33">
        <f t="shared" si="452"/>
        <v>0</v>
      </c>
      <c r="AW393" s="33">
        <f t="shared" si="453"/>
        <v>0</v>
      </c>
      <c r="AX393" s="33">
        <f t="shared" si="454"/>
        <v>0</v>
      </c>
      <c r="AY393" s="34" t="s">
        <v>1731</v>
      </c>
      <c r="AZ393" s="34" t="s">
        <v>1749</v>
      </c>
      <c r="BA393" s="28" t="s">
        <v>1752</v>
      </c>
      <c r="BC393" s="33">
        <f t="shared" si="455"/>
        <v>0</v>
      </c>
      <c r="BD393" s="33">
        <f t="shared" si="456"/>
        <v>0</v>
      </c>
      <c r="BE393" s="33">
        <v>0</v>
      </c>
      <c r="BF393" s="33">
        <f>393</f>
        <v>393</v>
      </c>
      <c r="BH393" s="16">
        <f t="shared" si="457"/>
        <v>0</v>
      </c>
      <c r="BI393" s="16">
        <f t="shared" si="458"/>
        <v>0</v>
      </c>
      <c r="BJ393" s="16">
        <f t="shared" si="459"/>
        <v>0</v>
      </c>
    </row>
    <row r="394" spans="1:62" x14ac:dyDescent="0.2">
      <c r="A394" s="4" t="s">
        <v>325</v>
      </c>
      <c r="B394" s="4" t="s">
        <v>868</v>
      </c>
      <c r="C394" s="131" t="s">
        <v>1448</v>
      </c>
      <c r="D394" s="132"/>
      <c r="E394" s="132"/>
      <c r="F394" s="4" t="s">
        <v>1666</v>
      </c>
      <c r="G394" s="68">
        <v>236.76499999999999</v>
      </c>
      <c r="H394" s="162">
        <v>0</v>
      </c>
      <c r="I394" s="16">
        <f t="shared" si="438"/>
        <v>0</v>
      </c>
      <c r="J394" s="16">
        <f t="shared" si="439"/>
        <v>0</v>
      </c>
      <c r="K394" s="16">
        <f t="shared" si="440"/>
        <v>0</v>
      </c>
      <c r="L394" s="27" t="s">
        <v>1692</v>
      </c>
      <c r="Z394" s="33">
        <f t="shared" si="441"/>
        <v>0</v>
      </c>
      <c r="AB394" s="33">
        <f t="shared" si="442"/>
        <v>0</v>
      </c>
      <c r="AC394" s="33">
        <f t="shared" si="443"/>
        <v>0</v>
      </c>
      <c r="AD394" s="33">
        <f t="shared" si="444"/>
        <v>0</v>
      </c>
      <c r="AE394" s="33">
        <f t="shared" si="445"/>
        <v>0</v>
      </c>
      <c r="AF394" s="33">
        <f t="shared" si="446"/>
        <v>0</v>
      </c>
      <c r="AG394" s="33">
        <f t="shared" si="447"/>
        <v>0</v>
      </c>
      <c r="AH394" s="33">
        <f t="shared" si="448"/>
        <v>0</v>
      </c>
      <c r="AI394" s="28"/>
      <c r="AJ394" s="16">
        <f t="shared" si="449"/>
        <v>0</v>
      </c>
      <c r="AK394" s="16">
        <f t="shared" si="450"/>
        <v>0</v>
      </c>
      <c r="AL394" s="16">
        <f t="shared" si="451"/>
        <v>0</v>
      </c>
      <c r="AN394" s="33">
        <v>21</v>
      </c>
      <c r="AO394" s="33">
        <f>H394*0.362741284364642</f>
        <v>0</v>
      </c>
      <c r="AP394" s="33">
        <f>H394*(1-0.362741284364642)</f>
        <v>0</v>
      </c>
      <c r="AQ394" s="27" t="s">
        <v>13</v>
      </c>
      <c r="AV394" s="33">
        <f t="shared" si="452"/>
        <v>0</v>
      </c>
      <c r="AW394" s="33">
        <f t="shared" si="453"/>
        <v>0</v>
      </c>
      <c r="AX394" s="33">
        <f t="shared" si="454"/>
        <v>0</v>
      </c>
      <c r="AY394" s="34" t="s">
        <v>1731</v>
      </c>
      <c r="AZ394" s="34" t="s">
        <v>1749</v>
      </c>
      <c r="BA394" s="28" t="s">
        <v>1752</v>
      </c>
      <c r="BC394" s="33">
        <f t="shared" si="455"/>
        <v>0</v>
      </c>
      <c r="BD394" s="33">
        <f t="shared" si="456"/>
        <v>0</v>
      </c>
      <c r="BE394" s="33">
        <v>0</v>
      </c>
      <c r="BF394" s="33">
        <f>394</f>
        <v>394</v>
      </c>
      <c r="BH394" s="16">
        <f t="shared" si="457"/>
        <v>0</v>
      </c>
      <c r="BI394" s="16">
        <f t="shared" si="458"/>
        <v>0</v>
      </c>
      <c r="BJ394" s="16">
        <f t="shared" si="459"/>
        <v>0</v>
      </c>
    </row>
    <row r="395" spans="1:62" x14ac:dyDescent="0.2">
      <c r="A395" s="4" t="s">
        <v>326</v>
      </c>
      <c r="B395" s="4" t="s">
        <v>869</v>
      </c>
      <c r="C395" s="131" t="s">
        <v>1449</v>
      </c>
      <c r="D395" s="132"/>
      <c r="E395" s="132"/>
      <c r="F395" s="4" t="s">
        <v>1665</v>
      </c>
      <c r="G395" s="68">
        <v>3</v>
      </c>
      <c r="H395" s="162">
        <v>0</v>
      </c>
      <c r="I395" s="16">
        <f t="shared" si="438"/>
        <v>0</v>
      </c>
      <c r="J395" s="16">
        <f t="shared" si="439"/>
        <v>0</v>
      </c>
      <c r="K395" s="16">
        <f t="shared" si="440"/>
        <v>0</v>
      </c>
      <c r="L395" s="27" t="s">
        <v>1692</v>
      </c>
      <c r="Z395" s="33">
        <f t="shared" si="441"/>
        <v>0</v>
      </c>
      <c r="AB395" s="33">
        <f t="shared" si="442"/>
        <v>0</v>
      </c>
      <c r="AC395" s="33">
        <f t="shared" si="443"/>
        <v>0</v>
      </c>
      <c r="AD395" s="33">
        <f t="shared" si="444"/>
        <v>0</v>
      </c>
      <c r="AE395" s="33">
        <f t="shared" si="445"/>
        <v>0</v>
      </c>
      <c r="AF395" s="33">
        <f t="shared" si="446"/>
        <v>0</v>
      </c>
      <c r="AG395" s="33">
        <f t="shared" si="447"/>
        <v>0</v>
      </c>
      <c r="AH395" s="33">
        <f t="shared" si="448"/>
        <v>0</v>
      </c>
      <c r="AI395" s="28"/>
      <c r="AJ395" s="16">
        <f t="shared" si="449"/>
        <v>0</v>
      </c>
      <c r="AK395" s="16">
        <f t="shared" si="450"/>
        <v>0</v>
      </c>
      <c r="AL395" s="16">
        <f t="shared" si="451"/>
        <v>0</v>
      </c>
      <c r="AN395" s="33">
        <v>21</v>
      </c>
      <c r="AO395" s="33">
        <f>H395*0.062815134335716</f>
        <v>0</v>
      </c>
      <c r="AP395" s="33">
        <f>H395*(1-0.062815134335716)</f>
        <v>0</v>
      </c>
      <c r="AQ395" s="27" t="s">
        <v>13</v>
      </c>
      <c r="AV395" s="33">
        <f t="shared" si="452"/>
        <v>0</v>
      </c>
      <c r="AW395" s="33">
        <f t="shared" si="453"/>
        <v>0</v>
      </c>
      <c r="AX395" s="33">
        <f t="shared" si="454"/>
        <v>0</v>
      </c>
      <c r="AY395" s="34" t="s">
        <v>1731</v>
      </c>
      <c r="AZ395" s="34" t="s">
        <v>1749</v>
      </c>
      <c r="BA395" s="28" t="s">
        <v>1752</v>
      </c>
      <c r="BC395" s="33">
        <f t="shared" si="455"/>
        <v>0</v>
      </c>
      <c r="BD395" s="33">
        <f t="shared" si="456"/>
        <v>0</v>
      </c>
      <c r="BE395" s="33">
        <v>0</v>
      </c>
      <c r="BF395" s="33">
        <f>395</f>
        <v>395</v>
      </c>
      <c r="BH395" s="16">
        <f t="shared" si="457"/>
        <v>0</v>
      </c>
      <c r="BI395" s="16">
        <f t="shared" si="458"/>
        <v>0</v>
      </c>
      <c r="BJ395" s="16">
        <f t="shared" si="459"/>
        <v>0</v>
      </c>
    </row>
    <row r="396" spans="1:62" x14ac:dyDescent="0.2">
      <c r="A396" s="4" t="s">
        <v>327</v>
      </c>
      <c r="B396" s="4" t="s">
        <v>870</v>
      </c>
      <c r="C396" s="131" t="s">
        <v>1450</v>
      </c>
      <c r="D396" s="132"/>
      <c r="E396" s="132"/>
      <c r="F396" s="4" t="s">
        <v>1665</v>
      </c>
      <c r="G396" s="68">
        <v>5</v>
      </c>
      <c r="H396" s="162">
        <v>0</v>
      </c>
      <c r="I396" s="16">
        <f t="shared" si="438"/>
        <v>0</v>
      </c>
      <c r="J396" s="16">
        <f t="shared" si="439"/>
        <v>0</v>
      </c>
      <c r="K396" s="16">
        <f t="shared" si="440"/>
        <v>0</v>
      </c>
      <c r="L396" s="27" t="s">
        <v>1692</v>
      </c>
      <c r="Z396" s="33">
        <f t="shared" si="441"/>
        <v>0</v>
      </c>
      <c r="AB396" s="33">
        <f t="shared" si="442"/>
        <v>0</v>
      </c>
      <c r="AC396" s="33">
        <f t="shared" si="443"/>
        <v>0</v>
      </c>
      <c r="AD396" s="33">
        <f t="shared" si="444"/>
        <v>0</v>
      </c>
      <c r="AE396" s="33">
        <f t="shared" si="445"/>
        <v>0</v>
      </c>
      <c r="AF396" s="33">
        <f t="shared" si="446"/>
        <v>0</v>
      </c>
      <c r="AG396" s="33">
        <f t="shared" si="447"/>
        <v>0</v>
      </c>
      <c r="AH396" s="33">
        <f t="shared" si="448"/>
        <v>0</v>
      </c>
      <c r="AI396" s="28"/>
      <c r="AJ396" s="16">
        <f t="shared" si="449"/>
        <v>0</v>
      </c>
      <c r="AK396" s="16">
        <f t="shared" si="450"/>
        <v>0</v>
      </c>
      <c r="AL396" s="16">
        <f t="shared" si="451"/>
        <v>0</v>
      </c>
      <c r="AN396" s="33">
        <v>21</v>
      </c>
      <c r="AO396" s="33">
        <f>H396*0.0628151495234965</f>
        <v>0</v>
      </c>
      <c r="AP396" s="33">
        <f>H396*(1-0.0628151495234965)</f>
        <v>0</v>
      </c>
      <c r="AQ396" s="27" t="s">
        <v>13</v>
      </c>
      <c r="AV396" s="33">
        <f t="shared" si="452"/>
        <v>0</v>
      </c>
      <c r="AW396" s="33">
        <f t="shared" si="453"/>
        <v>0</v>
      </c>
      <c r="AX396" s="33">
        <f t="shared" si="454"/>
        <v>0</v>
      </c>
      <c r="AY396" s="34" t="s">
        <v>1731</v>
      </c>
      <c r="AZ396" s="34" t="s">
        <v>1749</v>
      </c>
      <c r="BA396" s="28" t="s">
        <v>1752</v>
      </c>
      <c r="BC396" s="33">
        <f t="shared" si="455"/>
        <v>0</v>
      </c>
      <c r="BD396" s="33">
        <f t="shared" si="456"/>
        <v>0</v>
      </c>
      <c r="BE396" s="33">
        <v>0</v>
      </c>
      <c r="BF396" s="33">
        <f>396</f>
        <v>396</v>
      </c>
      <c r="BH396" s="16">
        <f t="shared" si="457"/>
        <v>0</v>
      </c>
      <c r="BI396" s="16">
        <f t="shared" si="458"/>
        <v>0</v>
      </c>
      <c r="BJ396" s="16">
        <f t="shared" si="459"/>
        <v>0</v>
      </c>
    </row>
    <row r="397" spans="1:62" x14ac:dyDescent="0.2">
      <c r="A397" s="4" t="s">
        <v>328</v>
      </c>
      <c r="B397" s="4" t="s">
        <v>871</v>
      </c>
      <c r="C397" s="131" t="s">
        <v>1451</v>
      </c>
      <c r="D397" s="132"/>
      <c r="E397" s="132"/>
      <c r="F397" s="4" t="s">
        <v>1665</v>
      </c>
      <c r="G397" s="68">
        <v>13</v>
      </c>
      <c r="H397" s="162">
        <v>0</v>
      </c>
      <c r="I397" s="16">
        <f t="shared" si="438"/>
        <v>0</v>
      </c>
      <c r="J397" s="16">
        <f t="shared" si="439"/>
        <v>0</v>
      </c>
      <c r="K397" s="16">
        <f t="shared" si="440"/>
        <v>0</v>
      </c>
      <c r="L397" s="27" t="s">
        <v>1692</v>
      </c>
      <c r="Z397" s="33">
        <f t="shared" si="441"/>
        <v>0</v>
      </c>
      <c r="AB397" s="33">
        <f t="shared" si="442"/>
        <v>0</v>
      </c>
      <c r="AC397" s="33">
        <f t="shared" si="443"/>
        <v>0</v>
      </c>
      <c r="AD397" s="33">
        <f t="shared" si="444"/>
        <v>0</v>
      </c>
      <c r="AE397" s="33">
        <f t="shared" si="445"/>
        <v>0</v>
      </c>
      <c r="AF397" s="33">
        <f t="shared" si="446"/>
        <v>0</v>
      </c>
      <c r="AG397" s="33">
        <f t="shared" si="447"/>
        <v>0</v>
      </c>
      <c r="AH397" s="33">
        <f t="shared" si="448"/>
        <v>0</v>
      </c>
      <c r="AI397" s="28"/>
      <c r="AJ397" s="16">
        <f t="shared" si="449"/>
        <v>0</v>
      </c>
      <c r="AK397" s="16">
        <f t="shared" si="450"/>
        <v>0</v>
      </c>
      <c r="AL397" s="16">
        <f t="shared" si="451"/>
        <v>0</v>
      </c>
      <c r="AN397" s="33">
        <v>21</v>
      </c>
      <c r="AO397" s="33">
        <f>H397*0.0628151798915722</f>
        <v>0</v>
      </c>
      <c r="AP397" s="33">
        <f>H397*(1-0.0628151798915722)</f>
        <v>0</v>
      </c>
      <c r="AQ397" s="27" t="s">
        <v>13</v>
      </c>
      <c r="AV397" s="33">
        <f t="shared" si="452"/>
        <v>0</v>
      </c>
      <c r="AW397" s="33">
        <f t="shared" si="453"/>
        <v>0</v>
      </c>
      <c r="AX397" s="33">
        <f t="shared" si="454"/>
        <v>0</v>
      </c>
      <c r="AY397" s="34" t="s">
        <v>1731</v>
      </c>
      <c r="AZ397" s="34" t="s">
        <v>1749</v>
      </c>
      <c r="BA397" s="28" t="s">
        <v>1752</v>
      </c>
      <c r="BC397" s="33">
        <f t="shared" si="455"/>
        <v>0</v>
      </c>
      <c r="BD397" s="33">
        <f t="shared" si="456"/>
        <v>0</v>
      </c>
      <c r="BE397" s="33">
        <v>0</v>
      </c>
      <c r="BF397" s="33">
        <f>397</f>
        <v>397</v>
      </c>
      <c r="BH397" s="16">
        <f t="shared" si="457"/>
        <v>0</v>
      </c>
      <c r="BI397" s="16">
        <f t="shared" si="458"/>
        <v>0</v>
      </c>
      <c r="BJ397" s="16">
        <f t="shared" si="459"/>
        <v>0</v>
      </c>
    </row>
    <row r="398" spans="1:62" x14ac:dyDescent="0.2">
      <c r="A398" s="4" t="s">
        <v>329</v>
      </c>
      <c r="B398" s="4" t="s">
        <v>872</v>
      </c>
      <c r="C398" s="131" t="s">
        <v>1452</v>
      </c>
      <c r="D398" s="132"/>
      <c r="E398" s="132"/>
      <c r="F398" s="4" t="s">
        <v>1665</v>
      </c>
      <c r="G398" s="68">
        <v>9</v>
      </c>
      <c r="H398" s="162">
        <v>0</v>
      </c>
      <c r="I398" s="16">
        <f t="shared" si="438"/>
        <v>0</v>
      </c>
      <c r="J398" s="16">
        <f t="shared" si="439"/>
        <v>0</v>
      </c>
      <c r="K398" s="16">
        <f t="shared" si="440"/>
        <v>0</v>
      </c>
      <c r="L398" s="27" t="s">
        <v>1692</v>
      </c>
      <c r="Z398" s="33">
        <f t="shared" si="441"/>
        <v>0</v>
      </c>
      <c r="AB398" s="33">
        <f t="shared" si="442"/>
        <v>0</v>
      </c>
      <c r="AC398" s="33">
        <f t="shared" si="443"/>
        <v>0</v>
      </c>
      <c r="AD398" s="33">
        <f t="shared" si="444"/>
        <v>0</v>
      </c>
      <c r="AE398" s="33">
        <f t="shared" si="445"/>
        <v>0</v>
      </c>
      <c r="AF398" s="33">
        <f t="shared" si="446"/>
        <v>0</v>
      </c>
      <c r="AG398" s="33">
        <f t="shared" si="447"/>
        <v>0</v>
      </c>
      <c r="AH398" s="33">
        <f t="shared" si="448"/>
        <v>0</v>
      </c>
      <c r="AI398" s="28"/>
      <c r="AJ398" s="16">
        <f t="shared" si="449"/>
        <v>0</v>
      </c>
      <c r="AK398" s="16">
        <f t="shared" si="450"/>
        <v>0</v>
      </c>
      <c r="AL398" s="16">
        <f t="shared" si="451"/>
        <v>0</v>
      </c>
      <c r="AN398" s="33">
        <v>21</v>
      </c>
      <c r="AO398" s="33">
        <f>H398*0.0628152173913044</f>
        <v>0</v>
      </c>
      <c r="AP398" s="33">
        <f>H398*(1-0.0628152173913044)</f>
        <v>0</v>
      </c>
      <c r="AQ398" s="27" t="s">
        <v>13</v>
      </c>
      <c r="AV398" s="33">
        <f t="shared" si="452"/>
        <v>0</v>
      </c>
      <c r="AW398" s="33">
        <f t="shared" si="453"/>
        <v>0</v>
      </c>
      <c r="AX398" s="33">
        <f t="shared" si="454"/>
        <v>0</v>
      </c>
      <c r="AY398" s="34" t="s">
        <v>1731</v>
      </c>
      <c r="AZ398" s="34" t="s">
        <v>1749</v>
      </c>
      <c r="BA398" s="28" t="s">
        <v>1752</v>
      </c>
      <c r="BC398" s="33">
        <f t="shared" si="455"/>
        <v>0</v>
      </c>
      <c r="BD398" s="33">
        <f t="shared" si="456"/>
        <v>0</v>
      </c>
      <c r="BE398" s="33">
        <v>0</v>
      </c>
      <c r="BF398" s="33">
        <f>398</f>
        <v>398</v>
      </c>
      <c r="BH398" s="16">
        <f t="shared" si="457"/>
        <v>0</v>
      </c>
      <c r="BI398" s="16">
        <f t="shared" si="458"/>
        <v>0</v>
      </c>
      <c r="BJ398" s="16">
        <f t="shared" si="459"/>
        <v>0</v>
      </c>
    </row>
    <row r="399" spans="1:62" x14ac:dyDescent="0.2">
      <c r="A399" s="4" t="s">
        <v>330</v>
      </c>
      <c r="B399" s="4" t="s">
        <v>873</v>
      </c>
      <c r="C399" s="131" t="s">
        <v>1453</v>
      </c>
      <c r="D399" s="132"/>
      <c r="E399" s="132"/>
      <c r="F399" s="4" t="s">
        <v>1665</v>
      </c>
      <c r="G399" s="68">
        <v>7</v>
      </c>
      <c r="H399" s="162">
        <v>0</v>
      </c>
      <c r="I399" s="16">
        <f t="shared" si="438"/>
        <v>0</v>
      </c>
      <c r="J399" s="16">
        <f t="shared" si="439"/>
        <v>0</v>
      </c>
      <c r="K399" s="16">
        <f t="shared" si="440"/>
        <v>0</v>
      </c>
      <c r="L399" s="27" t="s">
        <v>1692</v>
      </c>
      <c r="Z399" s="33">
        <f t="shared" si="441"/>
        <v>0</v>
      </c>
      <c r="AB399" s="33">
        <f t="shared" si="442"/>
        <v>0</v>
      </c>
      <c r="AC399" s="33">
        <f t="shared" si="443"/>
        <v>0</v>
      </c>
      <c r="AD399" s="33">
        <f t="shared" si="444"/>
        <v>0</v>
      </c>
      <c r="AE399" s="33">
        <f t="shared" si="445"/>
        <v>0</v>
      </c>
      <c r="AF399" s="33">
        <f t="shared" si="446"/>
        <v>0</v>
      </c>
      <c r="AG399" s="33">
        <f t="shared" si="447"/>
        <v>0</v>
      </c>
      <c r="AH399" s="33">
        <f t="shared" si="448"/>
        <v>0</v>
      </c>
      <c r="AI399" s="28"/>
      <c r="AJ399" s="16">
        <f t="shared" si="449"/>
        <v>0</v>
      </c>
      <c r="AK399" s="16">
        <f t="shared" si="450"/>
        <v>0</v>
      </c>
      <c r="AL399" s="16">
        <f t="shared" si="451"/>
        <v>0</v>
      </c>
      <c r="AN399" s="33">
        <v>21</v>
      </c>
      <c r="AO399" s="33">
        <f>H399*0.0628148148148148</f>
        <v>0</v>
      </c>
      <c r="AP399" s="33">
        <f>H399*(1-0.0628148148148148)</f>
        <v>0</v>
      </c>
      <c r="AQ399" s="27" t="s">
        <v>13</v>
      </c>
      <c r="AV399" s="33">
        <f t="shared" si="452"/>
        <v>0</v>
      </c>
      <c r="AW399" s="33">
        <f t="shared" si="453"/>
        <v>0</v>
      </c>
      <c r="AX399" s="33">
        <f t="shared" si="454"/>
        <v>0</v>
      </c>
      <c r="AY399" s="34" t="s">
        <v>1731</v>
      </c>
      <c r="AZ399" s="34" t="s">
        <v>1749</v>
      </c>
      <c r="BA399" s="28" t="s">
        <v>1752</v>
      </c>
      <c r="BC399" s="33">
        <f t="shared" si="455"/>
        <v>0</v>
      </c>
      <c r="BD399" s="33">
        <f t="shared" si="456"/>
        <v>0</v>
      </c>
      <c r="BE399" s="33">
        <v>0</v>
      </c>
      <c r="BF399" s="33">
        <f>399</f>
        <v>399</v>
      </c>
      <c r="BH399" s="16">
        <f t="shared" si="457"/>
        <v>0</v>
      </c>
      <c r="BI399" s="16">
        <f t="shared" si="458"/>
        <v>0</v>
      </c>
      <c r="BJ399" s="16">
        <f t="shared" si="459"/>
        <v>0</v>
      </c>
    </row>
    <row r="400" spans="1:62" x14ac:dyDescent="0.2">
      <c r="A400" s="4" t="s">
        <v>331</v>
      </c>
      <c r="B400" s="4" t="s">
        <v>874</v>
      </c>
      <c r="C400" s="131" t="s">
        <v>1454</v>
      </c>
      <c r="D400" s="132"/>
      <c r="E400" s="132"/>
      <c r="F400" s="4" t="s">
        <v>1665</v>
      </c>
      <c r="G400" s="68">
        <v>1</v>
      </c>
      <c r="H400" s="162">
        <v>0</v>
      </c>
      <c r="I400" s="16">
        <f t="shared" si="438"/>
        <v>0</v>
      </c>
      <c r="J400" s="16">
        <f t="shared" si="439"/>
        <v>0</v>
      </c>
      <c r="K400" s="16">
        <f t="shared" si="440"/>
        <v>0</v>
      </c>
      <c r="L400" s="27" t="s">
        <v>1692</v>
      </c>
      <c r="Z400" s="33">
        <f t="shared" si="441"/>
        <v>0</v>
      </c>
      <c r="AB400" s="33">
        <f t="shared" si="442"/>
        <v>0</v>
      </c>
      <c r="AC400" s="33">
        <f t="shared" si="443"/>
        <v>0</v>
      </c>
      <c r="AD400" s="33">
        <f t="shared" si="444"/>
        <v>0</v>
      </c>
      <c r="AE400" s="33">
        <f t="shared" si="445"/>
        <v>0</v>
      </c>
      <c r="AF400" s="33">
        <f t="shared" si="446"/>
        <v>0</v>
      </c>
      <c r="AG400" s="33">
        <f t="shared" si="447"/>
        <v>0</v>
      </c>
      <c r="AH400" s="33">
        <f t="shared" si="448"/>
        <v>0</v>
      </c>
      <c r="AI400" s="28"/>
      <c r="AJ400" s="16">
        <f t="shared" si="449"/>
        <v>0</v>
      </c>
      <c r="AK400" s="16">
        <f t="shared" si="450"/>
        <v>0</v>
      </c>
      <c r="AL400" s="16">
        <f t="shared" si="451"/>
        <v>0</v>
      </c>
      <c r="AN400" s="33">
        <v>21</v>
      </c>
      <c r="AO400" s="33">
        <f>H400*0.0628147859922179</f>
        <v>0</v>
      </c>
      <c r="AP400" s="33">
        <f>H400*(1-0.0628147859922179)</f>
        <v>0</v>
      </c>
      <c r="AQ400" s="27" t="s">
        <v>13</v>
      </c>
      <c r="AV400" s="33">
        <f t="shared" si="452"/>
        <v>0</v>
      </c>
      <c r="AW400" s="33">
        <f t="shared" si="453"/>
        <v>0</v>
      </c>
      <c r="AX400" s="33">
        <f t="shared" si="454"/>
        <v>0</v>
      </c>
      <c r="AY400" s="34" t="s">
        <v>1731</v>
      </c>
      <c r="AZ400" s="34" t="s">
        <v>1749</v>
      </c>
      <c r="BA400" s="28" t="s">
        <v>1752</v>
      </c>
      <c r="BC400" s="33">
        <f t="shared" si="455"/>
        <v>0</v>
      </c>
      <c r="BD400" s="33">
        <f t="shared" si="456"/>
        <v>0</v>
      </c>
      <c r="BE400" s="33">
        <v>0</v>
      </c>
      <c r="BF400" s="33">
        <f>400</f>
        <v>400</v>
      </c>
      <c r="BH400" s="16">
        <f t="shared" si="457"/>
        <v>0</v>
      </c>
      <c r="BI400" s="16">
        <f t="shared" si="458"/>
        <v>0</v>
      </c>
      <c r="BJ400" s="16">
        <f t="shared" si="459"/>
        <v>0</v>
      </c>
    </row>
    <row r="401" spans="1:62" x14ac:dyDescent="0.2">
      <c r="A401" s="4" t="s">
        <v>332</v>
      </c>
      <c r="B401" s="4" t="s">
        <v>875</v>
      </c>
      <c r="C401" s="131" t="s">
        <v>1455</v>
      </c>
      <c r="D401" s="132"/>
      <c r="E401" s="132"/>
      <c r="F401" s="4" t="s">
        <v>1665</v>
      </c>
      <c r="G401" s="68">
        <v>1</v>
      </c>
      <c r="H401" s="162">
        <v>0</v>
      </c>
      <c r="I401" s="16">
        <f t="shared" si="438"/>
        <v>0</v>
      </c>
      <c r="J401" s="16">
        <f t="shared" si="439"/>
        <v>0</v>
      </c>
      <c r="K401" s="16">
        <f t="shared" si="440"/>
        <v>0</v>
      </c>
      <c r="L401" s="27" t="s">
        <v>1692</v>
      </c>
      <c r="Z401" s="33">
        <f t="shared" si="441"/>
        <v>0</v>
      </c>
      <c r="AB401" s="33">
        <f t="shared" si="442"/>
        <v>0</v>
      </c>
      <c r="AC401" s="33">
        <f t="shared" si="443"/>
        <v>0</v>
      </c>
      <c r="AD401" s="33">
        <f t="shared" si="444"/>
        <v>0</v>
      </c>
      <c r="AE401" s="33">
        <f t="shared" si="445"/>
        <v>0</v>
      </c>
      <c r="AF401" s="33">
        <f t="shared" si="446"/>
        <v>0</v>
      </c>
      <c r="AG401" s="33">
        <f t="shared" si="447"/>
        <v>0</v>
      </c>
      <c r="AH401" s="33">
        <f t="shared" si="448"/>
        <v>0</v>
      </c>
      <c r="AI401" s="28"/>
      <c r="AJ401" s="16">
        <f t="shared" si="449"/>
        <v>0</v>
      </c>
      <c r="AK401" s="16">
        <f t="shared" si="450"/>
        <v>0</v>
      </c>
      <c r="AL401" s="16">
        <f t="shared" si="451"/>
        <v>0</v>
      </c>
      <c r="AN401" s="33">
        <v>21</v>
      </c>
      <c r="AO401" s="33">
        <f>H401*0.0628151251591006</f>
        <v>0</v>
      </c>
      <c r="AP401" s="33">
        <f>H401*(1-0.0628151251591006)</f>
        <v>0</v>
      </c>
      <c r="AQ401" s="27" t="s">
        <v>13</v>
      </c>
      <c r="AV401" s="33">
        <f t="shared" si="452"/>
        <v>0</v>
      </c>
      <c r="AW401" s="33">
        <f t="shared" si="453"/>
        <v>0</v>
      </c>
      <c r="AX401" s="33">
        <f t="shared" si="454"/>
        <v>0</v>
      </c>
      <c r="AY401" s="34" t="s">
        <v>1731</v>
      </c>
      <c r="AZ401" s="34" t="s">
        <v>1749</v>
      </c>
      <c r="BA401" s="28" t="s">
        <v>1752</v>
      </c>
      <c r="BC401" s="33">
        <f t="shared" si="455"/>
        <v>0</v>
      </c>
      <c r="BD401" s="33">
        <f t="shared" si="456"/>
        <v>0</v>
      </c>
      <c r="BE401" s="33">
        <v>0</v>
      </c>
      <c r="BF401" s="33">
        <f>401</f>
        <v>401</v>
      </c>
      <c r="BH401" s="16">
        <f t="shared" si="457"/>
        <v>0</v>
      </c>
      <c r="BI401" s="16">
        <f t="shared" si="458"/>
        <v>0</v>
      </c>
      <c r="BJ401" s="16">
        <f t="shared" si="459"/>
        <v>0</v>
      </c>
    </row>
    <row r="402" spans="1:62" x14ac:dyDescent="0.2">
      <c r="A402" s="4" t="s">
        <v>333</v>
      </c>
      <c r="B402" s="4" t="s">
        <v>876</v>
      </c>
      <c r="C402" s="131" t="s">
        <v>1456</v>
      </c>
      <c r="D402" s="132"/>
      <c r="E402" s="132"/>
      <c r="F402" s="4" t="s">
        <v>1665</v>
      </c>
      <c r="G402" s="68">
        <v>1</v>
      </c>
      <c r="H402" s="162">
        <v>0</v>
      </c>
      <c r="I402" s="16">
        <f t="shared" si="438"/>
        <v>0</v>
      </c>
      <c r="J402" s="16">
        <f t="shared" si="439"/>
        <v>0</v>
      </c>
      <c r="K402" s="16">
        <f t="shared" si="440"/>
        <v>0</v>
      </c>
      <c r="L402" s="27" t="s">
        <v>1692</v>
      </c>
      <c r="Z402" s="33">
        <f t="shared" si="441"/>
        <v>0</v>
      </c>
      <c r="AB402" s="33">
        <f t="shared" si="442"/>
        <v>0</v>
      </c>
      <c r="AC402" s="33">
        <f t="shared" si="443"/>
        <v>0</v>
      </c>
      <c r="AD402" s="33">
        <f t="shared" si="444"/>
        <v>0</v>
      </c>
      <c r="AE402" s="33">
        <f t="shared" si="445"/>
        <v>0</v>
      </c>
      <c r="AF402" s="33">
        <f t="shared" si="446"/>
        <v>0</v>
      </c>
      <c r="AG402" s="33">
        <f t="shared" si="447"/>
        <v>0</v>
      </c>
      <c r="AH402" s="33">
        <f t="shared" si="448"/>
        <v>0</v>
      </c>
      <c r="AI402" s="28"/>
      <c r="AJ402" s="16">
        <f t="shared" si="449"/>
        <v>0</v>
      </c>
      <c r="AK402" s="16">
        <f t="shared" si="450"/>
        <v>0</v>
      </c>
      <c r="AL402" s="16">
        <f t="shared" si="451"/>
        <v>0</v>
      </c>
      <c r="AN402" s="33">
        <v>21</v>
      </c>
      <c r="AO402" s="33">
        <f>H402*0.0628151672433679</f>
        <v>0</v>
      </c>
      <c r="AP402" s="33">
        <f>H402*(1-0.0628151672433679)</f>
        <v>0</v>
      </c>
      <c r="AQ402" s="27" t="s">
        <v>13</v>
      </c>
      <c r="AV402" s="33">
        <f t="shared" si="452"/>
        <v>0</v>
      </c>
      <c r="AW402" s="33">
        <f t="shared" si="453"/>
        <v>0</v>
      </c>
      <c r="AX402" s="33">
        <f t="shared" si="454"/>
        <v>0</v>
      </c>
      <c r="AY402" s="34" t="s">
        <v>1731</v>
      </c>
      <c r="AZ402" s="34" t="s">
        <v>1749</v>
      </c>
      <c r="BA402" s="28" t="s">
        <v>1752</v>
      </c>
      <c r="BC402" s="33">
        <f t="shared" si="455"/>
        <v>0</v>
      </c>
      <c r="BD402" s="33">
        <f t="shared" si="456"/>
        <v>0</v>
      </c>
      <c r="BE402" s="33">
        <v>0</v>
      </c>
      <c r="BF402" s="33">
        <f>402</f>
        <v>402</v>
      </c>
      <c r="BH402" s="16">
        <f t="shared" si="457"/>
        <v>0</v>
      </c>
      <c r="BI402" s="16">
        <f t="shared" si="458"/>
        <v>0</v>
      </c>
      <c r="BJ402" s="16">
        <f t="shared" si="459"/>
        <v>0</v>
      </c>
    </row>
    <row r="403" spans="1:62" x14ac:dyDescent="0.2">
      <c r="A403" s="4" t="s">
        <v>334</v>
      </c>
      <c r="B403" s="4" t="s">
        <v>877</v>
      </c>
      <c r="C403" s="131" t="s">
        <v>1457</v>
      </c>
      <c r="D403" s="132"/>
      <c r="E403" s="132"/>
      <c r="F403" s="4" t="s">
        <v>1665</v>
      </c>
      <c r="G403" s="68">
        <v>1</v>
      </c>
      <c r="H403" s="162">
        <v>0</v>
      </c>
      <c r="I403" s="16">
        <f t="shared" si="438"/>
        <v>0</v>
      </c>
      <c r="J403" s="16">
        <f t="shared" si="439"/>
        <v>0</v>
      </c>
      <c r="K403" s="16">
        <f t="shared" si="440"/>
        <v>0</v>
      </c>
      <c r="L403" s="27" t="s">
        <v>1692</v>
      </c>
      <c r="Z403" s="33">
        <f t="shared" si="441"/>
        <v>0</v>
      </c>
      <c r="AB403" s="33">
        <f t="shared" si="442"/>
        <v>0</v>
      </c>
      <c r="AC403" s="33">
        <f t="shared" si="443"/>
        <v>0</v>
      </c>
      <c r="AD403" s="33">
        <f t="shared" si="444"/>
        <v>0</v>
      </c>
      <c r="AE403" s="33">
        <f t="shared" si="445"/>
        <v>0</v>
      </c>
      <c r="AF403" s="33">
        <f t="shared" si="446"/>
        <v>0</v>
      </c>
      <c r="AG403" s="33">
        <f t="shared" si="447"/>
        <v>0</v>
      </c>
      <c r="AH403" s="33">
        <f t="shared" si="448"/>
        <v>0</v>
      </c>
      <c r="AI403" s="28"/>
      <c r="AJ403" s="16">
        <f t="shared" si="449"/>
        <v>0</v>
      </c>
      <c r="AK403" s="16">
        <f t="shared" si="450"/>
        <v>0</v>
      </c>
      <c r="AL403" s="16">
        <f t="shared" si="451"/>
        <v>0</v>
      </c>
      <c r="AN403" s="33">
        <v>21</v>
      </c>
      <c r="AO403" s="33">
        <f>H403*0.0628151690437906</f>
        <v>0</v>
      </c>
      <c r="AP403" s="33">
        <f>H403*(1-0.0628151690437906)</f>
        <v>0</v>
      </c>
      <c r="AQ403" s="27" t="s">
        <v>13</v>
      </c>
      <c r="AV403" s="33">
        <f t="shared" si="452"/>
        <v>0</v>
      </c>
      <c r="AW403" s="33">
        <f t="shared" si="453"/>
        <v>0</v>
      </c>
      <c r="AX403" s="33">
        <f t="shared" si="454"/>
        <v>0</v>
      </c>
      <c r="AY403" s="34" t="s">
        <v>1731</v>
      </c>
      <c r="AZ403" s="34" t="s">
        <v>1749</v>
      </c>
      <c r="BA403" s="28" t="s">
        <v>1752</v>
      </c>
      <c r="BC403" s="33">
        <f t="shared" si="455"/>
        <v>0</v>
      </c>
      <c r="BD403" s="33">
        <f t="shared" si="456"/>
        <v>0</v>
      </c>
      <c r="BE403" s="33">
        <v>0</v>
      </c>
      <c r="BF403" s="33">
        <f>403</f>
        <v>403</v>
      </c>
      <c r="BH403" s="16">
        <f t="shared" si="457"/>
        <v>0</v>
      </c>
      <c r="BI403" s="16">
        <f t="shared" si="458"/>
        <v>0</v>
      </c>
      <c r="BJ403" s="16">
        <f t="shared" si="459"/>
        <v>0</v>
      </c>
    </row>
    <row r="404" spans="1:62" x14ac:dyDescent="0.2">
      <c r="A404" s="4" t="s">
        <v>335</v>
      </c>
      <c r="B404" s="4" t="s">
        <v>878</v>
      </c>
      <c r="C404" s="131" t="s">
        <v>1458</v>
      </c>
      <c r="D404" s="132"/>
      <c r="E404" s="132"/>
      <c r="F404" s="4" t="s">
        <v>1665</v>
      </c>
      <c r="G404" s="68">
        <v>3</v>
      </c>
      <c r="H404" s="162">
        <v>0</v>
      </c>
      <c r="I404" s="16">
        <f t="shared" si="438"/>
        <v>0</v>
      </c>
      <c r="J404" s="16">
        <f t="shared" si="439"/>
        <v>0</v>
      </c>
      <c r="K404" s="16">
        <f t="shared" si="440"/>
        <v>0</v>
      </c>
      <c r="L404" s="27" t="s">
        <v>1692</v>
      </c>
      <c r="Z404" s="33">
        <f t="shared" si="441"/>
        <v>0</v>
      </c>
      <c r="AB404" s="33">
        <f t="shared" si="442"/>
        <v>0</v>
      </c>
      <c r="AC404" s="33">
        <f t="shared" si="443"/>
        <v>0</v>
      </c>
      <c r="AD404" s="33">
        <f t="shared" si="444"/>
        <v>0</v>
      </c>
      <c r="AE404" s="33">
        <f t="shared" si="445"/>
        <v>0</v>
      </c>
      <c r="AF404" s="33">
        <f t="shared" si="446"/>
        <v>0</v>
      </c>
      <c r="AG404" s="33">
        <f t="shared" si="447"/>
        <v>0</v>
      </c>
      <c r="AH404" s="33">
        <f t="shared" si="448"/>
        <v>0</v>
      </c>
      <c r="AI404" s="28"/>
      <c r="AJ404" s="16">
        <f t="shared" si="449"/>
        <v>0</v>
      </c>
      <c r="AK404" s="16">
        <f t="shared" si="450"/>
        <v>0</v>
      </c>
      <c r="AL404" s="16">
        <f t="shared" si="451"/>
        <v>0</v>
      </c>
      <c r="AN404" s="33">
        <v>21</v>
      </c>
      <c r="AO404" s="33">
        <f>H404*0.0628152073732719</f>
        <v>0</v>
      </c>
      <c r="AP404" s="33">
        <f>H404*(1-0.0628152073732719)</f>
        <v>0</v>
      </c>
      <c r="AQ404" s="27" t="s">
        <v>13</v>
      </c>
      <c r="AV404" s="33">
        <f t="shared" si="452"/>
        <v>0</v>
      </c>
      <c r="AW404" s="33">
        <f t="shared" si="453"/>
        <v>0</v>
      </c>
      <c r="AX404" s="33">
        <f t="shared" si="454"/>
        <v>0</v>
      </c>
      <c r="AY404" s="34" t="s">
        <v>1731</v>
      </c>
      <c r="AZ404" s="34" t="s">
        <v>1749</v>
      </c>
      <c r="BA404" s="28" t="s">
        <v>1752</v>
      </c>
      <c r="BC404" s="33">
        <f t="shared" si="455"/>
        <v>0</v>
      </c>
      <c r="BD404" s="33">
        <f t="shared" si="456"/>
        <v>0</v>
      </c>
      <c r="BE404" s="33">
        <v>0</v>
      </c>
      <c r="BF404" s="33">
        <f>404</f>
        <v>404</v>
      </c>
      <c r="BH404" s="16">
        <f t="shared" si="457"/>
        <v>0</v>
      </c>
      <c r="BI404" s="16">
        <f t="shared" si="458"/>
        <v>0</v>
      </c>
      <c r="BJ404" s="16">
        <f t="shared" si="459"/>
        <v>0</v>
      </c>
    </row>
    <row r="405" spans="1:62" x14ac:dyDescent="0.2">
      <c r="A405" s="4" t="s">
        <v>336</v>
      </c>
      <c r="B405" s="4" t="s">
        <v>879</v>
      </c>
      <c r="C405" s="131" t="s">
        <v>1459</v>
      </c>
      <c r="D405" s="132"/>
      <c r="E405" s="132"/>
      <c r="F405" s="4" t="s">
        <v>1665</v>
      </c>
      <c r="G405" s="68">
        <v>5</v>
      </c>
      <c r="H405" s="162">
        <v>0</v>
      </c>
      <c r="I405" s="16">
        <f t="shared" si="438"/>
        <v>0</v>
      </c>
      <c r="J405" s="16">
        <f t="shared" si="439"/>
        <v>0</v>
      </c>
      <c r="K405" s="16">
        <f t="shared" si="440"/>
        <v>0</v>
      </c>
      <c r="L405" s="27" t="s">
        <v>1692</v>
      </c>
      <c r="Z405" s="33">
        <f t="shared" si="441"/>
        <v>0</v>
      </c>
      <c r="AB405" s="33">
        <f t="shared" si="442"/>
        <v>0</v>
      </c>
      <c r="AC405" s="33">
        <f t="shared" si="443"/>
        <v>0</v>
      </c>
      <c r="AD405" s="33">
        <f t="shared" si="444"/>
        <v>0</v>
      </c>
      <c r="AE405" s="33">
        <f t="shared" si="445"/>
        <v>0</v>
      </c>
      <c r="AF405" s="33">
        <f t="shared" si="446"/>
        <v>0</v>
      </c>
      <c r="AG405" s="33">
        <f t="shared" si="447"/>
        <v>0</v>
      </c>
      <c r="AH405" s="33">
        <f t="shared" si="448"/>
        <v>0</v>
      </c>
      <c r="AI405" s="28"/>
      <c r="AJ405" s="16">
        <f t="shared" si="449"/>
        <v>0</v>
      </c>
      <c r="AK405" s="16">
        <f t="shared" si="450"/>
        <v>0</v>
      </c>
      <c r="AL405" s="16">
        <f t="shared" si="451"/>
        <v>0</v>
      </c>
      <c r="AN405" s="33">
        <v>21</v>
      </c>
      <c r="AO405" s="33">
        <f>H405*0.0628151561699949</f>
        <v>0</v>
      </c>
      <c r="AP405" s="33">
        <f>H405*(1-0.0628151561699949)</f>
        <v>0</v>
      </c>
      <c r="AQ405" s="27" t="s">
        <v>13</v>
      </c>
      <c r="AV405" s="33">
        <f t="shared" si="452"/>
        <v>0</v>
      </c>
      <c r="AW405" s="33">
        <f t="shared" si="453"/>
        <v>0</v>
      </c>
      <c r="AX405" s="33">
        <f t="shared" si="454"/>
        <v>0</v>
      </c>
      <c r="AY405" s="34" t="s">
        <v>1731</v>
      </c>
      <c r="AZ405" s="34" t="s">
        <v>1749</v>
      </c>
      <c r="BA405" s="28" t="s">
        <v>1752</v>
      </c>
      <c r="BC405" s="33">
        <f t="shared" si="455"/>
        <v>0</v>
      </c>
      <c r="BD405" s="33">
        <f t="shared" si="456"/>
        <v>0</v>
      </c>
      <c r="BE405" s="33">
        <v>0</v>
      </c>
      <c r="BF405" s="33">
        <f>405</f>
        <v>405</v>
      </c>
      <c r="BH405" s="16">
        <f t="shared" si="457"/>
        <v>0</v>
      </c>
      <c r="BI405" s="16">
        <f t="shared" si="458"/>
        <v>0</v>
      </c>
      <c r="BJ405" s="16">
        <f t="shared" si="459"/>
        <v>0</v>
      </c>
    </row>
    <row r="406" spans="1:62" x14ac:dyDescent="0.2">
      <c r="A406" s="4" t="s">
        <v>337</v>
      </c>
      <c r="B406" s="4" t="s">
        <v>880</v>
      </c>
      <c r="C406" s="131" t="s">
        <v>1460</v>
      </c>
      <c r="D406" s="132"/>
      <c r="E406" s="132"/>
      <c r="F406" s="4" t="s">
        <v>1665</v>
      </c>
      <c r="G406" s="68">
        <v>1</v>
      </c>
      <c r="H406" s="162">
        <v>0</v>
      </c>
      <c r="I406" s="16">
        <f t="shared" si="438"/>
        <v>0</v>
      </c>
      <c r="J406" s="16">
        <f t="shared" si="439"/>
        <v>0</v>
      </c>
      <c r="K406" s="16">
        <f t="shared" si="440"/>
        <v>0</v>
      </c>
      <c r="L406" s="27" t="s">
        <v>1692</v>
      </c>
      <c r="Z406" s="33">
        <f t="shared" si="441"/>
        <v>0</v>
      </c>
      <c r="AB406" s="33">
        <f t="shared" si="442"/>
        <v>0</v>
      </c>
      <c r="AC406" s="33">
        <f t="shared" si="443"/>
        <v>0</v>
      </c>
      <c r="AD406" s="33">
        <f t="shared" si="444"/>
        <v>0</v>
      </c>
      <c r="AE406" s="33">
        <f t="shared" si="445"/>
        <v>0</v>
      </c>
      <c r="AF406" s="33">
        <f t="shared" si="446"/>
        <v>0</v>
      </c>
      <c r="AG406" s="33">
        <f t="shared" si="447"/>
        <v>0</v>
      </c>
      <c r="AH406" s="33">
        <f t="shared" si="448"/>
        <v>0</v>
      </c>
      <c r="AI406" s="28"/>
      <c r="AJ406" s="16">
        <f t="shared" si="449"/>
        <v>0</v>
      </c>
      <c r="AK406" s="16">
        <f t="shared" si="450"/>
        <v>0</v>
      </c>
      <c r="AL406" s="16">
        <f t="shared" si="451"/>
        <v>0</v>
      </c>
      <c r="AN406" s="33">
        <v>21</v>
      </c>
      <c r="AO406" s="33">
        <f>H406*0.0628150913735508</f>
        <v>0</v>
      </c>
      <c r="AP406" s="33">
        <f>H406*(1-0.0628150913735508)</f>
        <v>0</v>
      </c>
      <c r="AQ406" s="27" t="s">
        <v>13</v>
      </c>
      <c r="AV406" s="33">
        <f t="shared" si="452"/>
        <v>0</v>
      </c>
      <c r="AW406" s="33">
        <f t="shared" si="453"/>
        <v>0</v>
      </c>
      <c r="AX406" s="33">
        <f t="shared" si="454"/>
        <v>0</v>
      </c>
      <c r="AY406" s="34" t="s">
        <v>1731</v>
      </c>
      <c r="AZ406" s="34" t="s">
        <v>1749</v>
      </c>
      <c r="BA406" s="28" t="s">
        <v>1752</v>
      </c>
      <c r="BC406" s="33">
        <f t="shared" si="455"/>
        <v>0</v>
      </c>
      <c r="BD406" s="33">
        <f t="shared" si="456"/>
        <v>0</v>
      </c>
      <c r="BE406" s="33">
        <v>0</v>
      </c>
      <c r="BF406" s="33">
        <f>406</f>
        <v>406</v>
      </c>
      <c r="BH406" s="16">
        <f t="shared" si="457"/>
        <v>0</v>
      </c>
      <c r="BI406" s="16">
        <f t="shared" si="458"/>
        <v>0</v>
      </c>
      <c r="BJ406" s="16">
        <f t="shared" si="459"/>
        <v>0</v>
      </c>
    </row>
    <row r="407" spans="1:62" x14ac:dyDescent="0.2">
      <c r="A407" s="4" t="s">
        <v>338</v>
      </c>
      <c r="B407" s="4" t="s">
        <v>881</v>
      </c>
      <c r="C407" s="131" t="s">
        <v>1461</v>
      </c>
      <c r="D407" s="132"/>
      <c r="E407" s="132"/>
      <c r="F407" s="4" t="s">
        <v>1665</v>
      </c>
      <c r="G407" s="68">
        <v>4</v>
      </c>
      <c r="H407" s="162">
        <v>0</v>
      </c>
      <c r="I407" s="16">
        <f t="shared" si="438"/>
        <v>0</v>
      </c>
      <c r="J407" s="16">
        <f t="shared" si="439"/>
        <v>0</v>
      </c>
      <c r="K407" s="16">
        <f t="shared" si="440"/>
        <v>0</v>
      </c>
      <c r="L407" s="27" t="s">
        <v>1692</v>
      </c>
      <c r="Z407" s="33">
        <f t="shared" si="441"/>
        <v>0</v>
      </c>
      <c r="AB407" s="33">
        <f t="shared" si="442"/>
        <v>0</v>
      </c>
      <c r="AC407" s="33">
        <f t="shared" si="443"/>
        <v>0</v>
      </c>
      <c r="AD407" s="33">
        <f t="shared" si="444"/>
        <v>0</v>
      </c>
      <c r="AE407" s="33">
        <f t="shared" si="445"/>
        <v>0</v>
      </c>
      <c r="AF407" s="33">
        <f t="shared" si="446"/>
        <v>0</v>
      </c>
      <c r="AG407" s="33">
        <f t="shared" si="447"/>
        <v>0</v>
      </c>
      <c r="AH407" s="33">
        <f t="shared" si="448"/>
        <v>0</v>
      </c>
      <c r="AI407" s="28"/>
      <c r="AJ407" s="16">
        <f t="shared" si="449"/>
        <v>0</v>
      </c>
      <c r="AK407" s="16">
        <f t="shared" si="450"/>
        <v>0</v>
      </c>
      <c r="AL407" s="16">
        <f t="shared" si="451"/>
        <v>0</v>
      </c>
      <c r="AN407" s="33">
        <v>21</v>
      </c>
      <c r="AO407" s="33">
        <f>H407*0.0628151001540832</f>
        <v>0</v>
      </c>
      <c r="AP407" s="33">
        <f>H407*(1-0.0628151001540832)</f>
        <v>0</v>
      </c>
      <c r="AQ407" s="27" t="s">
        <v>13</v>
      </c>
      <c r="AV407" s="33">
        <f t="shared" si="452"/>
        <v>0</v>
      </c>
      <c r="AW407" s="33">
        <f t="shared" si="453"/>
        <v>0</v>
      </c>
      <c r="AX407" s="33">
        <f t="shared" si="454"/>
        <v>0</v>
      </c>
      <c r="AY407" s="34" t="s">
        <v>1731</v>
      </c>
      <c r="AZ407" s="34" t="s">
        <v>1749</v>
      </c>
      <c r="BA407" s="28" t="s">
        <v>1752</v>
      </c>
      <c r="BC407" s="33">
        <f t="shared" si="455"/>
        <v>0</v>
      </c>
      <c r="BD407" s="33">
        <f t="shared" si="456"/>
        <v>0</v>
      </c>
      <c r="BE407" s="33">
        <v>0</v>
      </c>
      <c r="BF407" s="33">
        <f>407</f>
        <v>407</v>
      </c>
      <c r="BH407" s="16">
        <f t="shared" si="457"/>
        <v>0</v>
      </c>
      <c r="BI407" s="16">
        <f t="shared" si="458"/>
        <v>0</v>
      </c>
      <c r="BJ407" s="16">
        <f t="shared" si="459"/>
        <v>0</v>
      </c>
    </row>
    <row r="408" spans="1:62" x14ac:dyDescent="0.2">
      <c r="A408" s="4" t="s">
        <v>339</v>
      </c>
      <c r="B408" s="4" t="s">
        <v>882</v>
      </c>
      <c r="C408" s="131" t="s">
        <v>1462</v>
      </c>
      <c r="D408" s="132"/>
      <c r="E408" s="132"/>
      <c r="F408" s="4" t="s">
        <v>1665</v>
      </c>
      <c r="G408" s="68">
        <v>2</v>
      </c>
      <c r="H408" s="162">
        <v>0</v>
      </c>
      <c r="I408" s="16">
        <f t="shared" si="438"/>
        <v>0</v>
      </c>
      <c r="J408" s="16">
        <f t="shared" si="439"/>
        <v>0</v>
      </c>
      <c r="K408" s="16">
        <f t="shared" si="440"/>
        <v>0</v>
      </c>
      <c r="L408" s="27" t="s">
        <v>1692</v>
      </c>
      <c r="Z408" s="33">
        <f t="shared" si="441"/>
        <v>0</v>
      </c>
      <c r="AB408" s="33">
        <f t="shared" si="442"/>
        <v>0</v>
      </c>
      <c r="AC408" s="33">
        <f t="shared" si="443"/>
        <v>0</v>
      </c>
      <c r="AD408" s="33">
        <f t="shared" si="444"/>
        <v>0</v>
      </c>
      <c r="AE408" s="33">
        <f t="shared" si="445"/>
        <v>0</v>
      </c>
      <c r="AF408" s="33">
        <f t="shared" si="446"/>
        <v>0</v>
      </c>
      <c r="AG408" s="33">
        <f t="shared" si="447"/>
        <v>0</v>
      </c>
      <c r="AH408" s="33">
        <f t="shared" si="448"/>
        <v>0</v>
      </c>
      <c r="AI408" s="28"/>
      <c r="AJ408" s="16">
        <f t="shared" si="449"/>
        <v>0</v>
      </c>
      <c r="AK408" s="16">
        <f t="shared" si="450"/>
        <v>0</v>
      </c>
      <c r="AL408" s="16">
        <f t="shared" si="451"/>
        <v>0</v>
      </c>
      <c r="AN408" s="33">
        <v>21</v>
      </c>
      <c r="AO408" s="33">
        <f>H408*0.0628151272123894</f>
        <v>0</v>
      </c>
      <c r="AP408" s="33">
        <f>H408*(1-0.0628151272123894)</f>
        <v>0</v>
      </c>
      <c r="AQ408" s="27" t="s">
        <v>13</v>
      </c>
      <c r="AV408" s="33">
        <f t="shared" si="452"/>
        <v>0</v>
      </c>
      <c r="AW408" s="33">
        <f t="shared" si="453"/>
        <v>0</v>
      </c>
      <c r="AX408" s="33">
        <f t="shared" si="454"/>
        <v>0</v>
      </c>
      <c r="AY408" s="34" t="s">
        <v>1731</v>
      </c>
      <c r="AZ408" s="34" t="s">
        <v>1749</v>
      </c>
      <c r="BA408" s="28" t="s">
        <v>1752</v>
      </c>
      <c r="BC408" s="33">
        <f t="shared" si="455"/>
        <v>0</v>
      </c>
      <c r="BD408" s="33">
        <f t="shared" si="456"/>
        <v>0</v>
      </c>
      <c r="BE408" s="33">
        <v>0</v>
      </c>
      <c r="BF408" s="33">
        <f>408</f>
        <v>408</v>
      </c>
      <c r="BH408" s="16">
        <f t="shared" si="457"/>
        <v>0</v>
      </c>
      <c r="BI408" s="16">
        <f t="shared" si="458"/>
        <v>0</v>
      </c>
      <c r="BJ408" s="16">
        <f t="shared" si="459"/>
        <v>0</v>
      </c>
    </row>
    <row r="409" spans="1:62" x14ac:dyDescent="0.2">
      <c r="A409" s="4" t="s">
        <v>340</v>
      </c>
      <c r="B409" s="4" t="s">
        <v>883</v>
      </c>
      <c r="C409" s="131" t="s">
        <v>1463</v>
      </c>
      <c r="D409" s="132"/>
      <c r="E409" s="132"/>
      <c r="F409" s="4" t="s">
        <v>1665</v>
      </c>
      <c r="G409" s="68">
        <v>1</v>
      </c>
      <c r="H409" s="162">
        <v>0</v>
      </c>
      <c r="I409" s="16">
        <f t="shared" si="438"/>
        <v>0</v>
      </c>
      <c r="J409" s="16">
        <f t="shared" si="439"/>
        <v>0</v>
      </c>
      <c r="K409" s="16">
        <f t="shared" si="440"/>
        <v>0</v>
      </c>
      <c r="L409" s="27" t="s">
        <v>1692</v>
      </c>
      <c r="Z409" s="33">
        <f t="shared" si="441"/>
        <v>0</v>
      </c>
      <c r="AB409" s="33">
        <f t="shared" si="442"/>
        <v>0</v>
      </c>
      <c r="AC409" s="33">
        <f t="shared" si="443"/>
        <v>0</v>
      </c>
      <c r="AD409" s="33">
        <f t="shared" si="444"/>
        <v>0</v>
      </c>
      <c r="AE409" s="33">
        <f t="shared" si="445"/>
        <v>0</v>
      </c>
      <c r="AF409" s="33">
        <f t="shared" si="446"/>
        <v>0</v>
      </c>
      <c r="AG409" s="33">
        <f t="shared" si="447"/>
        <v>0</v>
      </c>
      <c r="AH409" s="33">
        <f t="shared" si="448"/>
        <v>0</v>
      </c>
      <c r="AI409" s="28"/>
      <c r="AJ409" s="16">
        <f t="shared" si="449"/>
        <v>0</v>
      </c>
      <c r="AK409" s="16">
        <f t="shared" si="450"/>
        <v>0</v>
      </c>
      <c r="AL409" s="16">
        <f t="shared" si="451"/>
        <v>0</v>
      </c>
      <c r="AN409" s="33">
        <v>21</v>
      </c>
      <c r="AO409" s="33">
        <f>H409*0.0628151344175241</f>
        <v>0</v>
      </c>
      <c r="AP409" s="33">
        <f>H409*(1-0.0628151344175241)</f>
        <v>0</v>
      </c>
      <c r="AQ409" s="27" t="s">
        <v>13</v>
      </c>
      <c r="AV409" s="33">
        <f t="shared" si="452"/>
        <v>0</v>
      </c>
      <c r="AW409" s="33">
        <f t="shared" si="453"/>
        <v>0</v>
      </c>
      <c r="AX409" s="33">
        <f t="shared" si="454"/>
        <v>0</v>
      </c>
      <c r="AY409" s="34" t="s">
        <v>1731</v>
      </c>
      <c r="AZ409" s="34" t="s">
        <v>1749</v>
      </c>
      <c r="BA409" s="28" t="s">
        <v>1752</v>
      </c>
      <c r="BC409" s="33">
        <f t="shared" si="455"/>
        <v>0</v>
      </c>
      <c r="BD409" s="33">
        <f t="shared" si="456"/>
        <v>0</v>
      </c>
      <c r="BE409" s="33">
        <v>0</v>
      </c>
      <c r="BF409" s="33">
        <f>409</f>
        <v>409</v>
      </c>
      <c r="BH409" s="16">
        <f t="shared" si="457"/>
        <v>0</v>
      </c>
      <c r="BI409" s="16">
        <f t="shared" si="458"/>
        <v>0</v>
      </c>
      <c r="BJ409" s="16">
        <f t="shared" si="459"/>
        <v>0</v>
      </c>
    </row>
    <row r="410" spans="1:62" x14ac:dyDescent="0.2">
      <c r="A410" s="4" t="s">
        <v>341</v>
      </c>
      <c r="B410" s="4" t="s">
        <v>884</v>
      </c>
      <c r="C410" s="131" t="s">
        <v>1464</v>
      </c>
      <c r="D410" s="132"/>
      <c r="E410" s="132"/>
      <c r="F410" s="4" t="s">
        <v>1665</v>
      </c>
      <c r="G410" s="68">
        <v>5</v>
      </c>
      <c r="H410" s="162">
        <v>0</v>
      </c>
      <c r="I410" s="16">
        <f t="shared" si="438"/>
        <v>0</v>
      </c>
      <c r="J410" s="16">
        <f t="shared" si="439"/>
        <v>0</v>
      </c>
      <c r="K410" s="16">
        <f t="shared" si="440"/>
        <v>0</v>
      </c>
      <c r="L410" s="27" t="s">
        <v>1692</v>
      </c>
      <c r="Z410" s="33">
        <f t="shared" si="441"/>
        <v>0</v>
      </c>
      <c r="AB410" s="33">
        <f t="shared" si="442"/>
        <v>0</v>
      </c>
      <c r="AC410" s="33">
        <f t="shared" si="443"/>
        <v>0</v>
      </c>
      <c r="AD410" s="33">
        <f t="shared" si="444"/>
        <v>0</v>
      </c>
      <c r="AE410" s="33">
        <f t="shared" si="445"/>
        <v>0</v>
      </c>
      <c r="AF410" s="33">
        <f t="shared" si="446"/>
        <v>0</v>
      </c>
      <c r="AG410" s="33">
        <f t="shared" si="447"/>
        <v>0</v>
      </c>
      <c r="AH410" s="33">
        <f t="shared" si="448"/>
        <v>0</v>
      </c>
      <c r="AI410" s="28"/>
      <c r="AJ410" s="16">
        <f t="shared" si="449"/>
        <v>0</v>
      </c>
      <c r="AK410" s="16">
        <f t="shared" si="450"/>
        <v>0</v>
      </c>
      <c r="AL410" s="16">
        <f t="shared" si="451"/>
        <v>0</v>
      </c>
      <c r="AN410" s="33">
        <v>21</v>
      </c>
      <c r="AO410" s="33">
        <f>H410*0.0628151001540832</f>
        <v>0</v>
      </c>
      <c r="AP410" s="33">
        <f>H410*(1-0.0628151001540832)</f>
        <v>0</v>
      </c>
      <c r="AQ410" s="27" t="s">
        <v>13</v>
      </c>
      <c r="AV410" s="33">
        <f t="shared" si="452"/>
        <v>0</v>
      </c>
      <c r="AW410" s="33">
        <f t="shared" si="453"/>
        <v>0</v>
      </c>
      <c r="AX410" s="33">
        <f t="shared" si="454"/>
        <v>0</v>
      </c>
      <c r="AY410" s="34" t="s">
        <v>1731</v>
      </c>
      <c r="AZ410" s="34" t="s">
        <v>1749</v>
      </c>
      <c r="BA410" s="28" t="s">
        <v>1752</v>
      </c>
      <c r="BC410" s="33">
        <f t="shared" si="455"/>
        <v>0</v>
      </c>
      <c r="BD410" s="33">
        <f t="shared" si="456"/>
        <v>0</v>
      </c>
      <c r="BE410" s="33">
        <v>0</v>
      </c>
      <c r="BF410" s="33">
        <f>410</f>
        <v>410</v>
      </c>
      <c r="BH410" s="16">
        <f t="shared" si="457"/>
        <v>0</v>
      </c>
      <c r="BI410" s="16">
        <f t="shared" si="458"/>
        <v>0</v>
      </c>
      <c r="BJ410" s="16">
        <f t="shared" si="459"/>
        <v>0</v>
      </c>
    </row>
    <row r="411" spans="1:62" x14ac:dyDescent="0.2">
      <c r="A411" s="4" t="s">
        <v>342</v>
      </c>
      <c r="B411" s="4" t="s">
        <v>885</v>
      </c>
      <c r="C411" s="131" t="s">
        <v>1465</v>
      </c>
      <c r="D411" s="132"/>
      <c r="E411" s="132"/>
      <c r="F411" s="4" t="s">
        <v>1665</v>
      </c>
      <c r="G411" s="68">
        <v>3</v>
      </c>
      <c r="H411" s="162">
        <v>0</v>
      </c>
      <c r="I411" s="16">
        <f t="shared" si="438"/>
        <v>0</v>
      </c>
      <c r="J411" s="16">
        <f t="shared" si="439"/>
        <v>0</v>
      </c>
      <c r="K411" s="16">
        <f t="shared" si="440"/>
        <v>0</v>
      </c>
      <c r="L411" s="27" t="s">
        <v>1692</v>
      </c>
      <c r="Z411" s="33">
        <f t="shared" si="441"/>
        <v>0</v>
      </c>
      <c r="AB411" s="33">
        <f t="shared" si="442"/>
        <v>0</v>
      </c>
      <c r="AC411" s="33">
        <f t="shared" si="443"/>
        <v>0</v>
      </c>
      <c r="AD411" s="33">
        <f t="shared" si="444"/>
        <v>0</v>
      </c>
      <c r="AE411" s="33">
        <f t="shared" si="445"/>
        <v>0</v>
      </c>
      <c r="AF411" s="33">
        <f t="shared" si="446"/>
        <v>0</v>
      </c>
      <c r="AG411" s="33">
        <f t="shared" si="447"/>
        <v>0</v>
      </c>
      <c r="AH411" s="33">
        <f t="shared" si="448"/>
        <v>0</v>
      </c>
      <c r="AI411" s="28"/>
      <c r="AJ411" s="16">
        <f t="shared" si="449"/>
        <v>0</v>
      </c>
      <c r="AK411" s="16">
        <f t="shared" si="450"/>
        <v>0</v>
      </c>
      <c r="AL411" s="16">
        <f t="shared" si="451"/>
        <v>0</v>
      </c>
      <c r="AN411" s="33">
        <v>21</v>
      </c>
      <c r="AO411" s="33">
        <f>H411*0.0628151272123894</f>
        <v>0</v>
      </c>
      <c r="AP411" s="33">
        <f>H411*(1-0.0628151272123894)</f>
        <v>0</v>
      </c>
      <c r="AQ411" s="27" t="s">
        <v>13</v>
      </c>
      <c r="AV411" s="33">
        <f t="shared" si="452"/>
        <v>0</v>
      </c>
      <c r="AW411" s="33">
        <f t="shared" si="453"/>
        <v>0</v>
      </c>
      <c r="AX411" s="33">
        <f t="shared" si="454"/>
        <v>0</v>
      </c>
      <c r="AY411" s="34" t="s">
        <v>1731</v>
      </c>
      <c r="AZ411" s="34" t="s">
        <v>1749</v>
      </c>
      <c r="BA411" s="28" t="s">
        <v>1752</v>
      </c>
      <c r="BC411" s="33">
        <f t="shared" si="455"/>
        <v>0</v>
      </c>
      <c r="BD411" s="33">
        <f t="shared" si="456"/>
        <v>0</v>
      </c>
      <c r="BE411" s="33">
        <v>0</v>
      </c>
      <c r="BF411" s="33">
        <f>411</f>
        <v>411</v>
      </c>
      <c r="BH411" s="16">
        <f t="shared" si="457"/>
        <v>0</v>
      </c>
      <c r="BI411" s="16">
        <f t="shared" si="458"/>
        <v>0</v>
      </c>
      <c r="BJ411" s="16">
        <f t="shared" si="459"/>
        <v>0</v>
      </c>
    </row>
    <row r="412" spans="1:62" x14ac:dyDescent="0.2">
      <c r="A412" s="4" t="s">
        <v>343</v>
      </c>
      <c r="B412" s="4" t="s">
        <v>886</v>
      </c>
      <c r="C412" s="131" t="s">
        <v>1466</v>
      </c>
      <c r="D412" s="132"/>
      <c r="E412" s="132"/>
      <c r="F412" s="4" t="s">
        <v>1665</v>
      </c>
      <c r="G412" s="68">
        <v>1</v>
      </c>
      <c r="H412" s="162">
        <v>0</v>
      </c>
      <c r="I412" s="16">
        <f t="shared" si="438"/>
        <v>0</v>
      </c>
      <c r="J412" s="16">
        <f t="shared" si="439"/>
        <v>0</v>
      </c>
      <c r="K412" s="16">
        <f t="shared" si="440"/>
        <v>0</v>
      </c>
      <c r="L412" s="27" t="s">
        <v>1692</v>
      </c>
      <c r="Z412" s="33">
        <f t="shared" si="441"/>
        <v>0</v>
      </c>
      <c r="AB412" s="33">
        <f t="shared" si="442"/>
        <v>0</v>
      </c>
      <c r="AC412" s="33">
        <f t="shared" si="443"/>
        <v>0</v>
      </c>
      <c r="AD412" s="33">
        <f t="shared" si="444"/>
        <v>0</v>
      </c>
      <c r="AE412" s="33">
        <f t="shared" si="445"/>
        <v>0</v>
      </c>
      <c r="AF412" s="33">
        <f t="shared" si="446"/>
        <v>0</v>
      </c>
      <c r="AG412" s="33">
        <f t="shared" si="447"/>
        <v>0</v>
      </c>
      <c r="AH412" s="33">
        <f t="shared" si="448"/>
        <v>0</v>
      </c>
      <c r="AI412" s="28"/>
      <c r="AJ412" s="16">
        <f t="shared" si="449"/>
        <v>0</v>
      </c>
      <c r="AK412" s="16">
        <f t="shared" si="450"/>
        <v>0</v>
      </c>
      <c r="AL412" s="16">
        <f t="shared" si="451"/>
        <v>0</v>
      </c>
      <c r="AN412" s="33">
        <v>21</v>
      </c>
      <c r="AO412" s="33">
        <f>H412*0.82</f>
        <v>0</v>
      </c>
      <c r="AP412" s="33">
        <f>H412*(1-0.82)</f>
        <v>0</v>
      </c>
      <c r="AQ412" s="27" t="s">
        <v>13</v>
      </c>
      <c r="AV412" s="33">
        <f t="shared" si="452"/>
        <v>0</v>
      </c>
      <c r="AW412" s="33">
        <f t="shared" si="453"/>
        <v>0</v>
      </c>
      <c r="AX412" s="33">
        <f t="shared" si="454"/>
        <v>0</v>
      </c>
      <c r="AY412" s="34" t="s">
        <v>1731</v>
      </c>
      <c r="AZ412" s="34" t="s">
        <v>1749</v>
      </c>
      <c r="BA412" s="28" t="s">
        <v>1752</v>
      </c>
      <c r="BC412" s="33">
        <f t="shared" si="455"/>
        <v>0</v>
      </c>
      <c r="BD412" s="33">
        <f t="shared" si="456"/>
        <v>0</v>
      </c>
      <c r="BE412" s="33">
        <v>0</v>
      </c>
      <c r="BF412" s="33">
        <f>412</f>
        <v>412</v>
      </c>
      <c r="BH412" s="16">
        <f t="shared" si="457"/>
        <v>0</v>
      </c>
      <c r="BI412" s="16">
        <f t="shared" si="458"/>
        <v>0</v>
      </c>
      <c r="BJ412" s="16">
        <f t="shared" si="459"/>
        <v>0</v>
      </c>
    </row>
    <row r="413" spans="1:62" x14ac:dyDescent="0.2">
      <c r="A413" s="4" t="s">
        <v>344</v>
      </c>
      <c r="B413" s="4" t="s">
        <v>887</v>
      </c>
      <c r="C413" s="131" t="s">
        <v>1467</v>
      </c>
      <c r="D413" s="132"/>
      <c r="E413" s="132"/>
      <c r="F413" s="4" t="s">
        <v>1664</v>
      </c>
      <c r="G413" s="68">
        <v>17.129000000000001</v>
      </c>
      <c r="H413" s="162">
        <v>0</v>
      </c>
      <c r="I413" s="16">
        <f t="shared" si="438"/>
        <v>0</v>
      </c>
      <c r="J413" s="16">
        <f t="shared" si="439"/>
        <v>0</v>
      </c>
      <c r="K413" s="16">
        <f t="shared" si="440"/>
        <v>0</v>
      </c>
      <c r="L413" s="27" t="s">
        <v>1692</v>
      </c>
      <c r="Z413" s="33">
        <f t="shared" si="441"/>
        <v>0</v>
      </c>
      <c r="AB413" s="33">
        <f t="shared" si="442"/>
        <v>0</v>
      </c>
      <c r="AC413" s="33">
        <f t="shared" si="443"/>
        <v>0</v>
      </c>
      <c r="AD413" s="33">
        <f t="shared" si="444"/>
        <v>0</v>
      </c>
      <c r="AE413" s="33">
        <f t="shared" si="445"/>
        <v>0</v>
      </c>
      <c r="AF413" s="33">
        <f t="shared" si="446"/>
        <v>0</v>
      </c>
      <c r="AG413" s="33">
        <f t="shared" si="447"/>
        <v>0</v>
      </c>
      <c r="AH413" s="33">
        <f t="shared" si="448"/>
        <v>0</v>
      </c>
      <c r="AI413" s="28"/>
      <c r="AJ413" s="16">
        <f t="shared" si="449"/>
        <v>0</v>
      </c>
      <c r="AK413" s="16">
        <f t="shared" si="450"/>
        <v>0</v>
      </c>
      <c r="AL413" s="16">
        <f t="shared" si="451"/>
        <v>0</v>
      </c>
      <c r="AN413" s="33">
        <v>21</v>
      </c>
      <c r="AO413" s="33">
        <f>H413*0</f>
        <v>0</v>
      </c>
      <c r="AP413" s="33">
        <f>H413*(1-0)</f>
        <v>0</v>
      </c>
      <c r="AQ413" s="27" t="s">
        <v>11</v>
      </c>
      <c r="AV413" s="33">
        <f t="shared" si="452"/>
        <v>0</v>
      </c>
      <c r="AW413" s="33">
        <f t="shared" si="453"/>
        <v>0</v>
      </c>
      <c r="AX413" s="33">
        <f t="shared" si="454"/>
        <v>0</v>
      </c>
      <c r="AY413" s="34" t="s">
        <v>1731</v>
      </c>
      <c r="AZ413" s="34" t="s">
        <v>1749</v>
      </c>
      <c r="BA413" s="28" t="s">
        <v>1752</v>
      </c>
      <c r="BC413" s="33">
        <f t="shared" si="455"/>
        <v>0</v>
      </c>
      <c r="BD413" s="33">
        <f t="shared" si="456"/>
        <v>0</v>
      </c>
      <c r="BE413" s="33">
        <v>0</v>
      </c>
      <c r="BF413" s="33">
        <f>413</f>
        <v>413</v>
      </c>
      <c r="BH413" s="16">
        <f t="shared" si="457"/>
        <v>0</v>
      </c>
      <c r="BI413" s="16">
        <f t="shared" si="458"/>
        <v>0</v>
      </c>
      <c r="BJ413" s="16">
        <f t="shared" si="459"/>
        <v>0</v>
      </c>
    </row>
    <row r="414" spans="1:62" x14ac:dyDescent="0.2">
      <c r="A414" s="5"/>
      <c r="B414" s="13" t="s">
        <v>888</v>
      </c>
      <c r="C414" s="136" t="s">
        <v>1468</v>
      </c>
      <c r="D414" s="137"/>
      <c r="E414" s="137"/>
      <c r="F414" s="5" t="s">
        <v>6</v>
      </c>
      <c r="G414" s="5" t="s">
        <v>6</v>
      </c>
      <c r="H414" s="163" t="s">
        <v>6</v>
      </c>
      <c r="I414" s="36">
        <f>SUM(I415:I448)</f>
        <v>0</v>
      </c>
      <c r="J414" s="36">
        <f>SUM(J415:J448)</f>
        <v>0</v>
      </c>
      <c r="K414" s="36">
        <f>SUM(K415:K448)</f>
        <v>0</v>
      </c>
      <c r="L414" s="28"/>
      <c r="AI414" s="28"/>
      <c r="AS414" s="36">
        <f>SUM(AJ415:AJ448)</f>
        <v>0</v>
      </c>
      <c r="AT414" s="36">
        <f>SUM(AK415:AK448)</f>
        <v>0</v>
      </c>
      <c r="AU414" s="36">
        <f>SUM(AL415:AL448)</f>
        <v>0</v>
      </c>
    </row>
    <row r="415" spans="1:62" x14ac:dyDescent="0.2">
      <c r="A415" s="4" t="s">
        <v>345</v>
      </c>
      <c r="B415" s="4" t="s">
        <v>889</v>
      </c>
      <c r="C415" s="131" t="s">
        <v>1469</v>
      </c>
      <c r="D415" s="132"/>
      <c r="E415" s="132"/>
      <c r="F415" s="4" t="s">
        <v>1663</v>
      </c>
      <c r="G415" s="68">
        <v>614.01599999999996</v>
      </c>
      <c r="H415" s="162">
        <v>0</v>
      </c>
      <c r="I415" s="16">
        <f>G415*AO415</f>
        <v>0</v>
      </c>
      <c r="J415" s="16">
        <f>G415*AP415</f>
        <v>0</v>
      </c>
      <c r="K415" s="16">
        <f>G415*H415</f>
        <v>0</v>
      </c>
      <c r="L415" s="27" t="s">
        <v>1692</v>
      </c>
      <c r="Z415" s="33">
        <f>IF(AQ415="5",BJ415,0)</f>
        <v>0</v>
      </c>
      <c r="AB415" s="33">
        <f>IF(AQ415="1",BH415,0)</f>
        <v>0</v>
      </c>
      <c r="AC415" s="33">
        <f>IF(AQ415="1",BI415,0)</f>
        <v>0</v>
      </c>
      <c r="AD415" s="33">
        <f>IF(AQ415="7",BH415,0)</f>
        <v>0</v>
      </c>
      <c r="AE415" s="33">
        <f>IF(AQ415="7",BI415,0)</f>
        <v>0</v>
      </c>
      <c r="AF415" s="33">
        <f>IF(AQ415="2",BH415,0)</f>
        <v>0</v>
      </c>
      <c r="AG415" s="33">
        <f>IF(AQ415="2",BI415,0)</f>
        <v>0</v>
      </c>
      <c r="AH415" s="33">
        <f>IF(AQ415="0",BJ415,0)</f>
        <v>0</v>
      </c>
      <c r="AI415" s="28"/>
      <c r="AJ415" s="16">
        <f>IF(AN415=0,K415,0)</f>
        <v>0</v>
      </c>
      <c r="AK415" s="16">
        <f>IF(AN415=15,K415,0)</f>
        <v>0</v>
      </c>
      <c r="AL415" s="16">
        <f>IF(AN415=21,K415,0)</f>
        <v>0</v>
      </c>
      <c r="AN415" s="33">
        <v>21</v>
      </c>
      <c r="AO415" s="33">
        <f>H415*0.469728277500214</f>
        <v>0</v>
      </c>
      <c r="AP415" s="33">
        <f>H415*(1-0.469728277500214)</f>
        <v>0</v>
      </c>
      <c r="AQ415" s="27" t="s">
        <v>13</v>
      </c>
      <c r="AV415" s="33">
        <f>AW415+AX415</f>
        <v>0</v>
      </c>
      <c r="AW415" s="33">
        <f>G415*AO415</f>
        <v>0</v>
      </c>
      <c r="AX415" s="33">
        <f>G415*AP415</f>
        <v>0</v>
      </c>
      <c r="AY415" s="34" t="s">
        <v>1732</v>
      </c>
      <c r="AZ415" s="34" t="s">
        <v>1749</v>
      </c>
      <c r="BA415" s="28" t="s">
        <v>1752</v>
      </c>
      <c r="BC415" s="33">
        <f>AW415+AX415</f>
        <v>0</v>
      </c>
      <c r="BD415" s="33">
        <f>H415/(100-BE415)*100</f>
        <v>0</v>
      </c>
      <c r="BE415" s="33">
        <v>0</v>
      </c>
      <c r="BF415" s="33">
        <f>415</f>
        <v>415</v>
      </c>
      <c r="BH415" s="16">
        <f>G415*AO415</f>
        <v>0</v>
      </c>
      <c r="BI415" s="16">
        <f>G415*AP415</f>
        <v>0</v>
      </c>
      <c r="BJ415" s="16">
        <f>G415*H415</f>
        <v>0</v>
      </c>
    </row>
    <row r="416" spans="1:62" x14ac:dyDescent="0.2">
      <c r="C416" s="140" t="s">
        <v>1412</v>
      </c>
      <c r="D416" s="141"/>
      <c r="E416" s="141"/>
      <c r="H416" s="164"/>
    </row>
    <row r="417" spans="1:62" x14ac:dyDescent="0.2">
      <c r="A417" s="4" t="s">
        <v>346</v>
      </c>
      <c r="B417" s="4" t="s">
        <v>890</v>
      </c>
      <c r="C417" s="131" t="s">
        <v>1470</v>
      </c>
      <c r="D417" s="132"/>
      <c r="E417" s="132"/>
      <c r="F417" s="4" t="s">
        <v>1663</v>
      </c>
      <c r="G417" s="68">
        <v>614.01599999999996</v>
      </c>
      <c r="H417" s="162">
        <v>0</v>
      </c>
      <c r="I417" s="16">
        <f>G417*AO417</f>
        <v>0</v>
      </c>
      <c r="J417" s="16">
        <f>G417*AP417</f>
        <v>0</v>
      </c>
      <c r="K417" s="16">
        <f>G417*H417</f>
        <v>0</v>
      </c>
      <c r="L417" s="27" t="s">
        <v>1692</v>
      </c>
      <c r="Z417" s="33">
        <f>IF(AQ417="5",BJ417,0)</f>
        <v>0</v>
      </c>
      <c r="AB417" s="33">
        <f>IF(AQ417="1",BH417,0)</f>
        <v>0</v>
      </c>
      <c r="AC417" s="33">
        <f>IF(AQ417="1",BI417,0)</f>
        <v>0</v>
      </c>
      <c r="AD417" s="33">
        <f>IF(AQ417="7",BH417,0)</f>
        <v>0</v>
      </c>
      <c r="AE417" s="33">
        <f>IF(AQ417="7",BI417,0)</f>
        <v>0</v>
      </c>
      <c r="AF417" s="33">
        <f>IF(AQ417="2",BH417,0)</f>
        <v>0</v>
      </c>
      <c r="AG417" s="33">
        <f>IF(AQ417="2",BI417,0)</f>
        <v>0</v>
      </c>
      <c r="AH417" s="33">
        <f>IF(AQ417="0",BJ417,0)</f>
        <v>0</v>
      </c>
      <c r="AI417" s="28"/>
      <c r="AJ417" s="16">
        <f>IF(AN417=0,K417,0)</f>
        <v>0</v>
      </c>
      <c r="AK417" s="16">
        <f>IF(AN417=15,K417,0)</f>
        <v>0</v>
      </c>
      <c r="AL417" s="16">
        <f>IF(AN417=21,K417,0)</f>
        <v>0</v>
      </c>
      <c r="AN417" s="33">
        <v>21</v>
      </c>
      <c r="AO417" s="33">
        <f>H417*0.46965987435236</f>
        <v>0</v>
      </c>
      <c r="AP417" s="33">
        <f>H417*(1-0.46965987435236)</f>
        <v>0</v>
      </c>
      <c r="AQ417" s="27" t="s">
        <v>13</v>
      </c>
      <c r="AV417" s="33">
        <f>AW417+AX417</f>
        <v>0</v>
      </c>
      <c r="AW417" s="33">
        <f>G417*AO417</f>
        <v>0</v>
      </c>
      <c r="AX417" s="33">
        <f>G417*AP417</f>
        <v>0</v>
      </c>
      <c r="AY417" s="34" t="s">
        <v>1732</v>
      </c>
      <c r="AZ417" s="34" t="s">
        <v>1749</v>
      </c>
      <c r="BA417" s="28" t="s">
        <v>1752</v>
      </c>
      <c r="BC417" s="33">
        <f>AW417+AX417</f>
        <v>0</v>
      </c>
      <c r="BD417" s="33">
        <f>H417/(100-BE417)*100</f>
        <v>0</v>
      </c>
      <c r="BE417" s="33">
        <v>0</v>
      </c>
      <c r="BF417" s="33">
        <f>417</f>
        <v>417</v>
      </c>
      <c r="BH417" s="16">
        <f>G417*AO417</f>
        <v>0</v>
      </c>
      <c r="BI417" s="16">
        <f>G417*AP417</f>
        <v>0</v>
      </c>
      <c r="BJ417" s="16">
        <f>G417*H417</f>
        <v>0</v>
      </c>
    </row>
    <row r="418" spans="1:62" x14ac:dyDescent="0.2">
      <c r="C418" s="140" t="s">
        <v>1412</v>
      </c>
      <c r="D418" s="141"/>
      <c r="E418" s="141"/>
      <c r="H418" s="164"/>
    </row>
    <row r="419" spans="1:62" x14ac:dyDescent="0.2">
      <c r="A419" s="4" t="s">
        <v>347</v>
      </c>
      <c r="B419" s="4" t="s">
        <v>891</v>
      </c>
      <c r="C419" s="131" t="s">
        <v>1471</v>
      </c>
      <c r="D419" s="132"/>
      <c r="E419" s="132"/>
      <c r="F419" s="4" t="s">
        <v>1672</v>
      </c>
      <c r="G419" s="68">
        <v>6730</v>
      </c>
      <c r="H419" s="162">
        <v>0</v>
      </c>
      <c r="I419" s="16">
        <f t="shared" ref="I419:I448" si="460">G419*AO419</f>
        <v>0</v>
      </c>
      <c r="J419" s="16">
        <f t="shared" ref="J419:J448" si="461">G419*AP419</f>
        <v>0</v>
      </c>
      <c r="K419" s="16">
        <f t="shared" ref="K419:K448" si="462">G419*H419</f>
        <v>0</v>
      </c>
      <c r="L419" s="27" t="s">
        <v>1692</v>
      </c>
      <c r="Z419" s="33">
        <f t="shared" ref="Z419:Z448" si="463">IF(AQ419="5",BJ419,0)</f>
        <v>0</v>
      </c>
      <c r="AB419" s="33">
        <f t="shared" ref="AB419:AB448" si="464">IF(AQ419="1",BH419,0)</f>
        <v>0</v>
      </c>
      <c r="AC419" s="33">
        <f t="shared" ref="AC419:AC448" si="465">IF(AQ419="1",BI419,0)</f>
        <v>0</v>
      </c>
      <c r="AD419" s="33">
        <f t="shared" ref="AD419:AD448" si="466">IF(AQ419="7",BH419,0)</f>
        <v>0</v>
      </c>
      <c r="AE419" s="33">
        <f t="shared" ref="AE419:AE448" si="467">IF(AQ419="7",BI419,0)</f>
        <v>0</v>
      </c>
      <c r="AF419" s="33">
        <f t="shared" ref="AF419:AF448" si="468">IF(AQ419="2",BH419,0)</f>
        <v>0</v>
      </c>
      <c r="AG419" s="33">
        <f t="shared" ref="AG419:AG448" si="469">IF(AQ419="2",BI419,0)</f>
        <v>0</v>
      </c>
      <c r="AH419" s="33">
        <f t="shared" ref="AH419:AH448" si="470">IF(AQ419="0",BJ419,0)</f>
        <v>0</v>
      </c>
      <c r="AI419" s="28"/>
      <c r="AJ419" s="16">
        <f t="shared" ref="AJ419:AJ448" si="471">IF(AN419=0,K419,0)</f>
        <v>0</v>
      </c>
      <c r="AK419" s="16">
        <f t="shared" ref="AK419:AK448" si="472">IF(AN419=15,K419,0)</f>
        <v>0</v>
      </c>
      <c r="AL419" s="16">
        <f t="shared" ref="AL419:AL448" si="473">IF(AN419=21,K419,0)</f>
        <v>0</v>
      </c>
      <c r="AN419" s="33">
        <v>21</v>
      </c>
      <c r="AO419" s="33">
        <f>H419*0</f>
        <v>0</v>
      </c>
      <c r="AP419" s="33">
        <f>H419*(1-0)</f>
        <v>0</v>
      </c>
      <c r="AQ419" s="27" t="s">
        <v>13</v>
      </c>
      <c r="AV419" s="33">
        <f t="shared" ref="AV419:AV448" si="474">AW419+AX419</f>
        <v>0</v>
      </c>
      <c r="AW419" s="33">
        <f t="shared" ref="AW419:AW448" si="475">G419*AO419</f>
        <v>0</v>
      </c>
      <c r="AX419" s="33">
        <f t="shared" ref="AX419:AX448" si="476">G419*AP419</f>
        <v>0</v>
      </c>
      <c r="AY419" s="34" t="s">
        <v>1732</v>
      </c>
      <c r="AZ419" s="34" t="s">
        <v>1749</v>
      </c>
      <c r="BA419" s="28" t="s">
        <v>1752</v>
      </c>
      <c r="BC419" s="33">
        <f t="shared" ref="BC419:BC448" si="477">AW419+AX419</f>
        <v>0</v>
      </c>
      <c r="BD419" s="33">
        <f t="shared" ref="BD419:BD448" si="478">H419/(100-BE419)*100</f>
        <v>0</v>
      </c>
      <c r="BE419" s="33">
        <v>0</v>
      </c>
      <c r="BF419" s="33">
        <f>419</f>
        <v>419</v>
      </c>
      <c r="BH419" s="16">
        <f t="shared" ref="BH419:BH448" si="479">G419*AO419</f>
        <v>0</v>
      </c>
      <c r="BI419" s="16">
        <f t="shared" ref="BI419:BI448" si="480">G419*AP419</f>
        <v>0</v>
      </c>
      <c r="BJ419" s="16">
        <f t="shared" ref="BJ419:BJ448" si="481">G419*H419</f>
        <v>0</v>
      </c>
    </row>
    <row r="420" spans="1:62" x14ac:dyDescent="0.2">
      <c r="A420" s="4" t="s">
        <v>348</v>
      </c>
      <c r="B420" s="4" t="s">
        <v>892</v>
      </c>
      <c r="C420" s="131" t="s">
        <v>1472</v>
      </c>
      <c r="D420" s="132"/>
      <c r="E420" s="132"/>
      <c r="F420" s="4" t="s">
        <v>1663</v>
      </c>
      <c r="G420" s="68">
        <v>233.25</v>
      </c>
      <c r="H420" s="162">
        <v>0</v>
      </c>
      <c r="I420" s="16">
        <f t="shared" si="460"/>
        <v>0</v>
      </c>
      <c r="J420" s="16">
        <f t="shared" si="461"/>
        <v>0</v>
      </c>
      <c r="K420" s="16">
        <f t="shared" si="462"/>
        <v>0</v>
      </c>
      <c r="L420" s="27" t="s">
        <v>1692</v>
      </c>
      <c r="Z420" s="33">
        <f t="shared" si="463"/>
        <v>0</v>
      </c>
      <c r="AB420" s="33">
        <f t="shared" si="464"/>
        <v>0</v>
      </c>
      <c r="AC420" s="33">
        <f t="shared" si="465"/>
        <v>0</v>
      </c>
      <c r="AD420" s="33">
        <f t="shared" si="466"/>
        <v>0</v>
      </c>
      <c r="AE420" s="33">
        <f t="shared" si="467"/>
        <v>0</v>
      </c>
      <c r="AF420" s="33">
        <f t="shared" si="468"/>
        <v>0</v>
      </c>
      <c r="AG420" s="33">
        <f t="shared" si="469"/>
        <v>0</v>
      </c>
      <c r="AH420" s="33">
        <f t="shared" si="470"/>
        <v>0</v>
      </c>
      <c r="AI420" s="28"/>
      <c r="AJ420" s="16">
        <f t="shared" si="471"/>
        <v>0</v>
      </c>
      <c r="AK420" s="16">
        <f t="shared" si="472"/>
        <v>0</v>
      </c>
      <c r="AL420" s="16">
        <f t="shared" si="473"/>
        <v>0</v>
      </c>
      <c r="AN420" s="33">
        <v>21</v>
      </c>
      <c r="AO420" s="33">
        <f>H420*0.0694464285714286</f>
        <v>0</v>
      </c>
      <c r="AP420" s="33">
        <f>H420*(1-0.0694464285714286)</f>
        <v>0</v>
      </c>
      <c r="AQ420" s="27" t="s">
        <v>13</v>
      </c>
      <c r="AV420" s="33">
        <f t="shared" si="474"/>
        <v>0</v>
      </c>
      <c r="AW420" s="33">
        <f t="shared" si="475"/>
        <v>0</v>
      </c>
      <c r="AX420" s="33">
        <f t="shared" si="476"/>
        <v>0</v>
      </c>
      <c r="AY420" s="34" t="s">
        <v>1732</v>
      </c>
      <c r="AZ420" s="34" t="s">
        <v>1749</v>
      </c>
      <c r="BA420" s="28" t="s">
        <v>1752</v>
      </c>
      <c r="BC420" s="33">
        <f t="shared" si="477"/>
        <v>0</v>
      </c>
      <c r="BD420" s="33">
        <f t="shared" si="478"/>
        <v>0</v>
      </c>
      <c r="BE420" s="33">
        <v>0</v>
      </c>
      <c r="BF420" s="33">
        <f>420</f>
        <v>420</v>
      </c>
      <c r="BH420" s="16">
        <f t="shared" si="479"/>
        <v>0</v>
      </c>
      <c r="BI420" s="16">
        <f t="shared" si="480"/>
        <v>0</v>
      </c>
      <c r="BJ420" s="16">
        <f t="shared" si="481"/>
        <v>0</v>
      </c>
    </row>
    <row r="421" spans="1:62" x14ac:dyDescent="0.2">
      <c r="A421" s="4" t="s">
        <v>349</v>
      </c>
      <c r="B421" s="4" t="s">
        <v>893</v>
      </c>
      <c r="C421" s="131" t="s">
        <v>1473</v>
      </c>
      <c r="D421" s="132"/>
      <c r="E421" s="132"/>
      <c r="F421" s="4" t="s">
        <v>1665</v>
      </c>
      <c r="G421" s="68">
        <v>1</v>
      </c>
      <c r="H421" s="162">
        <v>0</v>
      </c>
      <c r="I421" s="16">
        <f t="shared" si="460"/>
        <v>0</v>
      </c>
      <c r="J421" s="16">
        <f t="shared" si="461"/>
        <v>0</v>
      </c>
      <c r="K421" s="16">
        <f t="shared" si="462"/>
        <v>0</v>
      </c>
      <c r="L421" s="27" t="s">
        <v>1692</v>
      </c>
      <c r="Z421" s="33">
        <f t="shared" si="463"/>
        <v>0</v>
      </c>
      <c r="AB421" s="33">
        <f t="shared" si="464"/>
        <v>0</v>
      </c>
      <c r="AC421" s="33">
        <f t="shared" si="465"/>
        <v>0</v>
      </c>
      <c r="AD421" s="33">
        <f t="shared" si="466"/>
        <v>0</v>
      </c>
      <c r="AE421" s="33">
        <f t="shared" si="467"/>
        <v>0</v>
      </c>
      <c r="AF421" s="33">
        <f t="shared" si="468"/>
        <v>0</v>
      </c>
      <c r="AG421" s="33">
        <f t="shared" si="469"/>
        <v>0</v>
      </c>
      <c r="AH421" s="33">
        <f t="shared" si="470"/>
        <v>0</v>
      </c>
      <c r="AI421" s="28"/>
      <c r="AJ421" s="16">
        <f t="shared" si="471"/>
        <v>0</v>
      </c>
      <c r="AK421" s="16">
        <f t="shared" si="472"/>
        <v>0</v>
      </c>
      <c r="AL421" s="16">
        <f t="shared" si="473"/>
        <v>0</v>
      </c>
      <c r="AN421" s="33">
        <v>21</v>
      </c>
      <c r="AO421" s="33">
        <f>H421*0.103985454545455</f>
        <v>0</v>
      </c>
      <c r="AP421" s="33">
        <f>H421*(1-0.103985454545455)</f>
        <v>0</v>
      </c>
      <c r="AQ421" s="27" t="s">
        <v>13</v>
      </c>
      <c r="AV421" s="33">
        <f t="shared" si="474"/>
        <v>0</v>
      </c>
      <c r="AW421" s="33">
        <f t="shared" si="475"/>
        <v>0</v>
      </c>
      <c r="AX421" s="33">
        <f t="shared" si="476"/>
        <v>0</v>
      </c>
      <c r="AY421" s="34" t="s">
        <v>1732</v>
      </c>
      <c r="AZ421" s="34" t="s">
        <v>1749</v>
      </c>
      <c r="BA421" s="28" t="s">
        <v>1752</v>
      </c>
      <c r="BC421" s="33">
        <f t="shared" si="477"/>
        <v>0</v>
      </c>
      <c r="BD421" s="33">
        <f t="shared" si="478"/>
        <v>0</v>
      </c>
      <c r="BE421" s="33">
        <v>0</v>
      </c>
      <c r="BF421" s="33">
        <f>421</f>
        <v>421</v>
      </c>
      <c r="BH421" s="16">
        <f t="shared" si="479"/>
        <v>0</v>
      </c>
      <c r="BI421" s="16">
        <f t="shared" si="480"/>
        <v>0</v>
      </c>
      <c r="BJ421" s="16">
        <f t="shared" si="481"/>
        <v>0</v>
      </c>
    </row>
    <row r="422" spans="1:62" x14ac:dyDescent="0.2">
      <c r="A422" s="4" t="s">
        <v>350</v>
      </c>
      <c r="B422" s="4" t="s">
        <v>894</v>
      </c>
      <c r="C422" s="131" t="s">
        <v>1474</v>
      </c>
      <c r="D422" s="132"/>
      <c r="E422" s="132"/>
      <c r="F422" s="4" t="s">
        <v>1665</v>
      </c>
      <c r="G422" s="68">
        <v>4</v>
      </c>
      <c r="H422" s="162">
        <v>0</v>
      </c>
      <c r="I422" s="16">
        <f t="shared" si="460"/>
        <v>0</v>
      </c>
      <c r="J422" s="16">
        <f t="shared" si="461"/>
        <v>0</v>
      </c>
      <c r="K422" s="16">
        <f t="shared" si="462"/>
        <v>0</v>
      </c>
      <c r="L422" s="27" t="s">
        <v>1692</v>
      </c>
      <c r="Z422" s="33">
        <f t="shared" si="463"/>
        <v>0</v>
      </c>
      <c r="AB422" s="33">
        <f t="shared" si="464"/>
        <v>0</v>
      </c>
      <c r="AC422" s="33">
        <f t="shared" si="465"/>
        <v>0</v>
      </c>
      <c r="AD422" s="33">
        <f t="shared" si="466"/>
        <v>0</v>
      </c>
      <c r="AE422" s="33">
        <f t="shared" si="467"/>
        <v>0</v>
      </c>
      <c r="AF422" s="33">
        <f t="shared" si="468"/>
        <v>0</v>
      </c>
      <c r="AG422" s="33">
        <f t="shared" si="469"/>
        <v>0</v>
      </c>
      <c r="AH422" s="33">
        <f t="shared" si="470"/>
        <v>0</v>
      </c>
      <c r="AI422" s="28"/>
      <c r="AJ422" s="16">
        <f t="shared" si="471"/>
        <v>0</v>
      </c>
      <c r="AK422" s="16">
        <f t="shared" si="472"/>
        <v>0</v>
      </c>
      <c r="AL422" s="16">
        <f t="shared" si="473"/>
        <v>0</v>
      </c>
      <c r="AN422" s="33">
        <v>21</v>
      </c>
      <c r="AO422" s="33">
        <f>H422*0.103984761904762</f>
        <v>0</v>
      </c>
      <c r="AP422" s="33">
        <f>H422*(1-0.103984761904762)</f>
        <v>0</v>
      </c>
      <c r="AQ422" s="27" t="s">
        <v>13</v>
      </c>
      <c r="AV422" s="33">
        <f t="shared" si="474"/>
        <v>0</v>
      </c>
      <c r="AW422" s="33">
        <f t="shared" si="475"/>
        <v>0</v>
      </c>
      <c r="AX422" s="33">
        <f t="shared" si="476"/>
        <v>0</v>
      </c>
      <c r="AY422" s="34" t="s">
        <v>1732</v>
      </c>
      <c r="AZ422" s="34" t="s">
        <v>1749</v>
      </c>
      <c r="BA422" s="28" t="s">
        <v>1752</v>
      </c>
      <c r="BC422" s="33">
        <f t="shared" si="477"/>
        <v>0</v>
      </c>
      <c r="BD422" s="33">
        <f t="shared" si="478"/>
        <v>0</v>
      </c>
      <c r="BE422" s="33">
        <v>0</v>
      </c>
      <c r="BF422" s="33">
        <f>422</f>
        <v>422</v>
      </c>
      <c r="BH422" s="16">
        <f t="shared" si="479"/>
        <v>0</v>
      </c>
      <c r="BI422" s="16">
        <f t="shared" si="480"/>
        <v>0</v>
      </c>
      <c r="BJ422" s="16">
        <f t="shared" si="481"/>
        <v>0</v>
      </c>
    </row>
    <row r="423" spans="1:62" x14ac:dyDescent="0.2">
      <c r="A423" s="4" t="s">
        <v>351</v>
      </c>
      <c r="B423" s="4" t="s">
        <v>895</v>
      </c>
      <c r="C423" s="131" t="s">
        <v>1475</v>
      </c>
      <c r="D423" s="132"/>
      <c r="E423" s="132"/>
      <c r="F423" s="4" t="s">
        <v>1665</v>
      </c>
      <c r="G423" s="68">
        <v>5</v>
      </c>
      <c r="H423" s="162">
        <v>0</v>
      </c>
      <c r="I423" s="16">
        <f t="shared" si="460"/>
        <v>0</v>
      </c>
      <c r="J423" s="16">
        <f t="shared" si="461"/>
        <v>0</v>
      </c>
      <c r="K423" s="16">
        <f t="shared" si="462"/>
        <v>0</v>
      </c>
      <c r="L423" s="27" t="s">
        <v>1692</v>
      </c>
      <c r="Z423" s="33">
        <f t="shared" si="463"/>
        <v>0</v>
      </c>
      <c r="AB423" s="33">
        <f t="shared" si="464"/>
        <v>0</v>
      </c>
      <c r="AC423" s="33">
        <f t="shared" si="465"/>
        <v>0</v>
      </c>
      <c r="AD423" s="33">
        <f t="shared" si="466"/>
        <v>0</v>
      </c>
      <c r="AE423" s="33">
        <f t="shared" si="467"/>
        <v>0</v>
      </c>
      <c r="AF423" s="33">
        <f t="shared" si="468"/>
        <v>0</v>
      </c>
      <c r="AG423" s="33">
        <f t="shared" si="469"/>
        <v>0</v>
      </c>
      <c r="AH423" s="33">
        <f t="shared" si="470"/>
        <v>0</v>
      </c>
      <c r="AI423" s="28"/>
      <c r="AJ423" s="16">
        <f t="shared" si="471"/>
        <v>0</v>
      </c>
      <c r="AK423" s="16">
        <f t="shared" si="472"/>
        <v>0</v>
      </c>
      <c r="AL423" s="16">
        <f t="shared" si="473"/>
        <v>0</v>
      </c>
      <c r="AN423" s="33">
        <v>21</v>
      </c>
      <c r="AO423" s="33">
        <f>H423*0.094016835016835</f>
        <v>0</v>
      </c>
      <c r="AP423" s="33">
        <f>H423*(1-0.094016835016835)</f>
        <v>0</v>
      </c>
      <c r="AQ423" s="27" t="s">
        <v>13</v>
      </c>
      <c r="AV423" s="33">
        <f t="shared" si="474"/>
        <v>0</v>
      </c>
      <c r="AW423" s="33">
        <f t="shared" si="475"/>
        <v>0</v>
      </c>
      <c r="AX423" s="33">
        <f t="shared" si="476"/>
        <v>0</v>
      </c>
      <c r="AY423" s="34" t="s">
        <v>1732</v>
      </c>
      <c r="AZ423" s="34" t="s">
        <v>1749</v>
      </c>
      <c r="BA423" s="28" t="s">
        <v>1752</v>
      </c>
      <c r="BC423" s="33">
        <f t="shared" si="477"/>
        <v>0</v>
      </c>
      <c r="BD423" s="33">
        <f t="shared" si="478"/>
        <v>0</v>
      </c>
      <c r="BE423" s="33">
        <v>0</v>
      </c>
      <c r="BF423" s="33">
        <f>423</f>
        <v>423</v>
      </c>
      <c r="BH423" s="16">
        <f t="shared" si="479"/>
        <v>0</v>
      </c>
      <c r="BI423" s="16">
        <f t="shared" si="480"/>
        <v>0</v>
      </c>
      <c r="BJ423" s="16">
        <f t="shared" si="481"/>
        <v>0</v>
      </c>
    </row>
    <row r="424" spans="1:62" x14ac:dyDescent="0.2">
      <c r="A424" s="4" t="s">
        <v>352</v>
      </c>
      <c r="B424" s="4" t="s">
        <v>896</v>
      </c>
      <c r="C424" s="131" t="s">
        <v>1476</v>
      </c>
      <c r="D424" s="132"/>
      <c r="E424" s="132"/>
      <c r="F424" s="4" t="s">
        <v>1665</v>
      </c>
      <c r="G424" s="68">
        <v>3</v>
      </c>
      <c r="H424" s="162">
        <v>0</v>
      </c>
      <c r="I424" s="16">
        <f t="shared" si="460"/>
        <v>0</v>
      </c>
      <c r="J424" s="16">
        <f t="shared" si="461"/>
        <v>0</v>
      </c>
      <c r="K424" s="16">
        <f t="shared" si="462"/>
        <v>0</v>
      </c>
      <c r="L424" s="27" t="s">
        <v>1692</v>
      </c>
      <c r="Z424" s="33">
        <f t="shared" si="463"/>
        <v>0</v>
      </c>
      <c r="AB424" s="33">
        <f t="shared" si="464"/>
        <v>0</v>
      </c>
      <c r="AC424" s="33">
        <f t="shared" si="465"/>
        <v>0</v>
      </c>
      <c r="AD424" s="33">
        <f t="shared" si="466"/>
        <v>0</v>
      </c>
      <c r="AE424" s="33">
        <f t="shared" si="467"/>
        <v>0</v>
      </c>
      <c r="AF424" s="33">
        <f t="shared" si="468"/>
        <v>0</v>
      </c>
      <c r="AG424" s="33">
        <f t="shared" si="469"/>
        <v>0</v>
      </c>
      <c r="AH424" s="33">
        <f t="shared" si="470"/>
        <v>0</v>
      </c>
      <c r="AI424" s="28"/>
      <c r="AJ424" s="16">
        <f t="shared" si="471"/>
        <v>0</v>
      </c>
      <c r="AK424" s="16">
        <f t="shared" si="472"/>
        <v>0</v>
      </c>
      <c r="AL424" s="16">
        <f t="shared" si="473"/>
        <v>0</v>
      </c>
      <c r="AN424" s="33">
        <v>21</v>
      </c>
      <c r="AO424" s="33">
        <f>H424*0.0940166165812268</f>
        <v>0</v>
      </c>
      <c r="AP424" s="33">
        <f>H424*(1-0.0940166165812268)</f>
        <v>0</v>
      </c>
      <c r="AQ424" s="27" t="s">
        <v>13</v>
      </c>
      <c r="AV424" s="33">
        <f t="shared" si="474"/>
        <v>0</v>
      </c>
      <c r="AW424" s="33">
        <f t="shared" si="475"/>
        <v>0</v>
      </c>
      <c r="AX424" s="33">
        <f t="shared" si="476"/>
        <v>0</v>
      </c>
      <c r="AY424" s="34" t="s">
        <v>1732</v>
      </c>
      <c r="AZ424" s="34" t="s">
        <v>1749</v>
      </c>
      <c r="BA424" s="28" t="s">
        <v>1752</v>
      </c>
      <c r="BC424" s="33">
        <f t="shared" si="477"/>
        <v>0</v>
      </c>
      <c r="BD424" s="33">
        <f t="shared" si="478"/>
        <v>0</v>
      </c>
      <c r="BE424" s="33">
        <v>0</v>
      </c>
      <c r="BF424" s="33">
        <f>424</f>
        <v>424</v>
      </c>
      <c r="BH424" s="16">
        <f t="shared" si="479"/>
        <v>0</v>
      </c>
      <c r="BI424" s="16">
        <f t="shared" si="480"/>
        <v>0</v>
      </c>
      <c r="BJ424" s="16">
        <f t="shared" si="481"/>
        <v>0</v>
      </c>
    </row>
    <row r="425" spans="1:62" x14ac:dyDescent="0.2">
      <c r="A425" s="4" t="s">
        <v>353</v>
      </c>
      <c r="B425" s="4" t="s">
        <v>897</v>
      </c>
      <c r="C425" s="131" t="s">
        <v>1477</v>
      </c>
      <c r="D425" s="132"/>
      <c r="E425" s="132"/>
      <c r="F425" s="4" t="s">
        <v>1665</v>
      </c>
      <c r="G425" s="68">
        <v>5</v>
      </c>
      <c r="H425" s="162">
        <v>0</v>
      </c>
      <c r="I425" s="16">
        <f t="shared" si="460"/>
        <v>0</v>
      </c>
      <c r="J425" s="16">
        <f t="shared" si="461"/>
        <v>0</v>
      </c>
      <c r="K425" s="16">
        <f t="shared" si="462"/>
        <v>0</v>
      </c>
      <c r="L425" s="27" t="s">
        <v>1692</v>
      </c>
      <c r="Z425" s="33">
        <f t="shared" si="463"/>
        <v>0</v>
      </c>
      <c r="AB425" s="33">
        <f t="shared" si="464"/>
        <v>0</v>
      </c>
      <c r="AC425" s="33">
        <f t="shared" si="465"/>
        <v>0</v>
      </c>
      <c r="AD425" s="33">
        <f t="shared" si="466"/>
        <v>0</v>
      </c>
      <c r="AE425" s="33">
        <f t="shared" si="467"/>
        <v>0</v>
      </c>
      <c r="AF425" s="33">
        <f t="shared" si="468"/>
        <v>0</v>
      </c>
      <c r="AG425" s="33">
        <f t="shared" si="469"/>
        <v>0</v>
      </c>
      <c r="AH425" s="33">
        <f t="shared" si="470"/>
        <v>0</v>
      </c>
      <c r="AI425" s="28"/>
      <c r="AJ425" s="16">
        <f t="shared" si="471"/>
        <v>0</v>
      </c>
      <c r="AK425" s="16">
        <f t="shared" si="472"/>
        <v>0</v>
      </c>
      <c r="AL425" s="16">
        <f t="shared" si="473"/>
        <v>0</v>
      </c>
      <c r="AN425" s="33">
        <v>21</v>
      </c>
      <c r="AO425" s="33">
        <f>H425*0.0940165256994144</f>
        <v>0</v>
      </c>
      <c r="AP425" s="33">
        <f>H425*(1-0.0940165256994144)</f>
        <v>0</v>
      </c>
      <c r="AQ425" s="27" t="s">
        <v>13</v>
      </c>
      <c r="AV425" s="33">
        <f t="shared" si="474"/>
        <v>0</v>
      </c>
      <c r="AW425" s="33">
        <f t="shared" si="475"/>
        <v>0</v>
      </c>
      <c r="AX425" s="33">
        <f t="shared" si="476"/>
        <v>0</v>
      </c>
      <c r="AY425" s="34" t="s">
        <v>1732</v>
      </c>
      <c r="AZ425" s="34" t="s">
        <v>1749</v>
      </c>
      <c r="BA425" s="28" t="s">
        <v>1752</v>
      </c>
      <c r="BC425" s="33">
        <f t="shared" si="477"/>
        <v>0</v>
      </c>
      <c r="BD425" s="33">
        <f t="shared" si="478"/>
        <v>0</v>
      </c>
      <c r="BE425" s="33">
        <v>0</v>
      </c>
      <c r="BF425" s="33">
        <f>425</f>
        <v>425</v>
      </c>
      <c r="BH425" s="16">
        <f t="shared" si="479"/>
        <v>0</v>
      </c>
      <c r="BI425" s="16">
        <f t="shared" si="480"/>
        <v>0</v>
      </c>
      <c r="BJ425" s="16">
        <f t="shared" si="481"/>
        <v>0</v>
      </c>
    </row>
    <row r="426" spans="1:62" x14ac:dyDescent="0.2">
      <c r="A426" s="4" t="s">
        <v>354</v>
      </c>
      <c r="B426" s="4" t="s">
        <v>898</v>
      </c>
      <c r="C426" s="131" t="s">
        <v>1478</v>
      </c>
      <c r="D426" s="132"/>
      <c r="E426" s="132"/>
      <c r="F426" s="4" t="s">
        <v>1665</v>
      </c>
      <c r="G426" s="68">
        <v>9</v>
      </c>
      <c r="H426" s="162">
        <v>0</v>
      </c>
      <c r="I426" s="16">
        <f t="shared" si="460"/>
        <v>0</v>
      </c>
      <c r="J426" s="16">
        <f t="shared" si="461"/>
        <v>0</v>
      </c>
      <c r="K426" s="16">
        <f t="shared" si="462"/>
        <v>0</v>
      </c>
      <c r="L426" s="27" t="s">
        <v>1692</v>
      </c>
      <c r="Z426" s="33">
        <f t="shared" si="463"/>
        <v>0</v>
      </c>
      <c r="AB426" s="33">
        <f t="shared" si="464"/>
        <v>0</v>
      </c>
      <c r="AC426" s="33">
        <f t="shared" si="465"/>
        <v>0</v>
      </c>
      <c r="AD426" s="33">
        <f t="shared" si="466"/>
        <v>0</v>
      </c>
      <c r="AE426" s="33">
        <f t="shared" si="467"/>
        <v>0</v>
      </c>
      <c r="AF426" s="33">
        <f t="shared" si="468"/>
        <v>0</v>
      </c>
      <c r="AG426" s="33">
        <f t="shared" si="469"/>
        <v>0</v>
      </c>
      <c r="AH426" s="33">
        <f t="shared" si="470"/>
        <v>0</v>
      </c>
      <c r="AI426" s="28"/>
      <c r="AJ426" s="16">
        <f t="shared" si="471"/>
        <v>0</v>
      </c>
      <c r="AK426" s="16">
        <f t="shared" si="472"/>
        <v>0</v>
      </c>
      <c r="AL426" s="16">
        <f t="shared" si="473"/>
        <v>0</v>
      </c>
      <c r="AN426" s="33">
        <v>21</v>
      </c>
      <c r="AO426" s="33">
        <f>H426*0.0940166378565255</f>
        <v>0</v>
      </c>
      <c r="AP426" s="33">
        <f>H426*(1-0.0940166378565255)</f>
        <v>0</v>
      </c>
      <c r="AQ426" s="27" t="s">
        <v>13</v>
      </c>
      <c r="AV426" s="33">
        <f t="shared" si="474"/>
        <v>0</v>
      </c>
      <c r="AW426" s="33">
        <f t="shared" si="475"/>
        <v>0</v>
      </c>
      <c r="AX426" s="33">
        <f t="shared" si="476"/>
        <v>0</v>
      </c>
      <c r="AY426" s="34" t="s">
        <v>1732</v>
      </c>
      <c r="AZ426" s="34" t="s">
        <v>1749</v>
      </c>
      <c r="BA426" s="28" t="s">
        <v>1752</v>
      </c>
      <c r="BC426" s="33">
        <f t="shared" si="477"/>
        <v>0</v>
      </c>
      <c r="BD426" s="33">
        <f t="shared" si="478"/>
        <v>0</v>
      </c>
      <c r="BE426" s="33">
        <v>0</v>
      </c>
      <c r="BF426" s="33">
        <f>426</f>
        <v>426</v>
      </c>
      <c r="BH426" s="16">
        <f t="shared" si="479"/>
        <v>0</v>
      </c>
      <c r="BI426" s="16">
        <f t="shared" si="480"/>
        <v>0</v>
      </c>
      <c r="BJ426" s="16">
        <f t="shared" si="481"/>
        <v>0</v>
      </c>
    </row>
    <row r="427" spans="1:62" x14ac:dyDescent="0.2">
      <c r="A427" s="4" t="s">
        <v>355</v>
      </c>
      <c r="B427" s="4" t="s">
        <v>899</v>
      </c>
      <c r="C427" s="131" t="s">
        <v>1479</v>
      </c>
      <c r="D427" s="132"/>
      <c r="E427" s="132"/>
      <c r="F427" s="4" t="s">
        <v>1665</v>
      </c>
      <c r="G427" s="68">
        <v>2</v>
      </c>
      <c r="H427" s="162">
        <v>0</v>
      </c>
      <c r="I427" s="16">
        <f t="shared" si="460"/>
        <v>0</v>
      </c>
      <c r="J427" s="16">
        <f t="shared" si="461"/>
        <v>0</v>
      </c>
      <c r="K427" s="16">
        <f t="shared" si="462"/>
        <v>0</v>
      </c>
      <c r="L427" s="27" t="s">
        <v>1692</v>
      </c>
      <c r="Z427" s="33">
        <f t="shared" si="463"/>
        <v>0</v>
      </c>
      <c r="AB427" s="33">
        <f t="shared" si="464"/>
        <v>0</v>
      </c>
      <c r="AC427" s="33">
        <f t="shared" si="465"/>
        <v>0</v>
      </c>
      <c r="AD427" s="33">
        <f t="shared" si="466"/>
        <v>0</v>
      </c>
      <c r="AE427" s="33">
        <f t="shared" si="467"/>
        <v>0</v>
      </c>
      <c r="AF427" s="33">
        <f t="shared" si="468"/>
        <v>0</v>
      </c>
      <c r="AG427" s="33">
        <f t="shared" si="469"/>
        <v>0</v>
      </c>
      <c r="AH427" s="33">
        <f t="shared" si="470"/>
        <v>0</v>
      </c>
      <c r="AI427" s="28"/>
      <c r="AJ427" s="16">
        <f t="shared" si="471"/>
        <v>0</v>
      </c>
      <c r="AK427" s="16">
        <f t="shared" si="472"/>
        <v>0</v>
      </c>
      <c r="AL427" s="16">
        <f t="shared" si="473"/>
        <v>0</v>
      </c>
      <c r="AN427" s="33">
        <v>21</v>
      </c>
      <c r="AO427" s="33">
        <f t="shared" ref="AO427:AO438" si="482">H427*0.82</f>
        <v>0</v>
      </c>
      <c r="AP427" s="33">
        <f t="shared" ref="AP427:AP438" si="483">H427*(1-0.82)</f>
        <v>0</v>
      </c>
      <c r="AQ427" s="27" t="s">
        <v>13</v>
      </c>
      <c r="AV427" s="33">
        <f t="shared" si="474"/>
        <v>0</v>
      </c>
      <c r="AW427" s="33">
        <f t="shared" si="475"/>
        <v>0</v>
      </c>
      <c r="AX427" s="33">
        <f t="shared" si="476"/>
        <v>0</v>
      </c>
      <c r="AY427" s="34" t="s">
        <v>1732</v>
      </c>
      <c r="AZ427" s="34" t="s">
        <v>1749</v>
      </c>
      <c r="BA427" s="28" t="s">
        <v>1752</v>
      </c>
      <c r="BC427" s="33">
        <f t="shared" si="477"/>
        <v>0</v>
      </c>
      <c r="BD427" s="33">
        <f t="shared" si="478"/>
        <v>0</v>
      </c>
      <c r="BE427" s="33">
        <v>0</v>
      </c>
      <c r="BF427" s="33">
        <f>427</f>
        <v>427</v>
      </c>
      <c r="BH427" s="16">
        <f t="shared" si="479"/>
        <v>0</v>
      </c>
      <c r="BI427" s="16">
        <f t="shared" si="480"/>
        <v>0</v>
      </c>
      <c r="BJ427" s="16">
        <f t="shared" si="481"/>
        <v>0</v>
      </c>
    </row>
    <row r="428" spans="1:62" x14ac:dyDescent="0.2">
      <c r="A428" s="4" t="s">
        <v>356</v>
      </c>
      <c r="B428" s="4" t="s">
        <v>900</v>
      </c>
      <c r="C428" s="131" t="s">
        <v>1480</v>
      </c>
      <c r="D428" s="132"/>
      <c r="E428" s="132"/>
      <c r="F428" s="4" t="s">
        <v>1665</v>
      </c>
      <c r="G428" s="68">
        <v>4</v>
      </c>
      <c r="H428" s="162">
        <v>0</v>
      </c>
      <c r="I428" s="16">
        <f t="shared" si="460"/>
        <v>0</v>
      </c>
      <c r="J428" s="16">
        <f t="shared" si="461"/>
        <v>0</v>
      </c>
      <c r="K428" s="16">
        <f t="shared" si="462"/>
        <v>0</v>
      </c>
      <c r="L428" s="27" t="s">
        <v>1692</v>
      </c>
      <c r="Z428" s="33">
        <f t="shared" si="463"/>
        <v>0</v>
      </c>
      <c r="AB428" s="33">
        <f t="shared" si="464"/>
        <v>0</v>
      </c>
      <c r="AC428" s="33">
        <f t="shared" si="465"/>
        <v>0</v>
      </c>
      <c r="AD428" s="33">
        <f t="shared" si="466"/>
        <v>0</v>
      </c>
      <c r="AE428" s="33">
        <f t="shared" si="467"/>
        <v>0</v>
      </c>
      <c r="AF428" s="33">
        <f t="shared" si="468"/>
        <v>0</v>
      </c>
      <c r="AG428" s="33">
        <f t="shared" si="469"/>
        <v>0</v>
      </c>
      <c r="AH428" s="33">
        <f t="shared" si="470"/>
        <v>0</v>
      </c>
      <c r="AI428" s="28"/>
      <c r="AJ428" s="16">
        <f t="shared" si="471"/>
        <v>0</v>
      </c>
      <c r="AK428" s="16">
        <f t="shared" si="472"/>
        <v>0</v>
      </c>
      <c r="AL428" s="16">
        <f t="shared" si="473"/>
        <v>0</v>
      </c>
      <c r="AN428" s="33">
        <v>21</v>
      </c>
      <c r="AO428" s="33">
        <f t="shared" si="482"/>
        <v>0</v>
      </c>
      <c r="AP428" s="33">
        <f t="shared" si="483"/>
        <v>0</v>
      </c>
      <c r="AQ428" s="27" t="s">
        <v>13</v>
      </c>
      <c r="AV428" s="33">
        <f t="shared" si="474"/>
        <v>0</v>
      </c>
      <c r="AW428" s="33">
        <f t="shared" si="475"/>
        <v>0</v>
      </c>
      <c r="AX428" s="33">
        <f t="shared" si="476"/>
        <v>0</v>
      </c>
      <c r="AY428" s="34" t="s">
        <v>1732</v>
      </c>
      <c r="AZ428" s="34" t="s">
        <v>1749</v>
      </c>
      <c r="BA428" s="28" t="s">
        <v>1752</v>
      </c>
      <c r="BC428" s="33">
        <f t="shared" si="477"/>
        <v>0</v>
      </c>
      <c r="BD428" s="33">
        <f t="shared" si="478"/>
        <v>0</v>
      </c>
      <c r="BE428" s="33">
        <v>0</v>
      </c>
      <c r="BF428" s="33">
        <f>428</f>
        <v>428</v>
      </c>
      <c r="BH428" s="16">
        <f t="shared" si="479"/>
        <v>0</v>
      </c>
      <c r="BI428" s="16">
        <f t="shared" si="480"/>
        <v>0</v>
      </c>
      <c r="BJ428" s="16">
        <f t="shared" si="481"/>
        <v>0</v>
      </c>
    </row>
    <row r="429" spans="1:62" x14ac:dyDescent="0.2">
      <c r="A429" s="4" t="s">
        <v>357</v>
      </c>
      <c r="B429" s="4" t="s">
        <v>901</v>
      </c>
      <c r="C429" s="131" t="s">
        <v>1481</v>
      </c>
      <c r="D429" s="132"/>
      <c r="E429" s="132"/>
      <c r="F429" s="4" t="s">
        <v>1665</v>
      </c>
      <c r="G429" s="68">
        <v>1</v>
      </c>
      <c r="H429" s="162">
        <v>0</v>
      </c>
      <c r="I429" s="16">
        <f t="shared" si="460"/>
        <v>0</v>
      </c>
      <c r="J429" s="16">
        <f t="shared" si="461"/>
        <v>0</v>
      </c>
      <c r="K429" s="16">
        <f t="shared" si="462"/>
        <v>0</v>
      </c>
      <c r="L429" s="27" t="s">
        <v>1692</v>
      </c>
      <c r="Z429" s="33">
        <f t="shared" si="463"/>
        <v>0</v>
      </c>
      <c r="AB429" s="33">
        <f t="shared" si="464"/>
        <v>0</v>
      </c>
      <c r="AC429" s="33">
        <f t="shared" si="465"/>
        <v>0</v>
      </c>
      <c r="AD429" s="33">
        <f t="shared" si="466"/>
        <v>0</v>
      </c>
      <c r="AE429" s="33">
        <f t="shared" si="467"/>
        <v>0</v>
      </c>
      <c r="AF429" s="33">
        <f t="shared" si="468"/>
        <v>0</v>
      </c>
      <c r="AG429" s="33">
        <f t="shared" si="469"/>
        <v>0</v>
      </c>
      <c r="AH429" s="33">
        <f t="shared" si="470"/>
        <v>0</v>
      </c>
      <c r="AI429" s="28"/>
      <c r="AJ429" s="16">
        <f t="shared" si="471"/>
        <v>0</v>
      </c>
      <c r="AK429" s="16">
        <f t="shared" si="472"/>
        <v>0</v>
      </c>
      <c r="AL429" s="16">
        <f t="shared" si="473"/>
        <v>0</v>
      </c>
      <c r="AN429" s="33">
        <v>21</v>
      </c>
      <c r="AO429" s="33">
        <f t="shared" si="482"/>
        <v>0</v>
      </c>
      <c r="AP429" s="33">
        <f t="shared" si="483"/>
        <v>0</v>
      </c>
      <c r="AQ429" s="27" t="s">
        <v>13</v>
      </c>
      <c r="AV429" s="33">
        <f t="shared" si="474"/>
        <v>0</v>
      </c>
      <c r="AW429" s="33">
        <f t="shared" si="475"/>
        <v>0</v>
      </c>
      <c r="AX429" s="33">
        <f t="shared" si="476"/>
        <v>0</v>
      </c>
      <c r="AY429" s="34" t="s">
        <v>1732</v>
      </c>
      <c r="AZ429" s="34" t="s">
        <v>1749</v>
      </c>
      <c r="BA429" s="28" t="s">
        <v>1752</v>
      </c>
      <c r="BC429" s="33">
        <f t="shared" si="477"/>
        <v>0</v>
      </c>
      <c r="BD429" s="33">
        <f t="shared" si="478"/>
        <v>0</v>
      </c>
      <c r="BE429" s="33">
        <v>0</v>
      </c>
      <c r="BF429" s="33">
        <f>429</f>
        <v>429</v>
      </c>
      <c r="BH429" s="16">
        <f t="shared" si="479"/>
        <v>0</v>
      </c>
      <c r="BI429" s="16">
        <f t="shared" si="480"/>
        <v>0</v>
      </c>
      <c r="BJ429" s="16">
        <f t="shared" si="481"/>
        <v>0</v>
      </c>
    </row>
    <row r="430" spans="1:62" x14ac:dyDescent="0.2">
      <c r="A430" s="4" t="s">
        <v>358</v>
      </c>
      <c r="B430" s="4" t="s">
        <v>902</v>
      </c>
      <c r="C430" s="131" t="s">
        <v>1482</v>
      </c>
      <c r="D430" s="132"/>
      <c r="E430" s="132"/>
      <c r="F430" s="4" t="s">
        <v>1665</v>
      </c>
      <c r="G430" s="68">
        <v>3</v>
      </c>
      <c r="H430" s="162">
        <v>0</v>
      </c>
      <c r="I430" s="16">
        <f t="shared" si="460"/>
        <v>0</v>
      </c>
      <c r="J430" s="16">
        <f t="shared" si="461"/>
        <v>0</v>
      </c>
      <c r="K430" s="16">
        <f t="shared" si="462"/>
        <v>0</v>
      </c>
      <c r="L430" s="27" t="s">
        <v>1692</v>
      </c>
      <c r="Z430" s="33">
        <f t="shared" si="463"/>
        <v>0</v>
      </c>
      <c r="AB430" s="33">
        <f t="shared" si="464"/>
        <v>0</v>
      </c>
      <c r="AC430" s="33">
        <f t="shared" si="465"/>
        <v>0</v>
      </c>
      <c r="AD430" s="33">
        <f t="shared" si="466"/>
        <v>0</v>
      </c>
      <c r="AE430" s="33">
        <f t="shared" si="467"/>
        <v>0</v>
      </c>
      <c r="AF430" s="33">
        <f t="shared" si="468"/>
        <v>0</v>
      </c>
      <c r="AG430" s="33">
        <f t="shared" si="469"/>
        <v>0</v>
      </c>
      <c r="AH430" s="33">
        <f t="shared" si="470"/>
        <v>0</v>
      </c>
      <c r="AI430" s="28"/>
      <c r="AJ430" s="16">
        <f t="shared" si="471"/>
        <v>0</v>
      </c>
      <c r="AK430" s="16">
        <f t="shared" si="472"/>
        <v>0</v>
      </c>
      <c r="AL430" s="16">
        <f t="shared" si="473"/>
        <v>0</v>
      </c>
      <c r="AN430" s="33">
        <v>21</v>
      </c>
      <c r="AO430" s="33">
        <f t="shared" si="482"/>
        <v>0</v>
      </c>
      <c r="AP430" s="33">
        <f t="shared" si="483"/>
        <v>0</v>
      </c>
      <c r="AQ430" s="27" t="s">
        <v>13</v>
      </c>
      <c r="AV430" s="33">
        <f t="shared" si="474"/>
        <v>0</v>
      </c>
      <c r="AW430" s="33">
        <f t="shared" si="475"/>
        <v>0</v>
      </c>
      <c r="AX430" s="33">
        <f t="shared" si="476"/>
        <v>0</v>
      </c>
      <c r="AY430" s="34" t="s">
        <v>1732</v>
      </c>
      <c r="AZ430" s="34" t="s">
        <v>1749</v>
      </c>
      <c r="BA430" s="28" t="s">
        <v>1752</v>
      </c>
      <c r="BC430" s="33">
        <f t="shared" si="477"/>
        <v>0</v>
      </c>
      <c r="BD430" s="33">
        <f t="shared" si="478"/>
        <v>0</v>
      </c>
      <c r="BE430" s="33">
        <v>0</v>
      </c>
      <c r="BF430" s="33">
        <f>430</f>
        <v>430</v>
      </c>
      <c r="BH430" s="16">
        <f t="shared" si="479"/>
        <v>0</v>
      </c>
      <c r="BI430" s="16">
        <f t="shared" si="480"/>
        <v>0</v>
      </c>
      <c r="BJ430" s="16">
        <f t="shared" si="481"/>
        <v>0</v>
      </c>
    </row>
    <row r="431" spans="1:62" x14ac:dyDescent="0.2">
      <c r="A431" s="4" t="s">
        <v>359</v>
      </c>
      <c r="B431" s="4" t="s">
        <v>903</v>
      </c>
      <c r="C431" s="131" t="s">
        <v>1483</v>
      </c>
      <c r="D431" s="132"/>
      <c r="E431" s="132"/>
      <c r="F431" s="4" t="s">
        <v>1665</v>
      </c>
      <c r="G431" s="68">
        <v>1</v>
      </c>
      <c r="H431" s="162">
        <v>0</v>
      </c>
      <c r="I431" s="16">
        <f t="shared" si="460"/>
        <v>0</v>
      </c>
      <c r="J431" s="16">
        <f t="shared" si="461"/>
        <v>0</v>
      </c>
      <c r="K431" s="16">
        <f t="shared" si="462"/>
        <v>0</v>
      </c>
      <c r="L431" s="27" t="s">
        <v>1692</v>
      </c>
      <c r="Z431" s="33">
        <f t="shared" si="463"/>
        <v>0</v>
      </c>
      <c r="AB431" s="33">
        <f t="shared" si="464"/>
        <v>0</v>
      </c>
      <c r="AC431" s="33">
        <f t="shared" si="465"/>
        <v>0</v>
      </c>
      <c r="AD431" s="33">
        <f t="shared" si="466"/>
        <v>0</v>
      </c>
      <c r="AE431" s="33">
        <f t="shared" si="467"/>
        <v>0</v>
      </c>
      <c r="AF431" s="33">
        <f t="shared" si="468"/>
        <v>0</v>
      </c>
      <c r="AG431" s="33">
        <f t="shared" si="469"/>
        <v>0</v>
      </c>
      <c r="AH431" s="33">
        <f t="shared" si="470"/>
        <v>0</v>
      </c>
      <c r="AI431" s="28"/>
      <c r="AJ431" s="16">
        <f t="shared" si="471"/>
        <v>0</v>
      </c>
      <c r="AK431" s="16">
        <f t="shared" si="472"/>
        <v>0</v>
      </c>
      <c r="AL431" s="16">
        <f t="shared" si="473"/>
        <v>0</v>
      </c>
      <c r="AN431" s="33">
        <v>21</v>
      </c>
      <c r="AO431" s="33">
        <f t="shared" si="482"/>
        <v>0</v>
      </c>
      <c r="AP431" s="33">
        <f t="shared" si="483"/>
        <v>0</v>
      </c>
      <c r="AQ431" s="27" t="s">
        <v>13</v>
      </c>
      <c r="AV431" s="33">
        <f t="shared" si="474"/>
        <v>0</v>
      </c>
      <c r="AW431" s="33">
        <f t="shared" si="475"/>
        <v>0</v>
      </c>
      <c r="AX431" s="33">
        <f t="shared" si="476"/>
        <v>0</v>
      </c>
      <c r="AY431" s="34" t="s">
        <v>1732</v>
      </c>
      <c r="AZ431" s="34" t="s">
        <v>1749</v>
      </c>
      <c r="BA431" s="28" t="s">
        <v>1752</v>
      </c>
      <c r="BC431" s="33">
        <f t="shared" si="477"/>
        <v>0</v>
      </c>
      <c r="BD431" s="33">
        <f t="shared" si="478"/>
        <v>0</v>
      </c>
      <c r="BE431" s="33">
        <v>0</v>
      </c>
      <c r="BF431" s="33">
        <f>431</f>
        <v>431</v>
      </c>
      <c r="BH431" s="16">
        <f t="shared" si="479"/>
        <v>0</v>
      </c>
      <c r="BI431" s="16">
        <f t="shared" si="480"/>
        <v>0</v>
      </c>
      <c r="BJ431" s="16">
        <f t="shared" si="481"/>
        <v>0</v>
      </c>
    </row>
    <row r="432" spans="1:62" x14ac:dyDescent="0.2">
      <c r="A432" s="4" t="s">
        <v>360</v>
      </c>
      <c r="B432" s="4" t="s">
        <v>904</v>
      </c>
      <c r="C432" s="131" t="s">
        <v>1484</v>
      </c>
      <c r="D432" s="132"/>
      <c r="E432" s="132"/>
      <c r="F432" s="4" t="s">
        <v>1665</v>
      </c>
      <c r="G432" s="68">
        <v>1</v>
      </c>
      <c r="H432" s="162">
        <v>0</v>
      </c>
      <c r="I432" s="16">
        <f t="shared" si="460"/>
        <v>0</v>
      </c>
      <c r="J432" s="16">
        <f t="shared" si="461"/>
        <v>0</v>
      </c>
      <c r="K432" s="16">
        <f t="shared" si="462"/>
        <v>0</v>
      </c>
      <c r="L432" s="27" t="s">
        <v>1692</v>
      </c>
      <c r="Z432" s="33">
        <f t="shared" si="463"/>
        <v>0</v>
      </c>
      <c r="AB432" s="33">
        <f t="shared" si="464"/>
        <v>0</v>
      </c>
      <c r="AC432" s="33">
        <f t="shared" si="465"/>
        <v>0</v>
      </c>
      <c r="AD432" s="33">
        <f t="shared" si="466"/>
        <v>0</v>
      </c>
      <c r="AE432" s="33">
        <f t="shared" si="467"/>
        <v>0</v>
      </c>
      <c r="AF432" s="33">
        <f t="shared" si="468"/>
        <v>0</v>
      </c>
      <c r="AG432" s="33">
        <f t="shared" si="469"/>
        <v>0</v>
      </c>
      <c r="AH432" s="33">
        <f t="shared" si="470"/>
        <v>0</v>
      </c>
      <c r="AI432" s="28"/>
      <c r="AJ432" s="16">
        <f t="shared" si="471"/>
        <v>0</v>
      </c>
      <c r="AK432" s="16">
        <f t="shared" si="472"/>
        <v>0</v>
      </c>
      <c r="AL432" s="16">
        <f t="shared" si="473"/>
        <v>0</v>
      </c>
      <c r="AN432" s="33">
        <v>21</v>
      </c>
      <c r="AO432" s="33">
        <f t="shared" si="482"/>
        <v>0</v>
      </c>
      <c r="AP432" s="33">
        <f t="shared" si="483"/>
        <v>0</v>
      </c>
      <c r="AQ432" s="27" t="s">
        <v>13</v>
      </c>
      <c r="AV432" s="33">
        <f t="shared" si="474"/>
        <v>0</v>
      </c>
      <c r="AW432" s="33">
        <f t="shared" si="475"/>
        <v>0</v>
      </c>
      <c r="AX432" s="33">
        <f t="shared" si="476"/>
        <v>0</v>
      </c>
      <c r="AY432" s="34" t="s">
        <v>1732</v>
      </c>
      <c r="AZ432" s="34" t="s">
        <v>1749</v>
      </c>
      <c r="BA432" s="28" t="s">
        <v>1752</v>
      </c>
      <c r="BC432" s="33">
        <f t="shared" si="477"/>
        <v>0</v>
      </c>
      <c r="BD432" s="33">
        <f t="shared" si="478"/>
        <v>0</v>
      </c>
      <c r="BE432" s="33">
        <v>0</v>
      </c>
      <c r="BF432" s="33">
        <f>432</f>
        <v>432</v>
      </c>
      <c r="BH432" s="16">
        <f t="shared" si="479"/>
        <v>0</v>
      </c>
      <c r="BI432" s="16">
        <f t="shared" si="480"/>
        <v>0</v>
      </c>
      <c r="BJ432" s="16">
        <f t="shared" si="481"/>
        <v>0</v>
      </c>
    </row>
    <row r="433" spans="1:62" x14ac:dyDescent="0.2">
      <c r="A433" s="4" t="s">
        <v>361</v>
      </c>
      <c r="B433" s="4" t="s">
        <v>905</v>
      </c>
      <c r="C433" s="131" t="s">
        <v>1485</v>
      </c>
      <c r="D433" s="132"/>
      <c r="E433" s="132"/>
      <c r="F433" s="4" t="s">
        <v>1665</v>
      </c>
      <c r="G433" s="68">
        <v>1</v>
      </c>
      <c r="H433" s="162">
        <v>0</v>
      </c>
      <c r="I433" s="16">
        <f t="shared" si="460"/>
        <v>0</v>
      </c>
      <c r="J433" s="16">
        <f t="shared" si="461"/>
        <v>0</v>
      </c>
      <c r="K433" s="16">
        <f t="shared" si="462"/>
        <v>0</v>
      </c>
      <c r="L433" s="27" t="s">
        <v>1692</v>
      </c>
      <c r="Z433" s="33">
        <f t="shared" si="463"/>
        <v>0</v>
      </c>
      <c r="AB433" s="33">
        <f t="shared" si="464"/>
        <v>0</v>
      </c>
      <c r="AC433" s="33">
        <f t="shared" si="465"/>
        <v>0</v>
      </c>
      <c r="AD433" s="33">
        <f t="shared" si="466"/>
        <v>0</v>
      </c>
      <c r="AE433" s="33">
        <f t="shared" si="467"/>
        <v>0</v>
      </c>
      <c r="AF433" s="33">
        <f t="shared" si="468"/>
        <v>0</v>
      </c>
      <c r="AG433" s="33">
        <f t="shared" si="469"/>
        <v>0</v>
      </c>
      <c r="AH433" s="33">
        <f t="shared" si="470"/>
        <v>0</v>
      </c>
      <c r="AI433" s="28"/>
      <c r="AJ433" s="16">
        <f t="shared" si="471"/>
        <v>0</v>
      </c>
      <c r="AK433" s="16">
        <f t="shared" si="472"/>
        <v>0</v>
      </c>
      <c r="AL433" s="16">
        <f t="shared" si="473"/>
        <v>0</v>
      </c>
      <c r="AN433" s="33">
        <v>21</v>
      </c>
      <c r="AO433" s="33">
        <f t="shared" si="482"/>
        <v>0</v>
      </c>
      <c r="AP433" s="33">
        <f t="shared" si="483"/>
        <v>0</v>
      </c>
      <c r="AQ433" s="27" t="s">
        <v>13</v>
      </c>
      <c r="AV433" s="33">
        <f t="shared" si="474"/>
        <v>0</v>
      </c>
      <c r="AW433" s="33">
        <f t="shared" si="475"/>
        <v>0</v>
      </c>
      <c r="AX433" s="33">
        <f t="shared" si="476"/>
        <v>0</v>
      </c>
      <c r="AY433" s="34" t="s">
        <v>1732</v>
      </c>
      <c r="AZ433" s="34" t="s">
        <v>1749</v>
      </c>
      <c r="BA433" s="28" t="s">
        <v>1752</v>
      </c>
      <c r="BC433" s="33">
        <f t="shared" si="477"/>
        <v>0</v>
      </c>
      <c r="BD433" s="33">
        <f t="shared" si="478"/>
        <v>0</v>
      </c>
      <c r="BE433" s="33">
        <v>0</v>
      </c>
      <c r="BF433" s="33">
        <f>433</f>
        <v>433</v>
      </c>
      <c r="BH433" s="16">
        <f t="shared" si="479"/>
        <v>0</v>
      </c>
      <c r="BI433" s="16">
        <f t="shared" si="480"/>
        <v>0</v>
      </c>
      <c r="BJ433" s="16">
        <f t="shared" si="481"/>
        <v>0</v>
      </c>
    </row>
    <row r="434" spans="1:62" x14ac:dyDescent="0.2">
      <c r="A434" s="4" t="s">
        <v>362</v>
      </c>
      <c r="B434" s="4" t="s">
        <v>906</v>
      </c>
      <c r="C434" s="131" t="s">
        <v>1486</v>
      </c>
      <c r="D434" s="132"/>
      <c r="E434" s="132"/>
      <c r="F434" s="4" t="s">
        <v>1665</v>
      </c>
      <c r="G434" s="68">
        <v>1</v>
      </c>
      <c r="H434" s="162">
        <v>0</v>
      </c>
      <c r="I434" s="16">
        <f t="shared" si="460"/>
        <v>0</v>
      </c>
      <c r="J434" s="16">
        <f t="shared" si="461"/>
        <v>0</v>
      </c>
      <c r="K434" s="16">
        <f t="shared" si="462"/>
        <v>0</v>
      </c>
      <c r="L434" s="27" t="s">
        <v>1692</v>
      </c>
      <c r="Z434" s="33">
        <f t="shared" si="463"/>
        <v>0</v>
      </c>
      <c r="AB434" s="33">
        <f t="shared" si="464"/>
        <v>0</v>
      </c>
      <c r="AC434" s="33">
        <f t="shared" si="465"/>
        <v>0</v>
      </c>
      <c r="AD434" s="33">
        <f t="shared" si="466"/>
        <v>0</v>
      </c>
      <c r="AE434" s="33">
        <f t="shared" si="467"/>
        <v>0</v>
      </c>
      <c r="AF434" s="33">
        <f t="shared" si="468"/>
        <v>0</v>
      </c>
      <c r="AG434" s="33">
        <f t="shared" si="469"/>
        <v>0</v>
      </c>
      <c r="AH434" s="33">
        <f t="shared" si="470"/>
        <v>0</v>
      </c>
      <c r="AI434" s="28"/>
      <c r="AJ434" s="16">
        <f t="shared" si="471"/>
        <v>0</v>
      </c>
      <c r="AK434" s="16">
        <f t="shared" si="472"/>
        <v>0</v>
      </c>
      <c r="AL434" s="16">
        <f t="shared" si="473"/>
        <v>0</v>
      </c>
      <c r="AN434" s="33">
        <v>21</v>
      </c>
      <c r="AO434" s="33">
        <f t="shared" si="482"/>
        <v>0</v>
      </c>
      <c r="AP434" s="33">
        <f t="shared" si="483"/>
        <v>0</v>
      </c>
      <c r="AQ434" s="27" t="s">
        <v>13</v>
      </c>
      <c r="AV434" s="33">
        <f t="shared" si="474"/>
        <v>0</v>
      </c>
      <c r="AW434" s="33">
        <f t="shared" si="475"/>
        <v>0</v>
      </c>
      <c r="AX434" s="33">
        <f t="shared" si="476"/>
        <v>0</v>
      </c>
      <c r="AY434" s="34" t="s">
        <v>1732</v>
      </c>
      <c r="AZ434" s="34" t="s">
        <v>1749</v>
      </c>
      <c r="BA434" s="28" t="s">
        <v>1752</v>
      </c>
      <c r="BC434" s="33">
        <f t="shared" si="477"/>
        <v>0</v>
      </c>
      <c r="BD434" s="33">
        <f t="shared" si="478"/>
        <v>0</v>
      </c>
      <c r="BE434" s="33">
        <v>0</v>
      </c>
      <c r="BF434" s="33">
        <f>434</f>
        <v>434</v>
      </c>
      <c r="BH434" s="16">
        <f t="shared" si="479"/>
        <v>0</v>
      </c>
      <c r="BI434" s="16">
        <f t="shared" si="480"/>
        <v>0</v>
      </c>
      <c r="BJ434" s="16">
        <f t="shared" si="481"/>
        <v>0</v>
      </c>
    </row>
    <row r="435" spans="1:62" x14ac:dyDescent="0.2">
      <c r="A435" s="4" t="s">
        <v>363</v>
      </c>
      <c r="B435" s="4" t="s">
        <v>907</v>
      </c>
      <c r="C435" s="131" t="s">
        <v>1487</v>
      </c>
      <c r="D435" s="132"/>
      <c r="E435" s="132"/>
      <c r="F435" s="4" t="s">
        <v>1665</v>
      </c>
      <c r="G435" s="68">
        <v>1</v>
      </c>
      <c r="H435" s="162">
        <v>0</v>
      </c>
      <c r="I435" s="16">
        <f t="shared" si="460"/>
        <v>0</v>
      </c>
      <c r="J435" s="16">
        <f t="shared" si="461"/>
        <v>0</v>
      </c>
      <c r="K435" s="16">
        <f t="shared" si="462"/>
        <v>0</v>
      </c>
      <c r="L435" s="27" t="s">
        <v>1692</v>
      </c>
      <c r="Z435" s="33">
        <f t="shared" si="463"/>
        <v>0</v>
      </c>
      <c r="AB435" s="33">
        <f t="shared" si="464"/>
        <v>0</v>
      </c>
      <c r="AC435" s="33">
        <f t="shared" si="465"/>
        <v>0</v>
      </c>
      <c r="AD435" s="33">
        <f t="shared" si="466"/>
        <v>0</v>
      </c>
      <c r="AE435" s="33">
        <f t="shared" si="467"/>
        <v>0</v>
      </c>
      <c r="AF435" s="33">
        <f t="shared" si="468"/>
        <v>0</v>
      </c>
      <c r="AG435" s="33">
        <f t="shared" si="469"/>
        <v>0</v>
      </c>
      <c r="AH435" s="33">
        <f t="shared" si="470"/>
        <v>0</v>
      </c>
      <c r="AI435" s="28"/>
      <c r="AJ435" s="16">
        <f t="shared" si="471"/>
        <v>0</v>
      </c>
      <c r="AK435" s="16">
        <f t="shared" si="472"/>
        <v>0</v>
      </c>
      <c r="AL435" s="16">
        <f t="shared" si="473"/>
        <v>0</v>
      </c>
      <c r="AN435" s="33">
        <v>21</v>
      </c>
      <c r="AO435" s="33">
        <f t="shared" si="482"/>
        <v>0</v>
      </c>
      <c r="AP435" s="33">
        <f t="shared" si="483"/>
        <v>0</v>
      </c>
      <c r="AQ435" s="27" t="s">
        <v>13</v>
      </c>
      <c r="AV435" s="33">
        <f t="shared" si="474"/>
        <v>0</v>
      </c>
      <c r="AW435" s="33">
        <f t="shared" si="475"/>
        <v>0</v>
      </c>
      <c r="AX435" s="33">
        <f t="shared" si="476"/>
        <v>0</v>
      </c>
      <c r="AY435" s="34" t="s">
        <v>1732</v>
      </c>
      <c r="AZ435" s="34" t="s">
        <v>1749</v>
      </c>
      <c r="BA435" s="28" t="s">
        <v>1752</v>
      </c>
      <c r="BC435" s="33">
        <f t="shared" si="477"/>
        <v>0</v>
      </c>
      <c r="BD435" s="33">
        <f t="shared" si="478"/>
        <v>0</v>
      </c>
      <c r="BE435" s="33">
        <v>0</v>
      </c>
      <c r="BF435" s="33">
        <f>435</f>
        <v>435</v>
      </c>
      <c r="BH435" s="16">
        <f t="shared" si="479"/>
        <v>0</v>
      </c>
      <c r="BI435" s="16">
        <f t="shared" si="480"/>
        <v>0</v>
      </c>
      <c r="BJ435" s="16">
        <f t="shared" si="481"/>
        <v>0</v>
      </c>
    </row>
    <row r="436" spans="1:62" x14ac:dyDescent="0.2">
      <c r="A436" s="4" t="s">
        <v>364</v>
      </c>
      <c r="B436" s="4" t="s">
        <v>908</v>
      </c>
      <c r="C436" s="131" t="s">
        <v>1488</v>
      </c>
      <c r="D436" s="132"/>
      <c r="E436" s="132"/>
      <c r="F436" s="4" t="s">
        <v>1665</v>
      </c>
      <c r="G436" s="68">
        <v>2</v>
      </c>
      <c r="H436" s="162">
        <v>0</v>
      </c>
      <c r="I436" s="16">
        <f t="shared" si="460"/>
        <v>0</v>
      </c>
      <c r="J436" s="16">
        <f t="shared" si="461"/>
        <v>0</v>
      </c>
      <c r="K436" s="16">
        <f t="shared" si="462"/>
        <v>0</v>
      </c>
      <c r="L436" s="27" t="s">
        <v>1692</v>
      </c>
      <c r="Z436" s="33">
        <f t="shared" si="463"/>
        <v>0</v>
      </c>
      <c r="AB436" s="33">
        <f t="shared" si="464"/>
        <v>0</v>
      </c>
      <c r="AC436" s="33">
        <f t="shared" si="465"/>
        <v>0</v>
      </c>
      <c r="AD436" s="33">
        <f t="shared" si="466"/>
        <v>0</v>
      </c>
      <c r="AE436" s="33">
        <f t="shared" si="467"/>
        <v>0</v>
      </c>
      <c r="AF436" s="33">
        <f t="shared" si="468"/>
        <v>0</v>
      </c>
      <c r="AG436" s="33">
        <f t="shared" si="469"/>
        <v>0</v>
      </c>
      <c r="AH436" s="33">
        <f t="shared" si="470"/>
        <v>0</v>
      </c>
      <c r="AI436" s="28"/>
      <c r="AJ436" s="16">
        <f t="shared" si="471"/>
        <v>0</v>
      </c>
      <c r="AK436" s="16">
        <f t="shared" si="472"/>
        <v>0</v>
      </c>
      <c r="AL436" s="16">
        <f t="shared" si="473"/>
        <v>0</v>
      </c>
      <c r="AN436" s="33">
        <v>21</v>
      </c>
      <c r="AO436" s="33">
        <f t="shared" si="482"/>
        <v>0</v>
      </c>
      <c r="AP436" s="33">
        <f t="shared" si="483"/>
        <v>0</v>
      </c>
      <c r="AQ436" s="27" t="s">
        <v>13</v>
      </c>
      <c r="AV436" s="33">
        <f t="shared" si="474"/>
        <v>0</v>
      </c>
      <c r="AW436" s="33">
        <f t="shared" si="475"/>
        <v>0</v>
      </c>
      <c r="AX436" s="33">
        <f t="shared" si="476"/>
        <v>0</v>
      </c>
      <c r="AY436" s="34" t="s">
        <v>1732</v>
      </c>
      <c r="AZ436" s="34" t="s">
        <v>1749</v>
      </c>
      <c r="BA436" s="28" t="s">
        <v>1752</v>
      </c>
      <c r="BC436" s="33">
        <f t="shared" si="477"/>
        <v>0</v>
      </c>
      <c r="BD436" s="33">
        <f t="shared" si="478"/>
        <v>0</v>
      </c>
      <c r="BE436" s="33">
        <v>0</v>
      </c>
      <c r="BF436" s="33">
        <f>436</f>
        <v>436</v>
      </c>
      <c r="BH436" s="16">
        <f t="shared" si="479"/>
        <v>0</v>
      </c>
      <c r="BI436" s="16">
        <f t="shared" si="480"/>
        <v>0</v>
      </c>
      <c r="BJ436" s="16">
        <f t="shared" si="481"/>
        <v>0</v>
      </c>
    </row>
    <row r="437" spans="1:62" x14ac:dyDescent="0.2">
      <c r="A437" s="4" t="s">
        <v>365</v>
      </c>
      <c r="B437" s="4" t="s">
        <v>909</v>
      </c>
      <c r="C437" s="131" t="s">
        <v>1489</v>
      </c>
      <c r="D437" s="132"/>
      <c r="E437" s="132"/>
      <c r="F437" s="4" t="s">
        <v>1665</v>
      </c>
      <c r="G437" s="68">
        <v>2</v>
      </c>
      <c r="H437" s="162">
        <v>0</v>
      </c>
      <c r="I437" s="16">
        <f t="shared" si="460"/>
        <v>0</v>
      </c>
      <c r="J437" s="16">
        <f t="shared" si="461"/>
        <v>0</v>
      </c>
      <c r="K437" s="16">
        <f t="shared" si="462"/>
        <v>0</v>
      </c>
      <c r="L437" s="27" t="s">
        <v>1692</v>
      </c>
      <c r="Z437" s="33">
        <f t="shared" si="463"/>
        <v>0</v>
      </c>
      <c r="AB437" s="33">
        <f t="shared" si="464"/>
        <v>0</v>
      </c>
      <c r="AC437" s="33">
        <f t="shared" si="465"/>
        <v>0</v>
      </c>
      <c r="AD437" s="33">
        <f t="shared" si="466"/>
        <v>0</v>
      </c>
      <c r="AE437" s="33">
        <f t="shared" si="467"/>
        <v>0</v>
      </c>
      <c r="AF437" s="33">
        <f t="shared" si="468"/>
        <v>0</v>
      </c>
      <c r="AG437" s="33">
        <f t="shared" si="469"/>
        <v>0</v>
      </c>
      <c r="AH437" s="33">
        <f t="shared" si="470"/>
        <v>0</v>
      </c>
      <c r="AI437" s="28"/>
      <c r="AJ437" s="16">
        <f t="shared" si="471"/>
        <v>0</v>
      </c>
      <c r="AK437" s="16">
        <f t="shared" si="472"/>
        <v>0</v>
      </c>
      <c r="AL437" s="16">
        <f t="shared" si="473"/>
        <v>0</v>
      </c>
      <c r="AN437" s="33">
        <v>21</v>
      </c>
      <c r="AO437" s="33">
        <f t="shared" si="482"/>
        <v>0</v>
      </c>
      <c r="AP437" s="33">
        <f t="shared" si="483"/>
        <v>0</v>
      </c>
      <c r="AQ437" s="27" t="s">
        <v>13</v>
      </c>
      <c r="AV437" s="33">
        <f t="shared" si="474"/>
        <v>0</v>
      </c>
      <c r="AW437" s="33">
        <f t="shared" si="475"/>
        <v>0</v>
      </c>
      <c r="AX437" s="33">
        <f t="shared" si="476"/>
        <v>0</v>
      </c>
      <c r="AY437" s="34" t="s">
        <v>1732</v>
      </c>
      <c r="AZ437" s="34" t="s">
        <v>1749</v>
      </c>
      <c r="BA437" s="28" t="s">
        <v>1752</v>
      </c>
      <c r="BC437" s="33">
        <f t="shared" si="477"/>
        <v>0</v>
      </c>
      <c r="BD437" s="33">
        <f t="shared" si="478"/>
        <v>0</v>
      </c>
      <c r="BE437" s="33">
        <v>0</v>
      </c>
      <c r="BF437" s="33">
        <f>437</f>
        <v>437</v>
      </c>
      <c r="BH437" s="16">
        <f t="shared" si="479"/>
        <v>0</v>
      </c>
      <c r="BI437" s="16">
        <f t="shared" si="480"/>
        <v>0</v>
      </c>
      <c r="BJ437" s="16">
        <f t="shared" si="481"/>
        <v>0</v>
      </c>
    </row>
    <row r="438" spans="1:62" x14ac:dyDescent="0.2">
      <c r="A438" s="4" t="s">
        <v>366</v>
      </c>
      <c r="B438" s="4" t="s">
        <v>910</v>
      </c>
      <c r="C438" s="131" t="s">
        <v>1490</v>
      </c>
      <c r="D438" s="132"/>
      <c r="E438" s="132"/>
      <c r="F438" s="4" t="s">
        <v>1665</v>
      </c>
      <c r="G438" s="68">
        <v>3</v>
      </c>
      <c r="H438" s="162">
        <v>0</v>
      </c>
      <c r="I438" s="16">
        <f t="shared" si="460"/>
        <v>0</v>
      </c>
      <c r="J438" s="16">
        <f t="shared" si="461"/>
        <v>0</v>
      </c>
      <c r="K438" s="16">
        <f t="shared" si="462"/>
        <v>0</v>
      </c>
      <c r="L438" s="27" t="s">
        <v>1692</v>
      </c>
      <c r="Z438" s="33">
        <f t="shared" si="463"/>
        <v>0</v>
      </c>
      <c r="AB438" s="33">
        <f t="shared" si="464"/>
        <v>0</v>
      </c>
      <c r="AC438" s="33">
        <f t="shared" si="465"/>
        <v>0</v>
      </c>
      <c r="AD438" s="33">
        <f t="shared" si="466"/>
        <v>0</v>
      </c>
      <c r="AE438" s="33">
        <f t="shared" si="467"/>
        <v>0</v>
      </c>
      <c r="AF438" s="33">
        <f t="shared" si="468"/>
        <v>0</v>
      </c>
      <c r="AG438" s="33">
        <f t="shared" si="469"/>
        <v>0</v>
      </c>
      <c r="AH438" s="33">
        <f t="shared" si="470"/>
        <v>0</v>
      </c>
      <c r="AI438" s="28"/>
      <c r="AJ438" s="16">
        <f t="shared" si="471"/>
        <v>0</v>
      </c>
      <c r="AK438" s="16">
        <f t="shared" si="472"/>
        <v>0</v>
      </c>
      <c r="AL438" s="16">
        <f t="shared" si="473"/>
        <v>0</v>
      </c>
      <c r="AN438" s="33">
        <v>21</v>
      </c>
      <c r="AO438" s="33">
        <f t="shared" si="482"/>
        <v>0</v>
      </c>
      <c r="AP438" s="33">
        <f t="shared" si="483"/>
        <v>0</v>
      </c>
      <c r="AQ438" s="27" t="s">
        <v>13</v>
      </c>
      <c r="AV438" s="33">
        <f t="shared" si="474"/>
        <v>0</v>
      </c>
      <c r="AW438" s="33">
        <f t="shared" si="475"/>
        <v>0</v>
      </c>
      <c r="AX438" s="33">
        <f t="shared" si="476"/>
        <v>0</v>
      </c>
      <c r="AY438" s="34" t="s">
        <v>1732</v>
      </c>
      <c r="AZ438" s="34" t="s">
        <v>1749</v>
      </c>
      <c r="BA438" s="28" t="s">
        <v>1752</v>
      </c>
      <c r="BC438" s="33">
        <f t="shared" si="477"/>
        <v>0</v>
      </c>
      <c r="BD438" s="33">
        <f t="shared" si="478"/>
        <v>0</v>
      </c>
      <c r="BE438" s="33">
        <v>0</v>
      </c>
      <c r="BF438" s="33">
        <f>438</f>
        <v>438</v>
      </c>
      <c r="BH438" s="16">
        <f t="shared" si="479"/>
        <v>0</v>
      </c>
      <c r="BI438" s="16">
        <f t="shared" si="480"/>
        <v>0</v>
      </c>
      <c r="BJ438" s="16">
        <f t="shared" si="481"/>
        <v>0</v>
      </c>
    </row>
    <row r="439" spans="1:62" x14ac:dyDescent="0.2">
      <c r="A439" s="4" t="s">
        <v>367</v>
      </c>
      <c r="B439" s="4" t="s">
        <v>911</v>
      </c>
      <c r="C439" s="131" t="s">
        <v>1491</v>
      </c>
      <c r="D439" s="132"/>
      <c r="E439" s="132"/>
      <c r="F439" s="4" t="s">
        <v>1665</v>
      </c>
      <c r="G439" s="68">
        <v>10</v>
      </c>
      <c r="H439" s="162">
        <v>0</v>
      </c>
      <c r="I439" s="16">
        <f t="shared" si="460"/>
        <v>0</v>
      </c>
      <c r="J439" s="16">
        <f t="shared" si="461"/>
        <v>0</v>
      </c>
      <c r="K439" s="16">
        <f t="shared" si="462"/>
        <v>0</v>
      </c>
      <c r="L439" s="27" t="s">
        <v>1692</v>
      </c>
      <c r="Z439" s="33">
        <f t="shared" si="463"/>
        <v>0</v>
      </c>
      <c r="AB439" s="33">
        <f t="shared" si="464"/>
        <v>0</v>
      </c>
      <c r="AC439" s="33">
        <f t="shared" si="465"/>
        <v>0</v>
      </c>
      <c r="AD439" s="33">
        <f t="shared" si="466"/>
        <v>0</v>
      </c>
      <c r="AE439" s="33">
        <f t="shared" si="467"/>
        <v>0</v>
      </c>
      <c r="AF439" s="33">
        <f t="shared" si="468"/>
        <v>0</v>
      </c>
      <c r="AG439" s="33">
        <f t="shared" si="469"/>
        <v>0</v>
      </c>
      <c r="AH439" s="33">
        <f t="shared" si="470"/>
        <v>0</v>
      </c>
      <c r="AI439" s="28"/>
      <c r="AJ439" s="16">
        <f t="shared" si="471"/>
        <v>0</v>
      </c>
      <c r="AK439" s="16">
        <f t="shared" si="472"/>
        <v>0</v>
      </c>
      <c r="AL439" s="16">
        <f t="shared" si="473"/>
        <v>0</v>
      </c>
      <c r="AN439" s="33">
        <v>21</v>
      </c>
      <c r="AO439" s="33">
        <f>H439*0.59</f>
        <v>0</v>
      </c>
      <c r="AP439" s="33">
        <f>H439*(1-0.59)</f>
        <v>0</v>
      </c>
      <c r="AQ439" s="27" t="s">
        <v>13</v>
      </c>
      <c r="AV439" s="33">
        <f t="shared" si="474"/>
        <v>0</v>
      </c>
      <c r="AW439" s="33">
        <f t="shared" si="475"/>
        <v>0</v>
      </c>
      <c r="AX439" s="33">
        <f t="shared" si="476"/>
        <v>0</v>
      </c>
      <c r="AY439" s="34" t="s">
        <v>1732</v>
      </c>
      <c r="AZ439" s="34" t="s">
        <v>1749</v>
      </c>
      <c r="BA439" s="28" t="s">
        <v>1752</v>
      </c>
      <c r="BC439" s="33">
        <f t="shared" si="477"/>
        <v>0</v>
      </c>
      <c r="BD439" s="33">
        <f t="shared" si="478"/>
        <v>0</v>
      </c>
      <c r="BE439" s="33">
        <v>0</v>
      </c>
      <c r="BF439" s="33">
        <f>439</f>
        <v>439</v>
      </c>
      <c r="BH439" s="16">
        <f t="shared" si="479"/>
        <v>0</v>
      </c>
      <c r="BI439" s="16">
        <f t="shared" si="480"/>
        <v>0</v>
      </c>
      <c r="BJ439" s="16">
        <f t="shared" si="481"/>
        <v>0</v>
      </c>
    </row>
    <row r="440" spans="1:62" x14ac:dyDescent="0.2">
      <c r="A440" s="4" t="s">
        <v>368</v>
      </c>
      <c r="B440" s="4" t="s">
        <v>912</v>
      </c>
      <c r="C440" s="131" t="s">
        <v>1492</v>
      </c>
      <c r="D440" s="132"/>
      <c r="E440" s="132"/>
      <c r="F440" s="4" t="s">
        <v>1665</v>
      </c>
      <c r="G440" s="68">
        <v>2</v>
      </c>
      <c r="H440" s="162">
        <v>0</v>
      </c>
      <c r="I440" s="16">
        <f t="shared" si="460"/>
        <v>0</v>
      </c>
      <c r="J440" s="16">
        <f t="shared" si="461"/>
        <v>0</v>
      </c>
      <c r="K440" s="16">
        <f t="shared" si="462"/>
        <v>0</v>
      </c>
      <c r="L440" s="27" t="s">
        <v>1692</v>
      </c>
      <c r="Z440" s="33">
        <f t="shared" si="463"/>
        <v>0</v>
      </c>
      <c r="AB440" s="33">
        <f t="shared" si="464"/>
        <v>0</v>
      </c>
      <c r="AC440" s="33">
        <f t="shared" si="465"/>
        <v>0</v>
      </c>
      <c r="AD440" s="33">
        <f t="shared" si="466"/>
        <v>0</v>
      </c>
      <c r="AE440" s="33">
        <f t="shared" si="467"/>
        <v>0</v>
      </c>
      <c r="AF440" s="33">
        <f t="shared" si="468"/>
        <v>0</v>
      </c>
      <c r="AG440" s="33">
        <f t="shared" si="469"/>
        <v>0</v>
      </c>
      <c r="AH440" s="33">
        <f t="shared" si="470"/>
        <v>0</v>
      </c>
      <c r="AI440" s="28"/>
      <c r="AJ440" s="16">
        <f t="shared" si="471"/>
        <v>0</v>
      </c>
      <c r="AK440" s="16">
        <f t="shared" si="472"/>
        <v>0</v>
      </c>
      <c r="AL440" s="16">
        <f t="shared" si="473"/>
        <v>0</v>
      </c>
      <c r="AN440" s="33">
        <v>21</v>
      </c>
      <c r="AO440" s="33">
        <f>H440*0.59</f>
        <v>0</v>
      </c>
      <c r="AP440" s="33">
        <f>H440*(1-0.59)</f>
        <v>0</v>
      </c>
      <c r="AQ440" s="27" t="s">
        <v>13</v>
      </c>
      <c r="AV440" s="33">
        <f t="shared" si="474"/>
        <v>0</v>
      </c>
      <c r="AW440" s="33">
        <f t="shared" si="475"/>
        <v>0</v>
      </c>
      <c r="AX440" s="33">
        <f t="shared" si="476"/>
        <v>0</v>
      </c>
      <c r="AY440" s="34" t="s">
        <v>1732</v>
      </c>
      <c r="AZ440" s="34" t="s">
        <v>1749</v>
      </c>
      <c r="BA440" s="28" t="s">
        <v>1752</v>
      </c>
      <c r="BC440" s="33">
        <f t="shared" si="477"/>
        <v>0</v>
      </c>
      <c r="BD440" s="33">
        <f t="shared" si="478"/>
        <v>0</v>
      </c>
      <c r="BE440" s="33">
        <v>0</v>
      </c>
      <c r="BF440" s="33">
        <f>440</f>
        <v>440</v>
      </c>
      <c r="BH440" s="16">
        <f t="shared" si="479"/>
        <v>0</v>
      </c>
      <c r="BI440" s="16">
        <f t="shared" si="480"/>
        <v>0</v>
      </c>
      <c r="BJ440" s="16">
        <f t="shared" si="481"/>
        <v>0</v>
      </c>
    </row>
    <row r="441" spans="1:62" x14ac:dyDescent="0.2">
      <c r="A441" s="4" t="s">
        <v>369</v>
      </c>
      <c r="B441" s="4" t="s">
        <v>913</v>
      </c>
      <c r="C441" s="131" t="s">
        <v>1493</v>
      </c>
      <c r="D441" s="132"/>
      <c r="E441" s="132"/>
      <c r="F441" s="4" t="s">
        <v>1665</v>
      </c>
      <c r="G441" s="68">
        <v>1</v>
      </c>
      <c r="H441" s="162">
        <v>0</v>
      </c>
      <c r="I441" s="16">
        <f t="shared" si="460"/>
        <v>0</v>
      </c>
      <c r="J441" s="16">
        <f t="shared" si="461"/>
        <v>0</v>
      </c>
      <c r="K441" s="16">
        <f t="shared" si="462"/>
        <v>0</v>
      </c>
      <c r="L441" s="27" t="s">
        <v>1692</v>
      </c>
      <c r="Z441" s="33">
        <f t="shared" si="463"/>
        <v>0</v>
      </c>
      <c r="AB441" s="33">
        <f t="shared" si="464"/>
        <v>0</v>
      </c>
      <c r="AC441" s="33">
        <f t="shared" si="465"/>
        <v>0</v>
      </c>
      <c r="AD441" s="33">
        <f t="shared" si="466"/>
        <v>0</v>
      </c>
      <c r="AE441" s="33">
        <f t="shared" si="467"/>
        <v>0</v>
      </c>
      <c r="AF441" s="33">
        <f t="shared" si="468"/>
        <v>0</v>
      </c>
      <c r="AG441" s="33">
        <f t="shared" si="469"/>
        <v>0</v>
      </c>
      <c r="AH441" s="33">
        <f t="shared" si="470"/>
        <v>0</v>
      </c>
      <c r="AI441" s="28"/>
      <c r="AJ441" s="16">
        <f t="shared" si="471"/>
        <v>0</v>
      </c>
      <c r="AK441" s="16">
        <f t="shared" si="472"/>
        <v>0</v>
      </c>
      <c r="AL441" s="16">
        <f t="shared" si="473"/>
        <v>0</v>
      </c>
      <c r="AN441" s="33">
        <v>21</v>
      </c>
      <c r="AO441" s="33">
        <f>H441*0.59</f>
        <v>0</v>
      </c>
      <c r="AP441" s="33">
        <f>H441*(1-0.59)</f>
        <v>0</v>
      </c>
      <c r="AQ441" s="27" t="s">
        <v>13</v>
      </c>
      <c r="AV441" s="33">
        <f t="shared" si="474"/>
        <v>0</v>
      </c>
      <c r="AW441" s="33">
        <f t="shared" si="475"/>
        <v>0</v>
      </c>
      <c r="AX441" s="33">
        <f t="shared" si="476"/>
        <v>0</v>
      </c>
      <c r="AY441" s="34" t="s">
        <v>1732</v>
      </c>
      <c r="AZ441" s="34" t="s">
        <v>1749</v>
      </c>
      <c r="BA441" s="28" t="s">
        <v>1752</v>
      </c>
      <c r="BC441" s="33">
        <f t="shared" si="477"/>
        <v>0</v>
      </c>
      <c r="BD441" s="33">
        <f t="shared" si="478"/>
        <v>0</v>
      </c>
      <c r="BE441" s="33">
        <v>0</v>
      </c>
      <c r="BF441" s="33">
        <f>441</f>
        <v>441</v>
      </c>
      <c r="BH441" s="16">
        <f t="shared" si="479"/>
        <v>0</v>
      </c>
      <c r="BI441" s="16">
        <f t="shared" si="480"/>
        <v>0</v>
      </c>
      <c r="BJ441" s="16">
        <f t="shared" si="481"/>
        <v>0</v>
      </c>
    </row>
    <row r="442" spans="1:62" x14ac:dyDescent="0.2">
      <c r="A442" s="4" t="s">
        <v>370</v>
      </c>
      <c r="B442" s="4" t="s">
        <v>914</v>
      </c>
      <c r="C442" s="131" t="s">
        <v>1494</v>
      </c>
      <c r="D442" s="132"/>
      <c r="E442" s="132"/>
      <c r="F442" s="4" t="s">
        <v>1665</v>
      </c>
      <c r="G442" s="68">
        <v>13</v>
      </c>
      <c r="H442" s="162">
        <v>0</v>
      </c>
      <c r="I442" s="16">
        <f t="shared" si="460"/>
        <v>0</v>
      </c>
      <c r="J442" s="16">
        <f t="shared" si="461"/>
        <v>0</v>
      </c>
      <c r="K442" s="16">
        <f t="shared" si="462"/>
        <v>0</v>
      </c>
      <c r="L442" s="27" t="s">
        <v>1692</v>
      </c>
      <c r="Z442" s="33">
        <f t="shared" si="463"/>
        <v>0</v>
      </c>
      <c r="AB442" s="33">
        <f t="shared" si="464"/>
        <v>0</v>
      </c>
      <c r="AC442" s="33">
        <f t="shared" si="465"/>
        <v>0</v>
      </c>
      <c r="AD442" s="33">
        <f t="shared" si="466"/>
        <v>0</v>
      </c>
      <c r="AE442" s="33">
        <f t="shared" si="467"/>
        <v>0</v>
      </c>
      <c r="AF442" s="33">
        <f t="shared" si="468"/>
        <v>0</v>
      </c>
      <c r="AG442" s="33">
        <f t="shared" si="469"/>
        <v>0</v>
      </c>
      <c r="AH442" s="33">
        <f t="shared" si="470"/>
        <v>0</v>
      </c>
      <c r="AI442" s="28"/>
      <c r="AJ442" s="16">
        <f t="shared" si="471"/>
        <v>0</v>
      </c>
      <c r="AK442" s="16">
        <f t="shared" si="472"/>
        <v>0</v>
      </c>
      <c r="AL442" s="16">
        <f t="shared" si="473"/>
        <v>0</v>
      </c>
      <c r="AN442" s="33">
        <v>21</v>
      </c>
      <c r="AO442" s="33">
        <f>H442*0</f>
        <v>0</v>
      </c>
      <c r="AP442" s="33">
        <f>H442*(1-0)</f>
        <v>0</v>
      </c>
      <c r="AQ442" s="27" t="s">
        <v>13</v>
      </c>
      <c r="AV442" s="33">
        <f t="shared" si="474"/>
        <v>0</v>
      </c>
      <c r="AW442" s="33">
        <f t="shared" si="475"/>
        <v>0</v>
      </c>
      <c r="AX442" s="33">
        <f t="shared" si="476"/>
        <v>0</v>
      </c>
      <c r="AY442" s="34" t="s">
        <v>1732</v>
      </c>
      <c r="AZ442" s="34" t="s">
        <v>1749</v>
      </c>
      <c r="BA442" s="28" t="s">
        <v>1752</v>
      </c>
      <c r="BC442" s="33">
        <f t="shared" si="477"/>
        <v>0</v>
      </c>
      <c r="BD442" s="33">
        <f t="shared" si="478"/>
        <v>0</v>
      </c>
      <c r="BE442" s="33">
        <v>0</v>
      </c>
      <c r="BF442" s="33">
        <f>442</f>
        <v>442</v>
      </c>
      <c r="BH442" s="16">
        <f t="shared" si="479"/>
        <v>0</v>
      </c>
      <c r="BI442" s="16">
        <f t="shared" si="480"/>
        <v>0</v>
      </c>
      <c r="BJ442" s="16">
        <f t="shared" si="481"/>
        <v>0</v>
      </c>
    </row>
    <row r="443" spans="1:62" x14ac:dyDescent="0.2">
      <c r="A443" s="4" t="s">
        <v>371</v>
      </c>
      <c r="B443" s="4" t="s">
        <v>915</v>
      </c>
      <c r="C443" s="131" t="s">
        <v>1495</v>
      </c>
      <c r="D443" s="132"/>
      <c r="E443" s="132"/>
      <c r="F443" s="4" t="s">
        <v>1665</v>
      </c>
      <c r="G443" s="68">
        <v>1</v>
      </c>
      <c r="H443" s="162">
        <v>0</v>
      </c>
      <c r="I443" s="16">
        <f t="shared" si="460"/>
        <v>0</v>
      </c>
      <c r="J443" s="16">
        <f t="shared" si="461"/>
        <v>0</v>
      </c>
      <c r="K443" s="16">
        <f t="shared" si="462"/>
        <v>0</v>
      </c>
      <c r="L443" s="27" t="s">
        <v>1692</v>
      </c>
      <c r="Z443" s="33">
        <f t="shared" si="463"/>
        <v>0</v>
      </c>
      <c r="AB443" s="33">
        <f t="shared" si="464"/>
        <v>0</v>
      </c>
      <c r="AC443" s="33">
        <f t="shared" si="465"/>
        <v>0</v>
      </c>
      <c r="AD443" s="33">
        <f t="shared" si="466"/>
        <v>0</v>
      </c>
      <c r="AE443" s="33">
        <f t="shared" si="467"/>
        <v>0</v>
      </c>
      <c r="AF443" s="33">
        <f t="shared" si="468"/>
        <v>0</v>
      </c>
      <c r="AG443" s="33">
        <f t="shared" si="469"/>
        <v>0</v>
      </c>
      <c r="AH443" s="33">
        <f t="shared" si="470"/>
        <v>0</v>
      </c>
      <c r="AI443" s="28"/>
      <c r="AJ443" s="16">
        <f t="shared" si="471"/>
        <v>0</v>
      </c>
      <c r="AK443" s="16">
        <f t="shared" si="472"/>
        <v>0</v>
      </c>
      <c r="AL443" s="16">
        <f t="shared" si="473"/>
        <v>0</v>
      </c>
      <c r="AN443" s="33">
        <v>21</v>
      </c>
      <c r="AO443" s="33">
        <f>H443*0.59</f>
        <v>0</v>
      </c>
      <c r="AP443" s="33">
        <f>H443*(1-0.59)</f>
        <v>0</v>
      </c>
      <c r="AQ443" s="27" t="s">
        <v>13</v>
      </c>
      <c r="AV443" s="33">
        <f t="shared" si="474"/>
        <v>0</v>
      </c>
      <c r="AW443" s="33">
        <f t="shared" si="475"/>
        <v>0</v>
      </c>
      <c r="AX443" s="33">
        <f t="shared" si="476"/>
        <v>0</v>
      </c>
      <c r="AY443" s="34" t="s">
        <v>1732</v>
      </c>
      <c r="AZ443" s="34" t="s">
        <v>1749</v>
      </c>
      <c r="BA443" s="28" t="s">
        <v>1752</v>
      </c>
      <c r="BC443" s="33">
        <f t="shared" si="477"/>
        <v>0</v>
      </c>
      <c r="BD443" s="33">
        <f t="shared" si="478"/>
        <v>0</v>
      </c>
      <c r="BE443" s="33">
        <v>0</v>
      </c>
      <c r="BF443" s="33">
        <f>443</f>
        <v>443</v>
      </c>
      <c r="BH443" s="16">
        <f t="shared" si="479"/>
        <v>0</v>
      </c>
      <c r="BI443" s="16">
        <f t="shared" si="480"/>
        <v>0</v>
      </c>
      <c r="BJ443" s="16">
        <f t="shared" si="481"/>
        <v>0</v>
      </c>
    </row>
    <row r="444" spans="1:62" x14ac:dyDescent="0.2">
      <c r="A444" s="4" t="s">
        <v>372</v>
      </c>
      <c r="B444" s="4" t="s">
        <v>916</v>
      </c>
      <c r="C444" s="131" t="s">
        <v>1496</v>
      </c>
      <c r="D444" s="132"/>
      <c r="E444" s="132"/>
      <c r="F444" s="4" t="s">
        <v>1665</v>
      </c>
      <c r="G444" s="68">
        <v>5</v>
      </c>
      <c r="H444" s="162">
        <v>0</v>
      </c>
      <c r="I444" s="16">
        <f t="shared" si="460"/>
        <v>0</v>
      </c>
      <c r="J444" s="16">
        <f t="shared" si="461"/>
        <v>0</v>
      </c>
      <c r="K444" s="16">
        <f t="shared" si="462"/>
        <v>0</v>
      </c>
      <c r="L444" s="27" t="s">
        <v>1692</v>
      </c>
      <c r="Z444" s="33">
        <f t="shared" si="463"/>
        <v>0</v>
      </c>
      <c r="AB444" s="33">
        <f t="shared" si="464"/>
        <v>0</v>
      </c>
      <c r="AC444" s="33">
        <f t="shared" si="465"/>
        <v>0</v>
      </c>
      <c r="AD444" s="33">
        <f t="shared" si="466"/>
        <v>0</v>
      </c>
      <c r="AE444" s="33">
        <f t="shared" si="467"/>
        <v>0</v>
      </c>
      <c r="AF444" s="33">
        <f t="shared" si="468"/>
        <v>0</v>
      </c>
      <c r="AG444" s="33">
        <f t="shared" si="469"/>
        <v>0</v>
      </c>
      <c r="AH444" s="33">
        <f t="shared" si="470"/>
        <v>0</v>
      </c>
      <c r="AI444" s="28"/>
      <c r="AJ444" s="16">
        <f t="shared" si="471"/>
        <v>0</v>
      </c>
      <c r="AK444" s="16">
        <f t="shared" si="472"/>
        <v>0</v>
      </c>
      <c r="AL444" s="16">
        <f t="shared" si="473"/>
        <v>0</v>
      </c>
      <c r="AN444" s="33">
        <v>21</v>
      </c>
      <c r="AO444" s="33">
        <f>H444*0.0948441629955947</f>
        <v>0</v>
      </c>
      <c r="AP444" s="33">
        <f>H444*(1-0.0948441629955947)</f>
        <v>0</v>
      </c>
      <c r="AQ444" s="27" t="s">
        <v>13</v>
      </c>
      <c r="AV444" s="33">
        <f t="shared" si="474"/>
        <v>0</v>
      </c>
      <c r="AW444" s="33">
        <f t="shared" si="475"/>
        <v>0</v>
      </c>
      <c r="AX444" s="33">
        <f t="shared" si="476"/>
        <v>0</v>
      </c>
      <c r="AY444" s="34" t="s">
        <v>1732</v>
      </c>
      <c r="AZ444" s="34" t="s">
        <v>1749</v>
      </c>
      <c r="BA444" s="28" t="s">
        <v>1752</v>
      </c>
      <c r="BC444" s="33">
        <f t="shared" si="477"/>
        <v>0</v>
      </c>
      <c r="BD444" s="33">
        <f t="shared" si="478"/>
        <v>0</v>
      </c>
      <c r="BE444" s="33">
        <v>0</v>
      </c>
      <c r="BF444" s="33">
        <f>444</f>
        <v>444</v>
      </c>
      <c r="BH444" s="16">
        <f t="shared" si="479"/>
        <v>0</v>
      </c>
      <c r="BI444" s="16">
        <f t="shared" si="480"/>
        <v>0</v>
      </c>
      <c r="BJ444" s="16">
        <f t="shared" si="481"/>
        <v>0</v>
      </c>
    </row>
    <row r="445" spans="1:62" x14ac:dyDescent="0.2">
      <c r="A445" s="4" t="s">
        <v>373</v>
      </c>
      <c r="B445" s="4" t="s">
        <v>917</v>
      </c>
      <c r="C445" s="131" t="s">
        <v>1497</v>
      </c>
      <c r="D445" s="132"/>
      <c r="E445" s="132"/>
      <c r="F445" s="4" t="s">
        <v>1672</v>
      </c>
      <c r="G445" s="68">
        <v>120</v>
      </c>
      <c r="H445" s="162">
        <v>0</v>
      </c>
      <c r="I445" s="16">
        <f t="shared" si="460"/>
        <v>0</v>
      </c>
      <c r="J445" s="16">
        <f t="shared" si="461"/>
        <v>0</v>
      </c>
      <c r="K445" s="16">
        <f t="shared" si="462"/>
        <v>0</v>
      </c>
      <c r="L445" s="27" t="s">
        <v>1692</v>
      </c>
      <c r="Z445" s="33">
        <f t="shared" si="463"/>
        <v>0</v>
      </c>
      <c r="AB445" s="33">
        <f t="shared" si="464"/>
        <v>0</v>
      </c>
      <c r="AC445" s="33">
        <f t="shared" si="465"/>
        <v>0</v>
      </c>
      <c r="AD445" s="33">
        <f t="shared" si="466"/>
        <v>0</v>
      </c>
      <c r="AE445" s="33">
        <f t="shared" si="467"/>
        <v>0</v>
      </c>
      <c r="AF445" s="33">
        <f t="shared" si="468"/>
        <v>0</v>
      </c>
      <c r="AG445" s="33">
        <f t="shared" si="469"/>
        <v>0</v>
      </c>
      <c r="AH445" s="33">
        <f t="shared" si="470"/>
        <v>0</v>
      </c>
      <c r="AI445" s="28"/>
      <c r="AJ445" s="16">
        <f t="shared" si="471"/>
        <v>0</v>
      </c>
      <c r="AK445" s="16">
        <f t="shared" si="472"/>
        <v>0</v>
      </c>
      <c r="AL445" s="16">
        <f t="shared" si="473"/>
        <v>0</v>
      </c>
      <c r="AN445" s="33">
        <v>21</v>
      </c>
      <c r="AO445" s="33">
        <f>H445*0.0948559670781893</f>
        <v>0</v>
      </c>
      <c r="AP445" s="33">
        <f>H445*(1-0.0948559670781893)</f>
        <v>0</v>
      </c>
      <c r="AQ445" s="27" t="s">
        <v>13</v>
      </c>
      <c r="AV445" s="33">
        <f t="shared" si="474"/>
        <v>0</v>
      </c>
      <c r="AW445" s="33">
        <f t="shared" si="475"/>
        <v>0</v>
      </c>
      <c r="AX445" s="33">
        <f t="shared" si="476"/>
        <v>0</v>
      </c>
      <c r="AY445" s="34" t="s">
        <v>1732</v>
      </c>
      <c r="AZ445" s="34" t="s">
        <v>1749</v>
      </c>
      <c r="BA445" s="28" t="s">
        <v>1752</v>
      </c>
      <c r="BC445" s="33">
        <f t="shared" si="477"/>
        <v>0</v>
      </c>
      <c r="BD445" s="33">
        <f t="shared" si="478"/>
        <v>0</v>
      </c>
      <c r="BE445" s="33">
        <v>0</v>
      </c>
      <c r="BF445" s="33">
        <f>445</f>
        <v>445</v>
      </c>
      <c r="BH445" s="16">
        <f t="shared" si="479"/>
        <v>0</v>
      </c>
      <c r="BI445" s="16">
        <f t="shared" si="480"/>
        <v>0</v>
      </c>
      <c r="BJ445" s="16">
        <f t="shared" si="481"/>
        <v>0</v>
      </c>
    </row>
    <row r="446" spans="1:62" x14ac:dyDescent="0.2">
      <c r="A446" s="4" t="s">
        <v>374</v>
      </c>
      <c r="B446" s="4" t="s">
        <v>918</v>
      </c>
      <c r="C446" s="131" t="s">
        <v>1498</v>
      </c>
      <c r="D446" s="132"/>
      <c r="E446" s="132"/>
      <c r="F446" s="4" t="s">
        <v>1665</v>
      </c>
      <c r="G446" s="68">
        <v>2</v>
      </c>
      <c r="H446" s="162">
        <v>0</v>
      </c>
      <c r="I446" s="16">
        <f t="shared" si="460"/>
        <v>0</v>
      </c>
      <c r="J446" s="16">
        <f t="shared" si="461"/>
        <v>0</v>
      </c>
      <c r="K446" s="16">
        <f t="shared" si="462"/>
        <v>0</v>
      </c>
      <c r="L446" s="27" t="s">
        <v>1692</v>
      </c>
      <c r="Z446" s="33">
        <f t="shared" si="463"/>
        <v>0</v>
      </c>
      <c r="AB446" s="33">
        <f t="shared" si="464"/>
        <v>0</v>
      </c>
      <c r="AC446" s="33">
        <f t="shared" si="465"/>
        <v>0</v>
      </c>
      <c r="AD446" s="33">
        <f t="shared" si="466"/>
        <v>0</v>
      </c>
      <c r="AE446" s="33">
        <f t="shared" si="467"/>
        <v>0</v>
      </c>
      <c r="AF446" s="33">
        <f t="shared" si="468"/>
        <v>0</v>
      </c>
      <c r="AG446" s="33">
        <f t="shared" si="469"/>
        <v>0</v>
      </c>
      <c r="AH446" s="33">
        <f t="shared" si="470"/>
        <v>0</v>
      </c>
      <c r="AI446" s="28"/>
      <c r="AJ446" s="16">
        <f t="shared" si="471"/>
        <v>0</v>
      </c>
      <c r="AK446" s="16">
        <f t="shared" si="472"/>
        <v>0</v>
      </c>
      <c r="AL446" s="16">
        <f t="shared" si="473"/>
        <v>0</v>
      </c>
      <c r="AN446" s="33">
        <v>21</v>
      </c>
      <c r="AO446" s="33">
        <f>H446*0.59</f>
        <v>0</v>
      </c>
      <c r="AP446" s="33">
        <f>H446*(1-0.59)</f>
        <v>0</v>
      </c>
      <c r="AQ446" s="27" t="s">
        <v>13</v>
      </c>
      <c r="AV446" s="33">
        <f t="shared" si="474"/>
        <v>0</v>
      </c>
      <c r="AW446" s="33">
        <f t="shared" si="475"/>
        <v>0</v>
      </c>
      <c r="AX446" s="33">
        <f t="shared" si="476"/>
        <v>0</v>
      </c>
      <c r="AY446" s="34" t="s">
        <v>1732</v>
      </c>
      <c r="AZ446" s="34" t="s">
        <v>1749</v>
      </c>
      <c r="BA446" s="28" t="s">
        <v>1752</v>
      </c>
      <c r="BC446" s="33">
        <f t="shared" si="477"/>
        <v>0</v>
      </c>
      <c r="BD446" s="33">
        <f t="shared" si="478"/>
        <v>0</v>
      </c>
      <c r="BE446" s="33">
        <v>0</v>
      </c>
      <c r="BF446" s="33">
        <f>446</f>
        <v>446</v>
      </c>
      <c r="BH446" s="16">
        <f t="shared" si="479"/>
        <v>0</v>
      </c>
      <c r="BI446" s="16">
        <f t="shared" si="480"/>
        <v>0</v>
      </c>
      <c r="BJ446" s="16">
        <f t="shared" si="481"/>
        <v>0</v>
      </c>
    </row>
    <row r="447" spans="1:62" x14ac:dyDescent="0.2">
      <c r="A447" s="4" t="s">
        <v>375</v>
      </c>
      <c r="B447" s="4" t="s">
        <v>918</v>
      </c>
      <c r="C447" s="131" t="s">
        <v>1499</v>
      </c>
      <c r="D447" s="132"/>
      <c r="E447" s="132"/>
      <c r="F447" s="4" t="s">
        <v>1665</v>
      </c>
      <c r="G447" s="68">
        <v>1</v>
      </c>
      <c r="H447" s="162">
        <v>0</v>
      </c>
      <c r="I447" s="16">
        <f t="shared" si="460"/>
        <v>0</v>
      </c>
      <c r="J447" s="16">
        <f t="shared" si="461"/>
        <v>0</v>
      </c>
      <c r="K447" s="16">
        <f t="shared" si="462"/>
        <v>0</v>
      </c>
      <c r="L447" s="27" t="s">
        <v>1692</v>
      </c>
      <c r="Z447" s="33">
        <f t="shared" si="463"/>
        <v>0</v>
      </c>
      <c r="AB447" s="33">
        <f t="shared" si="464"/>
        <v>0</v>
      </c>
      <c r="AC447" s="33">
        <f t="shared" si="465"/>
        <v>0</v>
      </c>
      <c r="AD447" s="33">
        <f t="shared" si="466"/>
        <v>0</v>
      </c>
      <c r="AE447" s="33">
        <f t="shared" si="467"/>
        <v>0</v>
      </c>
      <c r="AF447" s="33">
        <f t="shared" si="468"/>
        <v>0</v>
      </c>
      <c r="AG447" s="33">
        <f t="shared" si="469"/>
        <v>0</v>
      </c>
      <c r="AH447" s="33">
        <f t="shared" si="470"/>
        <v>0</v>
      </c>
      <c r="AI447" s="28"/>
      <c r="AJ447" s="16">
        <f t="shared" si="471"/>
        <v>0</v>
      </c>
      <c r="AK447" s="16">
        <f t="shared" si="472"/>
        <v>0</v>
      </c>
      <c r="AL447" s="16">
        <f t="shared" si="473"/>
        <v>0</v>
      </c>
      <c r="AN447" s="33">
        <v>21</v>
      </c>
      <c r="AO447" s="33">
        <f>H447*0.59</f>
        <v>0</v>
      </c>
      <c r="AP447" s="33">
        <f>H447*(1-0.59)</f>
        <v>0</v>
      </c>
      <c r="AQ447" s="27" t="s">
        <v>13</v>
      </c>
      <c r="AV447" s="33">
        <f t="shared" si="474"/>
        <v>0</v>
      </c>
      <c r="AW447" s="33">
        <f t="shared" si="475"/>
        <v>0</v>
      </c>
      <c r="AX447" s="33">
        <f t="shared" si="476"/>
        <v>0</v>
      </c>
      <c r="AY447" s="34" t="s">
        <v>1732</v>
      </c>
      <c r="AZ447" s="34" t="s">
        <v>1749</v>
      </c>
      <c r="BA447" s="28" t="s">
        <v>1752</v>
      </c>
      <c r="BC447" s="33">
        <f t="shared" si="477"/>
        <v>0</v>
      </c>
      <c r="BD447" s="33">
        <f t="shared" si="478"/>
        <v>0</v>
      </c>
      <c r="BE447" s="33">
        <v>0</v>
      </c>
      <c r="BF447" s="33">
        <f>447</f>
        <v>447</v>
      </c>
      <c r="BH447" s="16">
        <f t="shared" si="479"/>
        <v>0</v>
      </c>
      <c r="BI447" s="16">
        <f t="shared" si="480"/>
        <v>0</v>
      </c>
      <c r="BJ447" s="16">
        <f t="shared" si="481"/>
        <v>0</v>
      </c>
    </row>
    <row r="448" spans="1:62" x14ac:dyDescent="0.2">
      <c r="A448" s="4" t="s">
        <v>376</v>
      </c>
      <c r="B448" s="4" t="s">
        <v>919</v>
      </c>
      <c r="C448" s="131" t="s">
        <v>1500</v>
      </c>
      <c r="D448" s="132"/>
      <c r="E448" s="132"/>
      <c r="F448" s="4" t="s">
        <v>1664</v>
      </c>
      <c r="G448" s="68">
        <v>57.500999999999998</v>
      </c>
      <c r="H448" s="162">
        <v>0</v>
      </c>
      <c r="I448" s="16">
        <f t="shared" si="460"/>
        <v>0</v>
      </c>
      <c r="J448" s="16">
        <f t="shared" si="461"/>
        <v>0</v>
      </c>
      <c r="K448" s="16">
        <f t="shared" si="462"/>
        <v>0</v>
      </c>
      <c r="L448" s="27" t="s">
        <v>1692</v>
      </c>
      <c r="Z448" s="33">
        <f t="shared" si="463"/>
        <v>0</v>
      </c>
      <c r="AB448" s="33">
        <f t="shared" si="464"/>
        <v>0</v>
      </c>
      <c r="AC448" s="33">
        <f t="shared" si="465"/>
        <v>0</v>
      </c>
      <c r="AD448" s="33">
        <f t="shared" si="466"/>
        <v>0</v>
      </c>
      <c r="AE448" s="33">
        <f t="shared" si="467"/>
        <v>0</v>
      </c>
      <c r="AF448" s="33">
        <f t="shared" si="468"/>
        <v>0</v>
      </c>
      <c r="AG448" s="33">
        <f t="shared" si="469"/>
        <v>0</v>
      </c>
      <c r="AH448" s="33">
        <f t="shared" si="470"/>
        <v>0</v>
      </c>
      <c r="AI448" s="28"/>
      <c r="AJ448" s="16">
        <f t="shared" si="471"/>
        <v>0</v>
      </c>
      <c r="AK448" s="16">
        <f t="shared" si="472"/>
        <v>0</v>
      </c>
      <c r="AL448" s="16">
        <f t="shared" si="473"/>
        <v>0</v>
      </c>
      <c r="AN448" s="33">
        <v>21</v>
      </c>
      <c r="AO448" s="33">
        <f>H448*0</f>
        <v>0</v>
      </c>
      <c r="AP448" s="33">
        <f>H448*(1-0)</f>
        <v>0</v>
      </c>
      <c r="AQ448" s="27" t="s">
        <v>11</v>
      </c>
      <c r="AV448" s="33">
        <f t="shared" si="474"/>
        <v>0</v>
      </c>
      <c r="AW448" s="33">
        <f t="shared" si="475"/>
        <v>0</v>
      </c>
      <c r="AX448" s="33">
        <f t="shared" si="476"/>
        <v>0</v>
      </c>
      <c r="AY448" s="34" t="s">
        <v>1732</v>
      </c>
      <c r="AZ448" s="34" t="s">
        <v>1749</v>
      </c>
      <c r="BA448" s="28" t="s">
        <v>1752</v>
      </c>
      <c r="BC448" s="33">
        <f t="shared" si="477"/>
        <v>0</v>
      </c>
      <c r="BD448" s="33">
        <f t="shared" si="478"/>
        <v>0</v>
      </c>
      <c r="BE448" s="33">
        <v>0</v>
      </c>
      <c r="BF448" s="33">
        <f>448</f>
        <v>448</v>
      </c>
      <c r="BH448" s="16">
        <f t="shared" si="479"/>
        <v>0</v>
      </c>
      <c r="BI448" s="16">
        <f t="shared" si="480"/>
        <v>0</v>
      </c>
      <c r="BJ448" s="16">
        <f t="shared" si="481"/>
        <v>0</v>
      </c>
    </row>
    <row r="449" spans="1:62" x14ac:dyDescent="0.2">
      <c r="A449" s="5"/>
      <c r="B449" s="13" t="s">
        <v>920</v>
      </c>
      <c r="C449" s="136" t="s">
        <v>1501</v>
      </c>
      <c r="D449" s="137"/>
      <c r="E449" s="137"/>
      <c r="F449" s="5" t="s">
        <v>6</v>
      </c>
      <c r="G449" s="5" t="s">
        <v>6</v>
      </c>
      <c r="H449" s="163" t="s">
        <v>6</v>
      </c>
      <c r="I449" s="36">
        <f>SUM(I450:I458)</f>
        <v>0</v>
      </c>
      <c r="J449" s="36">
        <f>SUM(J450:J458)</f>
        <v>0</v>
      </c>
      <c r="K449" s="36">
        <f>SUM(K450:K458)</f>
        <v>0</v>
      </c>
      <c r="L449" s="28"/>
      <c r="AI449" s="28"/>
      <c r="AS449" s="36">
        <f>SUM(AJ450:AJ458)</f>
        <v>0</v>
      </c>
      <c r="AT449" s="36">
        <f>SUM(AK450:AK458)</f>
        <v>0</v>
      </c>
      <c r="AU449" s="36">
        <f>SUM(AL450:AL458)</f>
        <v>0</v>
      </c>
    </row>
    <row r="450" spans="1:62" x14ac:dyDescent="0.2">
      <c r="A450" s="4" t="s">
        <v>377</v>
      </c>
      <c r="B450" s="4" t="s">
        <v>921</v>
      </c>
      <c r="C450" s="131" t="s">
        <v>1502</v>
      </c>
      <c r="D450" s="132"/>
      <c r="E450" s="132"/>
      <c r="F450" s="4" t="s">
        <v>1663</v>
      </c>
      <c r="G450" s="68">
        <v>2.665</v>
      </c>
      <c r="H450" s="162">
        <v>0</v>
      </c>
      <c r="I450" s="16">
        <f t="shared" ref="I450:I458" si="484">G450*AO450</f>
        <v>0</v>
      </c>
      <c r="J450" s="16">
        <f t="shared" ref="J450:J458" si="485">G450*AP450</f>
        <v>0</v>
      </c>
      <c r="K450" s="16">
        <f t="shared" ref="K450:K458" si="486">G450*H450</f>
        <v>0</v>
      </c>
      <c r="L450" s="27" t="s">
        <v>1692</v>
      </c>
      <c r="Z450" s="33">
        <f t="shared" ref="Z450:Z458" si="487">IF(AQ450="5",BJ450,0)</f>
        <v>0</v>
      </c>
      <c r="AB450" s="33">
        <f t="shared" ref="AB450:AB458" si="488">IF(AQ450="1",BH450,0)</f>
        <v>0</v>
      </c>
      <c r="AC450" s="33">
        <f t="shared" ref="AC450:AC458" si="489">IF(AQ450="1",BI450,0)</f>
        <v>0</v>
      </c>
      <c r="AD450" s="33">
        <f t="shared" ref="AD450:AD458" si="490">IF(AQ450="7",BH450,0)</f>
        <v>0</v>
      </c>
      <c r="AE450" s="33">
        <f t="shared" ref="AE450:AE458" si="491">IF(AQ450="7",BI450,0)</f>
        <v>0</v>
      </c>
      <c r="AF450" s="33">
        <f t="shared" ref="AF450:AF458" si="492">IF(AQ450="2",BH450,0)</f>
        <v>0</v>
      </c>
      <c r="AG450" s="33">
        <f t="shared" ref="AG450:AG458" si="493">IF(AQ450="2",BI450,0)</f>
        <v>0</v>
      </c>
      <c r="AH450" s="33">
        <f t="shared" ref="AH450:AH458" si="494">IF(AQ450="0",BJ450,0)</f>
        <v>0</v>
      </c>
      <c r="AI450" s="28"/>
      <c r="AJ450" s="16">
        <f t="shared" ref="AJ450:AJ458" si="495">IF(AN450=0,K450,0)</f>
        <v>0</v>
      </c>
      <c r="AK450" s="16">
        <f t="shared" ref="AK450:AK458" si="496">IF(AN450=15,K450,0)</f>
        <v>0</v>
      </c>
      <c r="AL450" s="16">
        <f t="shared" ref="AL450:AL458" si="497">IF(AN450=21,K450,0)</f>
        <v>0</v>
      </c>
      <c r="AN450" s="33">
        <v>21</v>
      </c>
      <c r="AO450" s="33">
        <f>H450*0</f>
        <v>0</v>
      </c>
      <c r="AP450" s="33">
        <f>H450*(1-0)</f>
        <v>0</v>
      </c>
      <c r="AQ450" s="27" t="s">
        <v>13</v>
      </c>
      <c r="AV450" s="33">
        <f t="shared" ref="AV450:AV458" si="498">AW450+AX450</f>
        <v>0</v>
      </c>
      <c r="AW450" s="33">
        <f t="shared" ref="AW450:AW458" si="499">G450*AO450</f>
        <v>0</v>
      </c>
      <c r="AX450" s="33">
        <f t="shared" ref="AX450:AX458" si="500">G450*AP450</f>
        <v>0</v>
      </c>
      <c r="AY450" s="34" t="s">
        <v>1733</v>
      </c>
      <c r="AZ450" s="34" t="s">
        <v>1750</v>
      </c>
      <c r="BA450" s="28" t="s">
        <v>1752</v>
      </c>
      <c r="BC450" s="33">
        <f t="shared" ref="BC450:BC458" si="501">AW450+AX450</f>
        <v>0</v>
      </c>
      <c r="BD450" s="33">
        <f t="shared" ref="BD450:BD458" si="502">H450/(100-BE450)*100</f>
        <v>0</v>
      </c>
      <c r="BE450" s="33">
        <v>0</v>
      </c>
      <c r="BF450" s="33">
        <f>450</f>
        <v>450</v>
      </c>
      <c r="BH450" s="16">
        <f t="shared" ref="BH450:BH458" si="503">G450*AO450</f>
        <v>0</v>
      </c>
      <c r="BI450" s="16">
        <f t="shared" ref="BI450:BI458" si="504">G450*AP450</f>
        <v>0</v>
      </c>
      <c r="BJ450" s="16">
        <f t="shared" ref="BJ450:BJ458" si="505">G450*H450</f>
        <v>0</v>
      </c>
    </row>
    <row r="451" spans="1:62" x14ac:dyDescent="0.2">
      <c r="A451" s="4" t="s">
        <v>378</v>
      </c>
      <c r="B451" s="4" t="s">
        <v>922</v>
      </c>
      <c r="C451" s="131" t="s">
        <v>1503</v>
      </c>
      <c r="D451" s="132"/>
      <c r="E451" s="132"/>
      <c r="F451" s="4" t="s">
        <v>1663</v>
      </c>
      <c r="G451" s="68">
        <v>2.665</v>
      </c>
      <c r="H451" s="162">
        <v>0</v>
      </c>
      <c r="I451" s="16">
        <f t="shared" si="484"/>
        <v>0</v>
      </c>
      <c r="J451" s="16">
        <f t="shared" si="485"/>
        <v>0</v>
      </c>
      <c r="K451" s="16">
        <f t="shared" si="486"/>
        <v>0</v>
      </c>
      <c r="L451" s="27" t="s">
        <v>1692</v>
      </c>
      <c r="Z451" s="33">
        <f t="shared" si="487"/>
        <v>0</v>
      </c>
      <c r="AB451" s="33">
        <f t="shared" si="488"/>
        <v>0</v>
      </c>
      <c r="AC451" s="33">
        <f t="shared" si="489"/>
        <v>0</v>
      </c>
      <c r="AD451" s="33">
        <f t="shared" si="490"/>
        <v>0</v>
      </c>
      <c r="AE451" s="33">
        <f t="shared" si="491"/>
        <v>0</v>
      </c>
      <c r="AF451" s="33">
        <f t="shared" si="492"/>
        <v>0</v>
      </c>
      <c r="AG451" s="33">
        <f t="shared" si="493"/>
        <v>0</v>
      </c>
      <c r="AH451" s="33">
        <f t="shared" si="494"/>
        <v>0</v>
      </c>
      <c r="AI451" s="28"/>
      <c r="AJ451" s="16">
        <f t="shared" si="495"/>
        <v>0</v>
      </c>
      <c r="AK451" s="16">
        <f t="shared" si="496"/>
        <v>0</v>
      </c>
      <c r="AL451" s="16">
        <f t="shared" si="497"/>
        <v>0</v>
      </c>
      <c r="AN451" s="33">
        <v>21</v>
      </c>
      <c r="AO451" s="33">
        <f>H451*0.53</f>
        <v>0</v>
      </c>
      <c r="AP451" s="33">
        <f>H451*(1-0.53)</f>
        <v>0</v>
      </c>
      <c r="AQ451" s="27" t="s">
        <v>13</v>
      </c>
      <c r="AV451" s="33">
        <f t="shared" si="498"/>
        <v>0</v>
      </c>
      <c r="AW451" s="33">
        <f t="shared" si="499"/>
        <v>0</v>
      </c>
      <c r="AX451" s="33">
        <f t="shared" si="500"/>
        <v>0</v>
      </c>
      <c r="AY451" s="34" t="s">
        <v>1733</v>
      </c>
      <c r="AZ451" s="34" t="s">
        <v>1750</v>
      </c>
      <c r="BA451" s="28" t="s">
        <v>1752</v>
      </c>
      <c r="BC451" s="33">
        <f t="shared" si="501"/>
        <v>0</v>
      </c>
      <c r="BD451" s="33">
        <f t="shared" si="502"/>
        <v>0</v>
      </c>
      <c r="BE451" s="33">
        <v>0</v>
      </c>
      <c r="BF451" s="33">
        <f>451</f>
        <v>451</v>
      </c>
      <c r="BH451" s="16">
        <f t="shared" si="503"/>
        <v>0</v>
      </c>
      <c r="BI451" s="16">
        <f t="shared" si="504"/>
        <v>0</v>
      </c>
      <c r="BJ451" s="16">
        <f t="shared" si="505"/>
        <v>0</v>
      </c>
    </row>
    <row r="452" spans="1:62" x14ac:dyDescent="0.2">
      <c r="A452" s="4" t="s">
        <v>379</v>
      </c>
      <c r="B452" s="4" t="s">
        <v>923</v>
      </c>
      <c r="C452" s="131" t="s">
        <v>1504</v>
      </c>
      <c r="D452" s="132"/>
      <c r="E452" s="132"/>
      <c r="F452" s="4" t="s">
        <v>1663</v>
      </c>
      <c r="G452" s="68">
        <v>2.665</v>
      </c>
      <c r="H452" s="162">
        <v>0</v>
      </c>
      <c r="I452" s="16">
        <f t="shared" si="484"/>
        <v>0</v>
      </c>
      <c r="J452" s="16">
        <f t="shared" si="485"/>
        <v>0</v>
      </c>
      <c r="K452" s="16">
        <f t="shared" si="486"/>
        <v>0</v>
      </c>
      <c r="L452" s="27" t="s">
        <v>1692</v>
      </c>
      <c r="Z452" s="33">
        <f t="shared" si="487"/>
        <v>0</v>
      </c>
      <c r="AB452" s="33">
        <f t="shared" si="488"/>
        <v>0</v>
      </c>
      <c r="AC452" s="33">
        <f t="shared" si="489"/>
        <v>0</v>
      </c>
      <c r="AD452" s="33">
        <f t="shared" si="490"/>
        <v>0</v>
      </c>
      <c r="AE452" s="33">
        <f t="shared" si="491"/>
        <v>0</v>
      </c>
      <c r="AF452" s="33">
        <f t="shared" si="492"/>
        <v>0</v>
      </c>
      <c r="AG452" s="33">
        <f t="shared" si="493"/>
        <v>0</v>
      </c>
      <c r="AH452" s="33">
        <f t="shared" si="494"/>
        <v>0</v>
      </c>
      <c r="AI452" s="28"/>
      <c r="AJ452" s="16">
        <f t="shared" si="495"/>
        <v>0</v>
      </c>
      <c r="AK452" s="16">
        <f t="shared" si="496"/>
        <v>0</v>
      </c>
      <c r="AL452" s="16">
        <f t="shared" si="497"/>
        <v>0</v>
      </c>
      <c r="AN452" s="33">
        <v>21</v>
      </c>
      <c r="AO452" s="33">
        <f>H452*0.466676081342802</f>
        <v>0</v>
      </c>
      <c r="AP452" s="33">
        <f>H452*(1-0.466676081342802)</f>
        <v>0</v>
      </c>
      <c r="AQ452" s="27" t="s">
        <v>13</v>
      </c>
      <c r="AV452" s="33">
        <f t="shared" si="498"/>
        <v>0</v>
      </c>
      <c r="AW452" s="33">
        <f t="shared" si="499"/>
        <v>0</v>
      </c>
      <c r="AX452" s="33">
        <f t="shared" si="500"/>
        <v>0</v>
      </c>
      <c r="AY452" s="34" t="s">
        <v>1733</v>
      </c>
      <c r="AZ452" s="34" t="s">
        <v>1750</v>
      </c>
      <c r="BA452" s="28" t="s">
        <v>1752</v>
      </c>
      <c r="BC452" s="33">
        <f t="shared" si="501"/>
        <v>0</v>
      </c>
      <c r="BD452" s="33">
        <f t="shared" si="502"/>
        <v>0</v>
      </c>
      <c r="BE452" s="33">
        <v>0</v>
      </c>
      <c r="BF452" s="33">
        <f>452</f>
        <v>452</v>
      </c>
      <c r="BH452" s="16">
        <f t="shared" si="503"/>
        <v>0</v>
      </c>
      <c r="BI452" s="16">
        <f t="shared" si="504"/>
        <v>0</v>
      </c>
      <c r="BJ452" s="16">
        <f t="shared" si="505"/>
        <v>0</v>
      </c>
    </row>
    <row r="453" spans="1:62" x14ac:dyDescent="0.2">
      <c r="A453" s="4" t="s">
        <v>380</v>
      </c>
      <c r="B453" s="4" t="s">
        <v>924</v>
      </c>
      <c r="C453" s="131" t="s">
        <v>1505</v>
      </c>
      <c r="D453" s="132"/>
      <c r="E453" s="132"/>
      <c r="F453" s="4" t="s">
        <v>1663</v>
      </c>
      <c r="G453" s="68">
        <v>2.665</v>
      </c>
      <c r="H453" s="162">
        <v>0</v>
      </c>
      <c r="I453" s="16">
        <f t="shared" si="484"/>
        <v>0</v>
      </c>
      <c r="J453" s="16">
        <f t="shared" si="485"/>
        <v>0</v>
      </c>
      <c r="K453" s="16">
        <f t="shared" si="486"/>
        <v>0</v>
      </c>
      <c r="L453" s="27" t="s">
        <v>1692</v>
      </c>
      <c r="Z453" s="33">
        <f t="shared" si="487"/>
        <v>0</v>
      </c>
      <c r="AB453" s="33">
        <f t="shared" si="488"/>
        <v>0</v>
      </c>
      <c r="AC453" s="33">
        <f t="shared" si="489"/>
        <v>0</v>
      </c>
      <c r="AD453" s="33">
        <f t="shared" si="490"/>
        <v>0</v>
      </c>
      <c r="AE453" s="33">
        <f t="shared" si="491"/>
        <v>0</v>
      </c>
      <c r="AF453" s="33">
        <f t="shared" si="492"/>
        <v>0</v>
      </c>
      <c r="AG453" s="33">
        <f t="shared" si="493"/>
        <v>0</v>
      </c>
      <c r="AH453" s="33">
        <f t="shared" si="494"/>
        <v>0</v>
      </c>
      <c r="AI453" s="28"/>
      <c r="AJ453" s="16">
        <f t="shared" si="495"/>
        <v>0</v>
      </c>
      <c r="AK453" s="16">
        <f t="shared" si="496"/>
        <v>0</v>
      </c>
      <c r="AL453" s="16">
        <f t="shared" si="497"/>
        <v>0</v>
      </c>
      <c r="AN453" s="33">
        <v>21</v>
      </c>
      <c r="AO453" s="33">
        <f>H453*0</f>
        <v>0</v>
      </c>
      <c r="AP453" s="33">
        <f>H453*(1-0)</f>
        <v>0</v>
      </c>
      <c r="AQ453" s="27" t="s">
        <v>13</v>
      </c>
      <c r="AV453" s="33">
        <f t="shared" si="498"/>
        <v>0</v>
      </c>
      <c r="AW453" s="33">
        <f t="shared" si="499"/>
        <v>0</v>
      </c>
      <c r="AX453" s="33">
        <f t="shared" si="500"/>
        <v>0</v>
      </c>
      <c r="AY453" s="34" t="s">
        <v>1733</v>
      </c>
      <c r="AZ453" s="34" t="s">
        <v>1750</v>
      </c>
      <c r="BA453" s="28" t="s">
        <v>1752</v>
      </c>
      <c r="BC453" s="33">
        <f t="shared" si="501"/>
        <v>0</v>
      </c>
      <c r="BD453" s="33">
        <f t="shared" si="502"/>
        <v>0</v>
      </c>
      <c r="BE453" s="33">
        <v>0</v>
      </c>
      <c r="BF453" s="33">
        <f>453</f>
        <v>453</v>
      </c>
      <c r="BH453" s="16">
        <f t="shared" si="503"/>
        <v>0</v>
      </c>
      <c r="BI453" s="16">
        <f t="shared" si="504"/>
        <v>0</v>
      </c>
      <c r="BJ453" s="16">
        <f t="shared" si="505"/>
        <v>0</v>
      </c>
    </row>
    <row r="454" spans="1:62" x14ac:dyDescent="0.2">
      <c r="A454" s="6" t="s">
        <v>381</v>
      </c>
      <c r="B454" s="6" t="s">
        <v>925</v>
      </c>
      <c r="C454" s="144" t="s">
        <v>1506</v>
      </c>
      <c r="D454" s="139"/>
      <c r="E454" s="139"/>
      <c r="F454" s="6" t="s">
        <v>1663</v>
      </c>
      <c r="G454" s="71">
        <v>2.798</v>
      </c>
      <c r="H454" s="165">
        <v>0</v>
      </c>
      <c r="I454" s="17">
        <f t="shared" si="484"/>
        <v>0</v>
      </c>
      <c r="J454" s="17">
        <f t="shared" si="485"/>
        <v>0</v>
      </c>
      <c r="K454" s="17">
        <f t="shared" si="486"/>
        <v>0</v>
      </c>
      <c r="L454" s="29" t="s">
        <v>1692</v>
      </c>
      <c r="Z454" s="33">
        <f t="shared" si="487"/>
        <v>0</v>
      </c>
      <c r="AB454" s="33">
        <f t="shared" si="488"/>
        <v>0</v>
      </c>
      <c r="AC454" s="33">
        <f t="shared" si="489"/>
        <v>0</v>
      </c>
      <c r="AD454" s="33">
        <f t="shared" si="490"/>
        <v>0</v>
      </c>
      <c r="AE454" s="33">
        <f t="shared" si="491"/>
        <v>0</v>
      </c>
      <c r="AF454" s="33">
        <f t="shared" si="492"/>
        <v>0</v>
      </c>
      <c r="AG454" s="33">
        <f t="shared" si="493"/>
        <v>0</v>
      </c>
      <c r="AH454" s="33">
        <f t="shared" si="494"/>
        <v>0</v>
      </c>
      <c r="AI454" s="28"/>
      <c r="AJ454" s="17">
        <f t="shared" si="495"/>
        <v>0</v>
      </c>
      <c r="AK454" s="17">
        <f t="shared" si="496"/>
        <v>0</v>
      </c>
      <c r="AL454" s="17">
        <f t="shared" si="497"/>
        <v>0</v>
      </c>
      <c r="AN454" s="33">
        <v>21</v>
      </c>
      <c r="AO454" s="33">
        <f>H454*1</f>
        <v>0</v>
      </c>
      <c r="AP454" s="33">
        <f>H454*(1-1)</f>
        <v>0</v>
      </c>
      <c r="AQ454" s="29" t="s">
        <v>13</v>
      </c>
      <c r="AV454" s="33">
        <f t="shared" si="498"/>
        <v>0</v>
      </c>
      <c r="AW454" s="33">
        <f t="shared" si="499"/>
        <v>0</v>
      </c>
      <c r="AX454" s="33">
        <f t="shared" si="500"/>
        <v>0</v>
      </c>
      <c r="AY454" s="34" t="s">
        <v>1733</v>
      </c>
      <c r="AZ454" s="34" t="s">
        <v>1750</v>
      </c>
      <c r="BA454" s="28" t="s">
        <v>1752</v>
      </c>
      <c r="BC454" s="33">
        <f t="shared" si="501"/>
        <v>0</v>
      </c>
      <c r="BD454" s="33">
        <f t="shared" si="502"/>
        <v>0</v>
      </c>
      <c r="BE454" s="33">
        <v>0</v>
      </c>
      <c r="BF454" s="33">
        <f>454</f>
        <v>454</v>
      </c>
      <c r="BH454" s="17">
        <f t="shared" si="503"/>
        <v>0</v>
      </c>
      <c r="BI454" s="17">
        <f t="shared" si="504"/>
        <v>0</v>
      </c>
      <c r="BJ454" s="17">
        <f t="shared" si="505"/>
        <v>0</v>
      </c>
    </row>
    <row r="455" spans="1:62" x14ac:dyDescent="0.2">
      <c r="A455" s="4" t="s">
        <v>382</v>
      </c>
      <c r="B455" s="4" t="s">
        <v>926</v>
      </c>
      <c r="C455" s="131" t="s">
        <v>1507</v>
      </c>
      <c r="D455" s="132"/>
      <c r="E455" s="132"/>
      <c r="F455" s="4" t="s">
        <v>1666</v>
      </c>
      <c r="G455" s="68">
        <v>5.8</v>
      </c>
      <c r="H455" s="162">
        <v>0</v>
      </c>
      <c r="I455" s="16">
        <f t="shared" si="484"/>
        <v>0</v>
      </c>
      <c r="J455" s="16">
        <f t="shared" si="485"/>
        <v>0</v>
      </c>
      <c r="K455" s="16">
        <f t="shared" si="486"/>
        <v>0</v>
      </c>
      <c r="L455" s="27" t="s">
        <v>1692</v>
      </c>
      <c r="Z455" s="33">
        <f t="shared" si="487"/>
        <v>0</v>
      </c>
      <c r="AB455" s="33">
        <f t="shared" si="488"/>
        <v>0</v>
      </c>
      <c r="AC455" s="33">
        <f t="shared" si="489"/>
        <v>0</v>
      </c>
      <c r="AD455" s="33">
        <f t="shared" si="490"/>
        <v>0</v>
      </c>
      <c r="AE455" s="33">
        <f t="shared" si="491"/>
        <v>0</v>
      </c>
      <c r="AF455" s="33">
        <f t="shared" si="492"/>
        <v>0</v>
      </c>
      <c r="AG455" s="33">
        <f t="shared" si="493"/>
        <v>0</v>
      </c>
      <c r="AH455" s="33">
        <f t="shared" si="494"/>
        <v>0</v>
      </c>
      <c r="AI455" s="28"/>
      <c r="AJ455" s="16">
        <f t="shared" si="495"/>
        <v>0</v>
      </c>
      <c r="AK455" s="16">
        <f t="shared" si="496"/>
        <v>0</v>
      </c>
      <c r="AL455" s="16">
        <f t="shared" si="497"/>
        <v>0</v>
      </c>
      <c r="AN455" s="33">
        <v>21</v>
      </c>
      <c r="AO455" s="33">
        <f>H455*0.625798045602606</f>
        <v>0</v>
      </c>
      <c r="AP455" s="33">
        <f>H455*(1-0.625798045602606)</f>
        <v>0</v>
      </c>
      <c r="AQ455" s="27" t="s">
        <v>13</v>
      </c>
      <c r="AV455" s="33">
        <f t="shared" si="498"/>
        <v>0</v>
      </c>
      <c r="AW455" s="33">
        <f t="shared" si="499"/>
        <v>0</v>
      </c>
      <c r="AX455" s="33">
        <f t="shared" si="500"/>
        <v>0</v>
      </c>
      <c r="AY455" s="34" t="s">
        <v>1733</v>
      </c>
      <c r="AZ455" s="34" t="s">
        <v>1750</v>
      </c>
      <c r="BA455" s="28" t="s">
        <v>1752</v>
      </c>
      <c r="BC455" s="33">
        <f t="shared" si="501"/>
        <v>0</v>
      </c>
      <c r="BD455" s="33">
        <f t="shared" si="502"/>
        <v>0</v>
      </c>
      <c r="BE455" s="33">
        <v>0</v>
      </c>
      <c r="BF455" s="33">
        <f>455</f>
        <v>455</v>
      </c>
      <c r="BH455" s="16">
        <f t="shared" si="503"/>
        <v>0</v>
      </c>
      <c r="BI455" s="16">
        <f t="shared" si="504"/>
        <v>0</v>
      </c>
      <c r="BJ455" s="16">
        <f t="shared" si="505"/>
        <v>0</v>
      </c>
    </row>
    <row r="456" spans="1:62" x14ac:dyDescent="0.2">
      <c r="A456" s="4" t="s">
        <v>383</v>
      </c>
      <c r="B456" s="4" t="s">
        <v>927</v>
      </c>
      <c r="C456" s="131" t="s">
        <v>1508</v>
      </c>
      <c r="D456" s="132"/>
      <c r="E456" s="132"/>
      <c r="F456" s="4" t="s">
        <v>1663</v>
      </c>
      <c r="G456" s="68">
        <v>2.665</v>
      </c>
      <c r="H456" s="162">
        <v>0</v>
      </c>
      <c r="I456" s="16">
        <f t="shared" si="484"/>
        <v>0</v>
      </c>
      <c r="J456" s="16">
        <f t="shared" si="485"/>
        <v>0</v>
      </c>
      <c r="K456" s="16">
        <f t="shared" si="486"/>
        <v>0</v>
      </c>
      <c r="L456" s="27" t="s">
        <v>1692</v>
      </c>
      <c r="Z456" s="33">
        <f t="shared" si="487"/>
        <v>0</v>
      </c>
      <c r="AB456" s="33">
        <f t="shared" si="488"/>
        <v>0</v>
      </c>
      <c r="AC456" s="33">
        <f t="shared" si="489"/>
        <v>0</v>
      </c>
      <c r="AD456" s="33">
        <f t="shared" si="490"/>
        <v>0</v>
      </c>
      <c r="AE456" s="33">
        <f t="shared" si="491"/>
        <v>0</v>
      </c>
      <c r="AF456" s="33">
        <f t="shared" si="492"/>
        <v>0</v>
      </c>
      <c r="AG456" s="33">
        <f t="shared" si="493"/>
        <v>0</v>
      </c>
      <c r="AH456" s="33">
        <f t="shared" si="494"/>
        <v>0</v>
      </c>
      <c r="AI456" s="28"/>
      <c r="AJ456" s="16">
        <f t="shared" si="495"/>
        <v>0</v>
      </c>
      <c r="AK456" s="16">
        <f t="shared" si="496"/>
        <v>0</v>
      </c>
      <c r="AL456" s="16">
        <f t="shared" si="497"/>
        <v>0</v>
      </c>
      <c r="AN456" s="33">
        <v>21</v>
      </c>
      <c r="AO456" s="33">
        <f>H456*0.999935308578082</f>
        <v>0</v>
      </c>
      <c r="AP456" s="33">
        <f>H456*(1-0.999935308578082)</f>
        <v>0</v>
      </c>
      <c r="AQ456" s="27" t="s">
        <v>13</v>
      </c>
      <c r="AV456" s="33">
        <f t="shared" si="498"/>
        <v>0</v>
      </c>
      <c r="AW456" s="33">
        <f t="shared" si="499"/>
        <v>0</v>
      </c>
      <c r="AX456" s="33">
        <f t="shared" si="500"/>
        <v>0</v>
      </c>
      <c r="AY456" s="34" t="s">
        <v>1733</v>
      </c>
      <c r="AZ456" s="34" t="s">
        <v>1750</v>
      </c>
      <c r="BA456" s="28" t="s">
        <v>1752</v>
      </c>
      <c r="BC456" s="33">
        <f t="shared" si="501"/>
        <v>0</v>
      </c>
      <c r="BD456" s="33">
        <f t="shared" si="502"/>
        <v>0</v>
      </c>
      <c r="BE456" s="33">
        <v>0</v>
      </c>
      <c r="BF456" s="33">
        <f>456</f>
        <v>456</v>
      </c>
      <c r="BH456" s="16">
        <f t="shared" si="503"/>
        <v>0</v>
      </c>
      <c r="BI456" s="16">
        <f t="shared" si="504"/>
        <v>0</v>
      </c>
      <c r="BJ456" s="16">
        <f t="shared" si="505"/>
        <v>0</v>
      </c>
    </row>
    <row r="457" spans="1:62" x14ac:dyDescent="0.2">
      <c r="A457" s="4" t="s">
        <v>384</v>
      </c>
      <c r="B457" s="4" t="s">
        <v>928</v>
      </c>
      <c r="C457" s="131" t="s">
        <v>1509</v>
      </c>
      <c r="D457" s="132"/>
      <c r="E457" s="132"/>
      <c r="F457" s="4" t="s">
        <v>1663</v>
      </c>
      <c r="G457" s="68">
        <v>2.665</v>
      </c>
      <c r="H457" s="162">
        <v>0</v>
      </c>
      <c r="I457" s="16">
        <f t="shared" si="484"/>
        <v>0</v>
      </c>
      <c r="J457" s="16">
        <f t="shared" si="485"/>
        <v>0</v>
      </c>
      <c r="K457" s="16">
        <f t="shared" si="486"/>
        <v>0</v>
      </c>
      <c r="L457" s="27" t="s">
        <v>1692</v>
      </c>
      <c r="Z457" s="33">
        <f t="shared" si="487"/>
        <v>0</v>
      </c>
      <c r="AB457" s="33">
        <f t="shared" si="488"/>
        <v>0</v>
      </c>
      <c r="AC457" s="33">
        <f t="shared" si="489"/>
        <v>0</v>
      </c>
      <c r="AD457" s="33">
        <f t="shared" si="490"/>
        <v>0</v>
      </c>
      <c r="AE457" s="33">
        <f t="shared" si="491"/>
        <v>0</v>
      </c>
      <c r="AF457" s="33">
        <f t="shared" si="492"/>
        <v>0</v>
      </c>
      <c r="AG457" s="33">
        <f t="shared" si="493"/>
        <v>0</v>
      </c>
      <c r="AH457" s="33">
        <f t="shared" si="494"/>
        <v>0</v>
      </c>
      <c r="AI457" s="28"/>
      <c r="AJ457" s="16">
        <f t="shared" si="495"/>
        <v>0</v>
      </c>
      <c r="AK457" s="16">
        <f t="shared" si="496"/>
        <v>0</v>
      </c>
      <c r="AL457" s="16">
        <f t="shared" si="497"/>
        <v>0</v>
      </c>
      <c r="AN457" s="33">
        <v>21</v>
      </c>
      <c r="AO457" s="33">
        <f>H457*0</f>
        <v>0</v>
      </c>
      <c r="AP457" s="33">
        <f>H457*(1-0)</f>
        <v>0</v>
      </c>
      <c r="AQ457" s="27" t="s">
        <v>13</v>
      </c>
      <c r="AV457" s="33">
        <f t="shared" si="498"/>
        <v>0</v>
      </c>
      <c r="AW457" s="33">
        <f t="shared" si="499"/>
        <v>0</v>
      </c>
      <c r="AX457" s="33">
        <f t="shared" si="500"/>
        <v>0</v>
      </c>
      <c r="AY457" s="34" t="s">
        <v>1733</v>
      </c>
      <c r="AZ457" s="34" t="s">
        <v>1750</v>
      </c>
      <c r="BA457" s="28" t="s">
        <v>1752</v>
      </c>
      <c r="BC457" s="33">
        <f t="shared" si="501"/>
        <v>0</v>
      </c>
      <c r="BD457" s="33">
        <f t="shared" si="502"/>
        <v>0</v>
      </c>
      <c r="BE457" s="33">
        <v>0</v>
      </c>
      <c r="BF457" s="33">
        <f>457</f>
        <v>457</v>
      </c>
      <c r="BH457" s="16">
        <f t="shared" si="503"/>
        <v>0</v>
      </c>
      <c r="BI457" s="16">
        <f t="shared" si="504"/>
        <v>0</v>
      </c>
      <c r="BJ457" s="16">
        <f t="shared" si="505"/>
        <v>0</v>
      </c>
    </row>
    <row r="458" spans="1:62" x14ac:dyDescent="0.2">
      <c r="A458" s="4" t="s">
        <v>385</v>
      </c>
      <c r="B458" s="4" t="s">
        <v>929</v>
      </c>
      <c r="C458" s="131" t="s">
        <v>1510</v>
      </c>
      <c r="D458" s="132"/>
      <c r="E458" s="132"/>
      <c r="F458" s="4" t="s">
        <v>1664</v>
      </c>
      <c r="G458" s="68">
        <v>5.8999999999999997E-2</v>
      </c>
      <c r="H458" s="162">
        <v>0</v>
      </c>
      <c r="I458" s="16">
        <f t="shared" si="484"/>
        <v>0</v>
      </c>
      <c r="J458" s="16">
        <f t="shared" si="485"/>
        <v>0</v>
      </c>
      <c r="K458" s="16">
        <f t="shared" si="486"/>
        <v>0</v>
      </c>
      <c r="L458" s="27" t="s">
        <v>1692</v>
      </c>
      <c r="Z458" s="33">
        <f t="shared" si="487"/>
        <v>0</v>
      </c>
      <c r="AB458" s="33">
        <f t="shared" si="488"/>
        <v>0</v>
      </c>
      <c r="AC458" s="33">
        <f t="shared" si="489"/>
        <v>0</v>
      </c>
      <c r="AD458" s="33">
        <f t="shared" si="490"/>
        <v>0</v>
      </c>
      <c r="AE458" s="33">
        <f t="shared" si="491"/>
        <v>0</v>
      </c>
      <c r="AF458" s="33">
        <f t="shared" si="492"/>
        <v>0</v>
      </c>
      <c r="AG458" s="33">
        <f t="shared" si="493"/>
        <v>0</v>
      </c>
      <c r="AH458" s="33">
        <f t="shared" si="494"/>
        <v>0</v>
      </c>
      <c r="AI458" s="28"/>
      <c r="AJ458" s="16">
        <f t="shared" si="495"/>
        <v>0</v>
      </c>
      <c r="AK458" s="16">
        <f t="shared" si="496"/>
        <v>0</v>
      </c>
      <c r="AL458" s="16">
        <f t="shared" si="497"/>
        <v>0</v>
      </c>
      <c r="AN458" s="33">
        <v>21</v>
      </c>
      <c r="AO458" s="33">
        <f>H458*0</f>
        <v>0</v>
      </c>
      <c r="AP458" s="33">
        <f>H458*(1-0)</f>
        <v>0</v>
      </c>
      <c r="AQ458" s="27" t="s">
        <v>11</v>
      </c>
      <c r="AV458" s="33">
        <f t="shared" si="498"/>
        <v>0</v>
      </c>
      <c r="AW458" s="33">
        <f t="shared" si="499"/>
        <v>0</v>
      </c>
      <c r="AX458" s="33">
        <f t="shared" si="500"/>
        <v>0</v>
      </c>
      <c r="AY458" s="34" t="s">
        <v>1733</v>
      </c>
      <c r="AZ458" s="34" t="s">
        <v>1750</v>
      </c>
      <c r="BA458" s="28" t="s">
        <v>1752</v>
      </c>
      <c r="BC458" s="33">
        <f t="shared" si="501"/>
        <v>0</v>
      </c>
      <c r="BD458" s="33">
        <f t="shared" si="502"/>
        <v>0</v>
      </c>
      <c r="BE458" s="33">
        <v>0</v>
      </c>
      <c r="BF458" s="33">
        <f>458</f>
        <v>458</v>
      </c>
      <c r="BH458" s="16">
        <f t="shared" si="503"/>
        <v>0</v>
      </c>
      <c r="BI458" s="16">
        <f t="shared" si="504"/>
        <v>0</v>
      </c>
      <c r="BJ458" s="16">
        <f t="shared" si="505"/>
        <v>0</v>
      </c>
    </row>
    <row r="459" spans="1:62" x14ac:dyDescent="0.2">
      <c r="A459" s="5"/>
      <c r="B459" s="13" t="s">
        <v>930</v>
      </c>
      <c r="C459" s="136" t="s">
        <v>1511</v>
      </c>
      <c r="D459" s="137"/>
      <c r="E459" s="137"/>
      <c r="F459" s="5" t="s">
        <v>6</v>
      </c>
      <c r="G459" s="5" t="s">
        <v>6</v>
      </c>
      <c r="H459" s="163" t="s">
        <v>6</v>
      </c>
      <c r="I459" s="36">
        <f>SUM(I460:I469)</f>
        <v>0</v>
      </c>
      <c r="J459" s="36">
        <f>SUM(J460:J469)</f>
        <v>0</v>
      </c>
      <c r="K459" s="36">
        <f>SUM(K460:K469)</f>
        <v>0</v>
      </c>
      <c r="L459" s="28"/>
      <c r="AI459" s="28"/>
      <c r="AS459" s="36">
        <f>SUM(AJ460:AJ469)</f>
        <v>0</v>
      </c>
      <c r="AT459" s="36">
        <f>SUM(AK460:AK469)</f>
        <v>0</v>
      </c>
      <c r="AU459" s="36">
        <f>SUM(AL460:AL469)</f>
        <v>0</v>
      </c>
    </row>
    <row r="460" spans="1:62" x14ac:dyDescent="0.2">
      <c r="A460" s="4" t="s">
        <v>386</v>
      </c>
      <c r="B460" s="4" t="s">
        <v>931</v>
      </c>
      <c r="C460" s="131" t="s">
        <v>1512</v>
      </c>
      <c r="D460" s="132"/>
      <c r="E460" s="132"/>
      <c r="F460" s="4" t="s">
        <v>1663</v>
      </c>
      <c r="G460" s="68">
        <v>135</v>
      </c>
      <c r="H460" s="162">
        <v>0</v>
      </c>
      <c r="I460" s="16">
        <f t="shared" ref="I460:I469" si="506">G460*AO460</f>
        <v>0</v>
      </c>
      <c r="J460" s="16">
        <f t="shared" ref="J460:J469" si="507">G460*AP460</f>
        <v>0</v>
      </c>
      <c r="K460" s="16">
        <f t="shared" ref="K460:K469" si="508">G460*H460</f>
        <v>0</v>
      </c>
      <c r="L460" s="27" t="s">
        <v>1692</v>
      </c>
      <c r="Z460" s="33">
        <f t="shared" ref="Z460:Z469" si="509">IF(AQ460="5",BJ460,0)</f>
        <v>0</v>
      </c>
      <c r="AB460" s="33">
        <f t="shared" ref="AB460:AB469" si="510">IF(AQ460="1",BH460,0)</f>
        <v>0</v>
      </c>
      <c r="AC460" s="33">
        <f t="shared" ref="AC460:AC469" si="511">IF(AQ460="1",BI460,0)</f>
        <v>0</v>
      </c>
      <c r="AD460" s="33">
        <f t="shared" ref="AD460:AD469" si="512">IF(AQ460="7",BH460,0)</f>
        <v>0</v>
      </c>
      <c r="AE460" s="33">
        <f t="shared" ref="AE460:AE469" si="513">IF(AQ460="7",BI460,0)</f>
        <v>0</v>
      </c>
      <c r="AF460" s="33">
        <f t="shared" ref="AF460:AF469" si="514">IF(AQ460="2",BH460,0)</f>
        <v>0</v>
      </c>
      <c r="AG460" s="33">
        <f t="shared" ref="AG460:AG469" si="515">IF(AQ460="2",BI460,0)</f>
        <v>0</v>
      </c>
      <c r="AH460" s="33">
        <f t="shared" ref="AH460:AH469" si="516">IF(AQ460="0",BJ460,0)</f>
        <v>0</v>
      </c>
      <c r="AI460" s="28"/>
      <c r="AJ460" s="16">
        <f t="shared" ref="AJ460:AJ469" si="517">IF(AN460=0,K460,0)</f>
        <v>0</v>
      </c>
      <c r="AK460" s="16">
        <f t="shared" ref="AK460:AK469" si="518">IF(AN460=15,K460,0)</f>
        <v>0</v>
      </c>
      <c r="AL460" s="16">
        <f t="shared" ref="AL460:AL469" si="519">IF(AN460=21,K460,0)</f>
        <v>0</v>
      </c>
      <c r="AN460" s="33">
        <v>21</v>
      </c>
      <c r="AO460" s="33">
        <f>H460*0</f>
        <v>0</v>
      </c>
      <c r="AP460" s="33">
        <f>H460*(1-0)</f>
        <v>0</v>
      </c>
      <c r="AQ460" s="27" t="s">
        <v>13</v>
      </c>
      <c r="AV460" s="33">
        <f t="shared" ref="AV460:AV469" si="520">AW460+AX460</f>
        <v>0</v>
      </c>
      <c r="AW460" s="33">
        <f t="shared" ref="AW460:AW469" si="521">G460*AO460</f>
        <v>0</v>
      </c>
      <c r="AX460" s="33">
        <f t="shared" ref="AX460:AX469" si="522">G460*AP460</f>
        <v>0</v>
      </c>
      <c r="AY460" s="34" t="s">
        <v>1734</v>
      </c>
      <c r="AZ460" s="34" t="s">
        <v>1750</v>
      </c>
      <c r="BA460" s="28" t="s">
        <v>1752</v>
      </c>
      <c r="BC460" s="33">
        <f t="shared" ref="BC460:BC469" si="523">AW460+AX460</f>
        <v>0</v>
      </c>
      <c r="BD460" s="33">
        <f t="shared" ref="BD460:BD469" si="524">H460/(100-BE460)*100</f>
        <v>0</v>
      </c>
      <c r="BE460" s="33">
        <v>0</v>
      </c>
      <c r="BF460" s="33">
        <f>460</f>
        <v>460</v>
      </c>
      <c r="BH460" s="16">
        <f t="shared" ref="BH460:BH469" si="525">G460*AO460</f>
        <v>0</v>
      </c>
      <c r="BI460" s="16">
        <f t="shared" ref="BI460:BI469" si="526">G460*AP460</f>
        <v>0</v>
      </c>
      <c r="BJ460" s="16">
        <f t="shared" ref="BJ460:BJ469" si="527">G460*H460</f>
        <v>0</v>
      </c>
    </row>
    <row r="461" spans="1:62" x14ac:dyDescent="0.2">
      <c r="A461" s="4" t="s">
        <v>387</v>
      </c>
      <c r="B461" s="4" t="s">
        <v>932</v>
      </c>
      <c r="C461" s="131" t="s">
        <v>1513</v>
      </c>
      <c r="D461" s="132"/>
      <c r="E461" s="132"/>
      <c r="F461" s="4" t="s">
        <v>1663</v>
      </c>
      <c r="G461" s="68">
        <v>135</v>
      </c>
      <c r="H461" s="162">
        <v>0</v>
      </c>
      <c r="I461" s="16">
        <f t="shared" si="506"/>
        <v>0</v>
      </c>
      <c r="J461" s="16">
        <f t="shared" si="507"/>
        <v>0</v>
      </c>
      <c r="K461" s="16">
        <f t="shared" si="508"/>
        <v>0</v>
      </c>
      <c r="L461" s="27" t="s">
        <v>1692</v>
      </c>
      <c r="Z461" s="33">
        <f t="shared" si="509"/>
        <v>0</v>
      </c>
      <c r="AB461" s="33">
        <f t="shared" si="510"/>
        <v>0</v>
      </c>
      <c r="AC461" s="33">
        <f t="shared" si="511"/>
        <v>0</v>
      </c>
      <c r="AD461" s="33">
        <f t="shared" si="512"/>
        <v>0</v>
      </c>
      <c r="AE461" s="33">
        <f t="shared" si="513"/>
        <v>0</v>
      </c>
      <c r="AF461" s="33">
        <f t="shared" si="514"/>
        <v>0</v>
      </c>
      <c r="AG461" s="33">
        <f t="shared" si="515"/>
        <v>0</v>
      </c>
      <c r="AH461" s="33">
        <f t="shared" si="516"/>
        <v>0</v>
      </c>
      <c r="AI461" s="28"/>
      <c r="AJ461" s="16">
        <f t="shared" si="517"/>
        <v>0</v>
      </c>
      <c r="AK461" s="16">
        <f t="shared" si="518"/>
        <v>0</v>
      </c>
      <c r="AL461" s="16">
        <f t="shared" si="519"/>
        <v>0</v>
      </c>
      <c r="AN461" s="33">
        <v>21</v>
      </c>
      <c r="AO461" s="33">
        <f>H461*0.59</f>
        <v>0</v>
      </c>
      <c r="AP461" s="33">
        <f>H461*(1-0.59)</f>
        <v>0</v>
      </c>
      <c r="AQ461" s="27" t="s">
        <v>13</v>
      </c>
      <c r="AV461" s="33">
        <f t="shared" si="520"/>
        <v>0</v>
      </c>
      <c r="AW461" s="33">
        <f t="shared" si="521"/>
        <v>0</v>
      </c>
      <c r="AX461" s="33">
        <f t="shared" si="522"/>
        <v>0</v>
      </c>
      <c r="AY461" s="34" t="s">
        <v>1734</v>
      </c>
      <c r="AZ461" s="34" t="s">
        <v>1750</v>
      </c>
      <c r="BA461" s="28" t="s">
        <v>1752</v>
      </c>
      <c r="BC461" s="33">
        <f t="shared" si="523"/>
        <v>0</v>
      </c>
      <c r="BD461" s="33">
        <f t="shared" si="524"/>
        <v>0</v>
      </c>
      <c r="BE461" s="33">
        <v>0</v>
      </c>
      <c r="BF461" s="33">
        <f>461</f>
        <v>461</v>
      </c>
      <c r="BH461" s="16">
        <f t="shared" si="525"/>
        <v>0</v>
      </c>
      <c r="BI461" s="16">
        <f t="shared" si="526"/>
        <v>0</v>
      </c>
      <c r="BJ461" s="16">
        <f t="shared" si="527"/>
        <v>0</v>
      </c>
    </row>
    <row r="462" spans="1:62" x14ac:dyDescent="0.2">
      <c r="A462" s="4" t="s">
        <v>388</v>
      </c>
      <c r="B462" s="4" t="s">
        <v>933</v>
      </c>
      <c r="C462" s="131" t="s">
        <v>1514</v>
      </c>
      <c r="D462" s="132"/>
      <c r="E462" s="132"/>
      <c r="F462" s="4" t="s">
        <v>1663</v>
      </c>
      <c r="G462" s="68">
        <v>135</v>
      </c>
      <c r="H462" s="162">
        <v>0</v>
      </c>
      <c r="I462" s="16">
        <f t="shared" si="506"/>
        <v>0</v>
      </c>
      <c r="J462" s="16">
        <f t="shared" si="507"/>
        <v>0</v>
      </c>
      <c r="K462" s="16">
        <f t="shared" si="508"/>
        <v>0</v>
      </c>
      <c r="L462" s="27" t="s">
        <v>1692</v>
      </c>
      <c r="Z462" s="33">
        <f t="shared" si="509"/>
        <v>0</v>
      </c>
      <c r="AB462" s="33">
        <f t="shared" si="510"/>
        <v>0</v>
      </c>
      <c r="AC462" s="33">
        <f t="shared" si="511"/>
        <v>0</v>
      </c>
      <c r="AD462" s="33">
        <f t="shared" si="512"/>
        <v>0</v>
      </c>
      <c r="AE462" s="33">
        <f t="shared" si="513"/>
        <v>0</v>
      </c>
      <c r="AF462" s="33">
        <f t="shared" si="514"/>
        <v>0</v>
      </c>
      <c r="AG462" s="33">
        <f t="shared" si="515"/>
        <v>0</v>
      </c>
      <c r="AH462" s="33">
        <f t="shared" si="516"/>
        <v>0</v>
      </c>
      <c r="AI462" s="28"/>
      <c r="AJ462" s="16">
        <f t="shared" si="517"/>
        <v>0</v>
      </c>
      <c r="AK462" s="16">
        <f t="shared" si="518"/>
        <v>0</v>
      </c>
      <c r="AL462" s="16">
        <f t="shared" si="519"/>
        <v>0</v>
      </c>
      <c r="AN462" s="33">
        <v>21</v>
      </c>
      <c r="AO462" s="33">
        <f>H462*0.466666666666667</f>
        <v>0</v>
      </c>
      <c r="AP462" s="33">
        <f>H462*(1-0.466666666666667)</f>
        <v>0</v>
      </c>
      <c r="AQ462" s="27" t="s">
        <v>13</v>
      </c>
      <c r="AV462" s="33">
        <f t="shared" si="520"/>
        <v>0</v>
      </c>
      <c r="AW462" s="33">
        <f t="shared" si="521"/>
        <v>0</v>
      </c>
      <c r="AX462" s="33">
        <f t="shared" si="522"/>
        <v>0</v>
      </c>
      <c r="AY462" s="34" t="s">
        <v>1734</v>
      </c>
      <c r="AZ462" s="34" t="s">
        <v>1750</v>
      </c>
      <c r="BA462" s="28" t="s">
        <v>1752</v>
      </c>
      <c r="BC462" s="33">
        <f t="shared" si="523"/>
        <v>0</v>
      </c>
      <c r="BD462" s="33">
        <f t="shared" si="524"/>
        <v>0</v>
      </c>
      <c r="BE462" s="33">
        <v>0</v>
      </c>
      <c r="BF462" s="33">
        <f>462</f>
        <v>462</v>
      </c>
      <c r="BH462" s="16">
        <f t="shared" si="525"/>
        <v>0</v>
      </c>
      <c r="BI462" s="16">
        <f t="shared" si="526"/>
        <v>0</v>
      </c>
      <c r="BJ462" s="16">
        <f t="shared" si="527"/>
        <v>0</v>
      </c>
    </row>
    <row r="463" spans="1:62" x14ac:dyDescent="0.2">
      <c r="A463" s="4" t="s">
        <v>389</v>
      </c>
      <c r="B463" s="4" t="s">
        <v>934</v>
      </c>
      <c r="C463" s="131" t="s">
        <v>1515</v>
      </c>
      <c r="D463" s="132"/>
      <c r="E463" s="132"/>
      <c r="F463" s="4" t="s">
        <v>1666</v>
      </c>
      <c r="G463" s="68">
        <v>123</v>
      </c>
      <c r="H463" s="162">
        <v>0</v>
      </c>
      <c r="I463" s="16">
        <f t="shared" si="506"/>
        <v>0</v>
      </c>
      <c r="J463" s="16">
        <f t="shared" si="507"/>
        <v>0</v>
      </c>
      <c r="K463" s="16">
        <f t="shared" si="508"/>
        <v>0</v>
      </c>
      <c r="L463" s="27" t="s">
        <v>1692</v>
      </c>
      <c r="Z463" s="33">
        <f t="shared" si="509"/>
        <v>0</v>
      </c>
      <c r="AB463" s="33">
        <f t="shared" si="510"/>
        <v>0</v>
      </c>
      <c r="AC463" s="33">
        <f t="shared" si="511"/>
        <v>0</v>
      </c>
      <c r="AD463" s="33">
        <f t="shared" si="512"/>
        <v>0</v>
      </c>
      <c r="AE463" s="33">
        <f t="shared" si="513"/>
        <v>0</v>
      </c>
      <c r="AF463" s="33">
        <f t="shared" si="514"/>
        <v>0</v>
      </c>
      <c r="AG463" s="33">
        <f t="shared" si="515"/>
        <v>0</v>
      </c>
      <c r="AH463" s="33">
        <f t="shared" si="516"/>
        <v>0</v>
      </c>
      <c r="AI463" s="28"/>
      <c r="AJ463" s="16">
        <f t="shared" si="517"/>
        <v>0</v>
      </c>
      <c r="AK463" s="16">
        <f t="shared" si="518"/>
        <v>0</v>
      </c>
      <c r="AL463" s="16">
        <f t="shared" si="519"/>
        <v>0</v>
      </c>
      <c r="AN463" s="33">
        <v>21</v>
      </c>
      <c r="AO463" s="33">
        <f>H463*0</f>
        <v>0</v>
      </c>
      <c r="AP463" s="33">
        <f>H463*(1-0)</f>
        <v>0</v>
      </c>
      <c r="AQ463" s="27" t="s">
        <v>13</v>
      </c>
      <c r="AV463" s="33">
        <f t="shared" si="520"/>
        <v>0</v>
      </c>
      <c r="AW463" s="33">
        <f t="shared" si="521"/>
        <v>0</v>
      </c>
      <c r="AX463" s="33">
        <f t="shared" si="522"/>
        <v>0</v>
      </c>
      <c r="AY463" s="34" t="s">
        <v>1734</v>
      </c>
      <c r="AZ463" s="34" t="s">
        <v>1750</v>
      </c>
      <c r="BA463" s="28" t="s">
        <v>1752</v>
      </c>
      <c r="BC463" s="33">
        <f t="shared" si="523"/>
        <v>0</v>
      </c>
      <c r="BD463" s="33">
        <f t="shared" si="524"/>
        <v>0</v>
      </c>
      <c r="BE463" s="33">
        <v>0</v>
      </c>
      <c r="BF463" s="33">
        <f>463</f>
        <v>463</v>
      </c>
      <c r="BH463" s="16">
        <f t="shared" si="525"/>
        <v>0</v>
      </c>
      <c r="BI463" s="16">
        <f t="shared" si="526"/>
        <v>0</v>
      </c>
      <c r="BJ463" s="16">
        <f t="shared" si="527"/>
        <v>0</v>
      </c>
    </row>
    <row r="464" spans="1:62" x14ac:dyDescent="0.2">
      <c r="A464" s="4" t="s">
        <v>390</v>
      </c>
      <c r="B464" s="4" t="s">
        <v>935</v>
      </c>
      <c r="C464" s="131" t="s">
        <v>1516</v>
      </c>
      <c r="D464" s="132"/>
      <c r="E464" s="132"/>
      <c r="F464" s="4" t="s">
        <v>1666</v>
      </c>
      <c r="G464" s="68">
        <v>123</v>
      </c>
      <c r="H464" s="162">
        <v>0</v>
      </c>
      <c r="I464" s="16">
        <f t="shared" si="506"/>
        <v>0</v>
      </c>
      <c r="J464" s="16">
        <f t="shared" si="507"/>
        <v>0</v>
      </c>
      <c r="K464" s="16">
        <f t="shared" si="508"/>
        <v>0</v>
      </c>
      <c r="L464" s="27" t="s">
        <v>1692</v>
      </c>
      <c r="Z464" s="33">
        <f t="shared" si="509"/>
        <v>0</v>
      </c>
      <c r="AB464" s="33">
        <f t="shared" si="510"/>
        <v>0</v>
      </c>
      <c r="AC464" s="33">
        <f t="shared" si="511"/>
        <v>0</v>
      </c>
      <c r="AD464" s="33">
        <f t="shared" si="512"/>
        <v>0</v>
      </c>
      <c r="AE464" s="33">
        <f t="shared" si="513"/>
        <v>0</v>
      </c>
      <c r="AF464" s="33">
        <f t="shared" si="514"/>
        <v>0</v>
      </c>
      <c r="AG464" s="33">
        <f t="shared" si="515"/>
        <v>0</v>
      </c>
      <c r="AH464" s="33">
        <f t="shared" si="516"/>
        <v>0</v>
      </c>
      <c r="AI464" s="28"/>
      <c r="AJ464" s="16">
        <f t="shared" si="517"/>
        <v>0</v>
      </c>
      <c r="AK464" s="16">
        <f t="shared" si="518"/>
        <v>0</v>
      </c>
      <c r="AL464" s="16">
        <f t="shared" si="519"/>
        <v>0</v>
      </c>
      <c r="AN464" s="33">
        <v>21</v>
      </c>
      <c r="AO464" s="33">
        <f>H464*0.114035087719298</f>
        <v>0</v>
      </c>
      <c r="AP464" s="33">
        <f>H464*(1-0.114035087719298)</f>
        <v>0</v>
      </c>
      <c r="AQ464" s="27" t="s">
        <v>13</v>
      </c>
      <c r="AV464" s="33">
        <f t="shared" si="520"/>
        <v>0</v>
      </c>
      <c r="AW464" s="33">
        <f t="shared" si="521"/>
        <v>0</v>
      </c>
      <c r="AX464" s="33">
        <f t="shared" si="522"/>
        <v>0</v>
      </c>
      <c r="AY464" s="34" t="s">
        <v>1734</v>
      </c>
      <c r="AZ464" s="34" t="s">
        <v>1750</v>
      </c>
      <c r="BA464" s="28" t="s">
        <v>1752</v>
      </c>
      <c r="BC464" s="33">
        <f t="shared" si="523"/>
        <v>0</v>
      </c>
      <c r="BD464" s="33">
        <f t="shared" si="524"/>
        <v>0</v>
      </c>
      <c r="BE464" s="33">
        <v>0</v>
      </c>
      <c r="BF464" s="33">
        <f>464</f>
        <v>464</v>
      </c>
      <c r="BH464" s="16">
        <f t="shared" si="525"/>
        <v>0</v>
      </c>
      <c r="BI464" s="16">
        <f t="shared" si="526"/>
        <v>0</v>
      </c>
      <c r="BJ464" s="16">
        <f t="shared" si="527"/>
        <v>0</v>
      </c>
    </row>
    <row r="465" spans="1:62" x14ac:dyDescent="0.2">
      <c r="A465" s="6" t="s">
        <v>391</v>
      </c>
      <c r="B465" s="6" t="s">
        <v>936</v>
      </c>
      <c r="C465" s="144" t="s">
        <v>1517</v>
      </c>
      <c r="D465" s="139"/>
      <c r="E465" s="139"/>
      <c r="F465" s="6" t="s">
        <v>1666</v>
      </c>
      <c r="G465" s="71">
        <v>135.30000000000001</v>
      </c>
      <c r="H465" s="165">
        <v>0</v>
      </c>
      <c r="I465" s="17">
        <f t="shared" si="506"/>
        <v>0</v>
      </c>
      <c r="J465" s="17">
        <f t="shared" si="507"/>
        <v>0</v>
      </c>
      <c r="K465" s="17">
        <f t="shared" si="508"/>
        <v>0</v>
      </c>
      <c r="L465" s="29" t="s">
        <v>1692</v>
      </c>
      <c r="Z465" s="33">
        <f t="shared" si="509"/>
        <v>0</v>
      </c>
      <c r="AB465" s="33">
        <f t="shared" si="510"/>
        <v>0</v>
      </c>
      <c r="AC465" s="33">
        <f t="shared" si="511"/>
        <v>0</v>
      </c>
      <c r="AD465" s="33">
        <f t="shared" si="512"/>
        <v>0</v>
      </c>
      <c r="AE465" s="33">
        <f t="shared" si="513"/>
        <v>0</v>
      </c>
      <c r="AF465" s="33">
        <f t="shared" si="514"/>
        <v>0</v>
      </c>
      <c r="AG465" s="33">
        <f t="shared" si="515"/>
        <v>0</v>
      </c>
      <c r="AH465" s="33">
        <f t="shared" si="516"/>
        <v>0</v>
      </c>
      <c r="AI465" s="28"/>
      <c r="AJ465" s="17">
        <f t="shared" si="517"/>
        <v>0</v>
      </c>
      <c r="AK465" s="17">
        <f t="shared" si="518"/>
        <v>0</v>
      </c>
      <c r="AL465" s="17">
        <f t="shared" si="519"/>
        <v>0</v>
      </c>
      <c r="AN465" s="33">
        <v>21</v>
      </c>
      <c r="AO465" s="33">
        <f>H465*1</f>
        <v>0</v>
      </c>
      <c r="AP465" s="33">
        <f>H465*(1-1)</f>
        <v>0</v>
      </c>
      <c r="AQ465" s="29" t="s">
        <v>13</v>
      </c>
      <c r="AV465" s="33">
        <f t="shared" si="520"/>
        <v>0</v>
      </c>
      <c r="AW465" s="33">
        <f t="shared" si="521"/>
        <v>0</v>
      </c>
      <c r="AX465" s="33">
        <f t="shared" si="522"/>
        <v>0</v>
      </c>
      <c r="AY465" s="34" t="s">
        <v>1734</v>
      </c>
      <c r="AZ465" s="34" t="s">
        <v>1750</v>
      </c>
      <c r="BA465" s="28" t="s">
        <v>1752</v>
      </c>
      <c r="BC465" s="33">
        <f t="shared" si="523"/>
        <v>0</v>
      </c>
      <c r="BD465" s="33">
        <f t="shared" si="524"/>
        <v>0</v>
      </c>
      <c r="BE465" s="33">
        <v>0</v>
      </c>
      <c r="BF465" s="33">
        <f>465</f>
        <v>465</v>
      </c>
      <c r="BH465" s="17">
        <f t="shared" si="525"/>
        <v>0</v>
      </c>
      <c r="BI465" s="17">
        <f t="shared" si="526"/>
        <v>0</v>
      </c>
      <c r="BJ465" s="17">
        <f t="shared" si="527"/>
        <v>0</v>
      </c>
    </row>
    <row r="466" spans="1:62" x14ac:dyDescent="0.2">
      <c r="A466" s="4" t="s">
        <v>392</v>
      </c>
      <c r="B466" s="4" t="s">
        <v>937</v>
      </c>
      <c r="C466" s="131" t="s">
        <v>1518</v>
      </c>
      <c r="D466" s="132"/>
      <c r="E466" s="132"/>
      <c r="F466" s="4" t="s">
        <v>1663</v>
      </c>
      <c r="G466" s="68">
        <v>135</v>
      </c>
      <c r="H466" s="162">
        <v>0</v>
      </c>
      <c r="I466" s="16">
        <f t="shared" si="506"/>
        <v>0</v>
      </c>
      <c r="J466" s="16">
        <f t="shared" si="507"/>
        <v>0</v>
      </c>
      <c r="K466" s="16">
        <f t="shared" si="508"/>
        <v>0</v>
      </c>
      <c r="L466" s="27" t="s">
        <v>1692</v>
      </c>
      <c r="Z466" s="33">
        <f t="shared" si="509"/>
        <v>0</v>
      </c>
      <c r="AB466" s="33">
        <f t="shared" si="510"/>
        <v>0</v>
      </c>
      <c r="AC466" s="33">
        <f t="shared" si="511"/>
        <v>0</v>
      </c>
      <c r="AD466" s="33">
        <f t="shared" si="512"/>
        <v>0</v>
      </c>
      <c r="AE466" s="33">
        <f t="shared" si="513"/>
        <v>0</v>
      </c>
      <c r="AF466" s="33">
        <f t="shared" si="514"/>
        <v>0</v>
      </c>
      <c r="AG466" s="33">
        <f t="shared" si="515"/>
        <v>0</v>
      </c>
      <c r="AH466" s="33">
        <f t="shared" si="516"/>
        <v>0</v>
      </c>
      <c r="AI466" s="28"/>
      <c r="AJ466" s="16">
        <f t="shared" si="517"/>
        <v>0</v>
      </c>
      <c r="AK466" s="16">
        <f t="shared" si="518"/>
        <v>0</v>
      </c>
      <c r="AL466" s="16">
        <f t="shared" si="519"/>
        <v>0</v>
      </c>
      <c r="AN466" s="33">
        <v>21</v>
      </c>
      <c r="AO466" s="33">
        <f>H466*0</f>
        <v>0</v>
      </c>
      <c r="AP466" s="33">
        <f>H466*(1-0)</f>
        <v>0</v>
      </c>
      <c r="AQ466" s="27" t="s">
        <v>13</v>
      </c>
      <c r="AV466" s="33">
        <f t="shared" si="520"/>
        <v>0</v>
      </c>
      <c r="AW466" s="33">
        <f t="shared" si="521"/>
        <v>0</v>
      </c>
      <c r="AX466" s="33">
        <f t="shared" si="522"/>
        <v>0</v>
      </c>
      <c r="AY466" s="34" t="s">
        <v>1734</v>
      </c>
      <c r="AZ466" s="34" t="s">
        <v>1750</v>
      </c>
      <c r="BA466" s="28" t="s">
        <v>1752</v>
      </c>
      <c r="BC466" s="33">
        <f t="shared" si="523"/>
        <v>0</v>
      </c>
      <c r="BD466" s="33">
        <f t="shared" si="524"/>
        <v>0</v>
      </c>
      <c r="BE466" s="33">
        <v>0</v>
      </c>
      <c r="BF466" s="33">
        <f>466</f>
        <v>466</v>
      </c>
      <c r="BH466" s="16">
        <f t="shared" si="525"/>
        <v>0</v>
      </c>
      <c r="BI466" s="16">
        <f t="shared" si="526"/>
        <v>0</v>
      </c>
      <c r="BJ466" s="16">
        <f t="shared" si="527"/>
        <v>0</v>
      </c>
    </row>
    <row r="467" spans="1:62" x14ac:dyDescent="0.2">
      <c r="A467" s="4" t="s">
        <v>393</v>
      </c>
      <c r="B467" s="4" t="s">
        <v>938</v>
      </c>
      <c r="C467" s="131" t="s">
        <v>1519</v>
      </c>
      <c r="D467" s="132"/>
      <c r="E467" s="132"/>
      <c r="F467" s="4" t="s">
        <v>1663</v>
      </c>
      <c r="G467" s="68">
        <v>135</v>
      </c>
      <c r="H467" s="162">
        <v>0</v>
      </c>
      <c r="I467" s="16">
        <f t="shared" si="506"/>
        <v>0</v>
      </c>
      <c r="J467" s="16">
        <f t="shared" si="507"/>
        <v>0</v>
      </c>
      <c r="K467" s="16">
        <f t="shared" si="508"/>
        <v>0</v>
      </c>
      <c r="L467" s="27" t="s">
        <v>1692</v>
      </c>
      <c r="Z467" s="33">
        <f t="shared" si="509"/>
        <v>0</v>
      </c>
      <c r="AB467" s="33">
        <f t="shared" si="510"/>
        <v>0</v>
      </c>
      <c r="AC467" s="33">
        <f t="shared" si="511"/>
        <v>0</v>
      </c>
      <c r="AD467" s="33">
        <f t="shared" si="512"/>
        <v>0</v>
      </c>
      <c r="AE467" s="33">
        <f t="shared" si="513"/>
        <v>0</v>
      </c>
      <c r="AF467" s="33">
        <f t="shared" si="514"/>
        <v>0</v>
      </c>
      <c r="AG467" s="33">
        <f t="shared" si="515"/>
        <v>0</v>
      </c>
      <c r="AH467" s="33">
        <f t="shared" si="516"/>
        <v>0</v>
      </c>
      <c r="AI467" s="28"/>
      <c r="AJ467" s="16">
        <f t="shared" si="517"/>
        <v>0</v>
      </c>
      <c r="AK467" s="16">
        <f t="shared" si="518"/>
        <v>0</v>
      </c>
      <c r="AL467" s="16">
        <f t="shared" si="519"/>
        <v>0</v>
      </c>
      <c r="AN467" s="33">
        <v>21</v>
      </c>
      <c r="AO467" s="33">
        <f>H467*0.269594103602201</f>
        <v>0</v>
      </c>
      <c r="AP467" s="33">
        <f>H467*(1-0.269594103602201)</f>
        <v>0</v>
      </c>
      <c r="AQ467" s="27" t="s">
        <v>13</v>
      </c>
      <c r="AV467" s="33">
        <f t="shared" si="520"/>
        <v>0</v>
      </c>
      <c r="AW467" s="33">
        <f t="shared" si="521"/>
        <v>0</v>
      </c>
      <c r="AX467" s="33">
        <f t="shared" si="522"/>
        <v>0</v>
      </c>
      <c r="AY467" s="34" t="s">
        <v>1734</v>
      </c>
      <c r="AZ467" s="34" t="s">
        <v>1750</v>
      </c>
      <c r="BA467" s="28" t="s">
        <v>1752</v>
      </c>
      <c r="BC467" s="33">
        <f t="shared" si="523"/>
        <v>0</v>
      </c>
      <c r="BD467" s="33">
        <f t="shared" si="524"/>
        <v>0</v>
      </c>
      <c r="BE467" s="33">
        <v>0</v>
      </c>
      <c r="BF467" s="33">
        <f>467</f>
        <v>467</v>
      </c>
      <c r="BH467" s="16">
        <f t="shared" si="525"/>
        <v>0</v>
      </c>
      <c r="BI467" s="16">
        <f t="shared" si="526"/>
        <v>0</v>
      </c>
      <c r="BJ467" s="16">
        <f t="shared" si="527"/>
        <v>0</v>
      </c>
    </row>
    <row r="468" spans="1:62" x14ac:dyDescent="0.2">
      <c r="A468" s="6" t="s">
        <v>394</v>
      </c>
      <c r="B468" s="6" t="s">
        <v>939</v>
      </c>
      <c r="C468" s="144" t="s">
        <v>1520</v>
      </c>
      <c r="D468" s="139"/>
      <c r="E468" s="139"/>
      <c r="F468" s="6" t="s">
        <v>1663</v>
      </c>
      <c r="G468" s="71">
        <v>168.75</v>
      </c>
      <c r="H468" s="165">
        <v>0</v>
      </c>
      <c r="I468" s="17">
        <f t="shared" si="506"/>
        <v>0</v>
      </c>
      <c r="J468" s="17">
        <f t="shared" si="507"/>
        <v>0</v>
      </c>
      <c r="K468" s="17">
        <f t="shared" si="508"/>
        <v>0</v>
      </c>
      <c r="L468" s="29" t="s">
        <v>1692</v>
      </c>
      <c r="Z468" s="33">
        <f t="shared" si="509"/>
        <v>0</v>
      </c>
      <c r="AB468" s="33">
        <f t="shared" si="510"/>
        <v>0</v>
      </c>
      <c r="AC468" s="33">
        <f t="shared" si="511"/>
        <v>0</v>
      </c>
      <c r="AD468" s="33">
        <f t="shared" si="512"/>
        <v>0</v>
      </c>
      <c r="AE468" s="33">
        <f t="shared" si="513"/>
        <v>0</v>
      </c>
      <c r="AF468" s="33">
        <f t="shared" si="514"/>
        <v>0</v>
      </c>
      <c r="AG468" s="33">
        <f t="shared" si="515"/>
        <v>0</v>
      </c>
      <c r="AH468" s="33">
        <f t="shared" si="516"/>
        <v>0</v>
      </c>
      <c r="AI468" s="28"/>
      <c r="AJ468" s="17">
        <f t="shared" si="517"/>
        <v>0</v>
      </c>
      <c r="AK468" s="17">
        <f t="shared" si="518"/>
        <v>0</v>
      </c>
      <c r="AL468" s="17">
        <f t="shared" si="519"/>
        <v>0</v>
      </c>
      <c r="AN468" s="33">
        <v>21</v>
      </c>
      <c r="AO468" s="33">
        <f>H468*1</f>
        <v>0</v>
      </c>
      <c r="AP468" s="33">
        <f>H468*(1-1)</f>
        <v>0</v>
      </c>
      <c r="AQ468" s="29" t="s">
        <v>13</v>
      </c>
      <c r="AV468" s="33">
        <f t="shared" si="520"/>
        <v>0</v>
      </c>
      <c r="AW468" s="33">
        <f t="shared" si="521"/>
        <v>0</v>
      </c>
      <c r="AX468" s="33">
        <f t="shared" si="522"/>
        <v>0</v>
      </c>
      <c r="AY468" s="34" t="s">
        <v>1734</v>
      </c>
      <c r="AZ468" s="34" t="s">
        <v>1750</v>
      </c>
      <c r="BA468" s="28" t="s">
        <v>1752</v>
      </c>
      <c r="BC468" s="33">
        <f t="shared" si="523"/>
        <v>0</v>
      </c>
      <c r="BD468" s="33">
        <f t="shared" si="524"/>
        <v>0</v>
      </c>
      <c r="BE468" s="33">
        <v>0</v>
      </c>
      <c r="BF468" s="33">
        <f>468</f>
        <v>468</v>
      </c>
      <c r="BH468" s="17">
        <f t="shared" si="525"/>
        <v>0</v>
      </c>
      <c r="BI468" s="17">
        <f t="shared" si="526"/>
        <v>0</v>
      </c>
      <c r="BJ468" s="17">
        <f t="shared" si="527"/>
        <v>0</v>
      </c>
    </row>
    <row r="469" spans="1:62" x14ac:dyDescent="0.2">
      <c r="A469" s="4" t="s">
        <v>395</v>
      </c>
      <c r="B469" s="4" t="s">
        <v>940</v>
      </c>
      <c r="C469" s="131" t="s">
        <v>1521</v>
      </c>
      <c r="D469" s="132"/>
      <c r="E469" s="132"/>
      <c r="F469" s="4" t="s">
        <v>1664</v>
      </c>
      <c r="G469" s="68">
        <v>1.593</v>
      </c>
      <c r="H469" s="162">
        <v>0</v>
      </c>
      <c r="I469" s="16">
        <f t="shared" si="506"/>
        <v>0</v>
      </c>
      <c r="J469" s="16">
        <f t="shared" si="507"/>
        <v>0</v>
      </c>
      <c r="K469" s="16">
        <f t="shared" si="508"/>
        <v>0</v>
      </c>
      <c r="L469" s="27" t="s">
        <v>1692</v>
      </c>
      <c r="Z469" s="33">
        <f t="shared" si="509"/>
        <v>0</v>
      </c>
      <c r="AB469" s="33">
        <f t="shared" si="510"/>
        <v>0</v>
      </c>
      <c r="AC469" s="33">
        <f t="shared" si="511"/>
        <v>0</v>
      </c>
      <c r="AD469" s="33">
        <f t="shared" si="512"/>
        <v>0</v>
      </c>
      <c r="AE469" s="33">
        <f t="shared" si="513"/>
        <v>0</v>
      </c>
      <c r="AF469" s="33">
        <f t="shared" si="514"/>
        <v>0</v>
      </c>
      <c r="AG469" s="33">
        <f t="shared" si="515"/>
        <v>0</v>
      </c>
      <c r="AH469" s="33">
        <f t="shared" si="516"/>
        <v>0</v>
      </c>
      <c r="AI469" s="28"/>
      <c r="AJ469" s="16">
        <f t="shared" si="517"/>
        <v>0</v>
      </c>
      <c r="AK469" s="16">
        <f t="shared" si="518"/>
        <v>0</v>
      </c>
      <c r="AL469" s="16">
        <f t="shared" si="519"/>
        <v>0</v>
      </c>
      <c r="AN469" s="33">
        <v>21</v>
      </c>
      <c r="AO469" s="33">
        <f>H469*0</f>
        <v>0</v>
      </c>
      <c r="AP469" s="33">
        <f>H469*(1-0)</f>
        <v>0</v>
      </c>
      <c r="AQ469" s="27" t="s">
        <v>11</v>
      </c>
      <c r="AV469" s="33">
        <f t="shared" si="520"/>
        <v>0</v>
      </c>
      <c r="AW469" s="33">
        <f t="shared" si="521"/>
        <v>0</v>
      </c>
      <c r="AX469" s="33">
        <f t="shared" si="522"/>
        <v>0</v>
      </c>
      <c r="AY469" s="34" t="s">
        <v>1734</v>
      </c>
      <c r="AZ469" s="34" t="s">
        <v>1750</v>
      </c>
      <c r="BA469" s="28" t="s">
        <v>1752</v>
      </c>
      <c r="BC469" s="33">
        <f t="shared" si="523"/>
        <v>0</v>
      </c>
      <c r="BD469" s="33">
        <f t="shared" si="524"/>
        <v>0</v>
      </c>
      <c r="BE469" s="33">
        <v>0</v>
      </c>
      <c r="BF469" s="33">
        <f>469</f>
        <v>469</v>
      </c>
      <c r="BH469" s="16">
        <f t="shared" si="525"/>
        <v>0</v>
      </c>
      <c r="BI469" s="16">
        <f t="shared" si="526"/>
        <v>0</v>
      </c>
      <c r="BJ469" s="16">
        <f t="shared" si="527"/>
        <v>0</v>
      </c>
    </row>
    <row r="470" spans="1:62" x14ac:dyDescent="0.2">
      <c r="A470" s="5"/>
      <c r="B470" s="13" t="s">
        <v>941</v>
      </c>
      <c r="C470" s="136" t="s">
        <v>1522</v>
      </c>
      <c r="D470" s="137"/>
      <c r="E470" s="137"/>
      <c r="F470" s="5" t="s">
        <v>6</v>
      </c>
      <c r="G470" s="5" t="s">
        <v>6</v>
      </c>
      <c r="H470" s="163" t="s">
        <v>6</v>
      </c>
      <c r="I470" s="36">
        <f>SUM(I471:I479)</f>
        <v>0</v>
      </c>
      <c r="J470" s="36">
        <f>SUM(J471:J479)</f>
        <v>0</v>
      </c>
      <c r="K470" s="36">
        <f>SUM(K471:K479)</f>
        <v>0</v>
      </c>
      <c r="L470" s="28"/>
      <c r="AI470" s="28"/>
      <c r="AS470" s="36">
        <f>SUM(AJ471:AJ479)</f>
        <v>0</v>
      </c>
      <c r="AT470" s="36">
        <f>SUM(AK471:AK479)</f>
        <v>0</v>
      </c>
      <c r="AU470" s="36">
        <f>SUM(AL471:AL479)</f>
        <v>0</v>
      </c>
    </row>
    <row r="471" spans="1:62" x14ac:dyDescent="0.2">
      <c r="A471" s="4" t="s">
        <v>396</v>
      </c>
      <c r="B471" s="4" t="s">
        <v>942</v>
      </c>
      <c r="C471" s="131" t="s">
        <v>1523</v>
      </c>
      <c r="D471" s="132"/>
      <c r="E471" s="132"/>
      <c r="F471" s="4" t="s">
        <v>1663</v>
      </c>
      <c r="G471" s="68">
        <v>17.806999999999999</v>
      </c>
      <c r="H471" s="162">
        <v>0</v>
      </c>
      <c r="I471" s="16">
        <f t="shared" ref="I471:I479" si="528">G471*AO471</f>
        <v>0</v>
      </c>
      <c r="J471" s="16">
        <f t="shared" ref="J471:J479" si="529">G471*AP471</f>
        <v>0</v>
      </c>
      <c r="K471" s="16">
        <f t="shared" ref="K471:K479" si="530">G471*H471</f>
        <v>0</v>
      </c>
      <c r="L471" s="27" t="s">
        <v>1692</v>
      </c>
      <c r="Z471" s="33">
        <f t="shared" ref="Z471:Z479" si="531">IF(AQ471="5",BJ471,0)</f>
        <v>0</v>
      </c>
      <c r="AB471" s="33">
        <f t="shared" ref="AB471:AB479" si="532">IF(AQ471="1",BH471,0)</f>
        <v>0</v>
      </c>
      <c r="AC471" s="33">
        <f t="shared" ref="AC471:AC479" si="533">IF(AQ471="1",BI471,0)</f>
        <v>0</v>
      </c>
      <c r="AD471" s="33">
        <f t="shared" ref="AD471:AD479" si="534">IF(AQ471="7",BH471,0)</f>
        <v>0</v>
      </c>
      <c r="AE471" s="33">
        <f t="shared" ref="AE471:AE479" si="535">IF(AQ471="7",BI471,0)</f>
        <v>0</v>
      </c>
      <c r="AF471" s="33">
        <f t="shared" ref="AF471:AF479" si="536">IF(AQ471="2",BH471,0)</f>
        <v>0</v>
      </c>
      <c r="AG471" s="33">
        <f t="shared" ref="AG471:AG479" si="537">IF(AQ471="2",BI471,0)</f>
        <v>0</v>
      </c>
      <c r="AH471" s="33">
        <f t="shared" ref="AH471:AH479" si="538">IF(AQ471="0",BJ471,0)</f>
        <v>0</v>
      </c>
      <c r="AI471" s="28"/>
      <c r="AJ471" s="16">
        <f t="shared" ref="AJ471:AJ479" si="539">IF(AN471=0,K471,0)</f>
        <v>0</v>
      </c>
      <c r="AK471" s="16">
        <f t="shared" ref="AK471:AK479" si="540">IF(AN471=15,K471,0)</f>
        <v>0</v>
      </c>
      <c r="AL471" s="16">
        <f t="shared" ref="AL471:AL479" si="541">IF(AN471=21,K471,0)</f>
        <v>0</v>
      </c>
      <c r="AN471" s="33">
        <v>21</v>
      </c>
      <c r="AO471" s="33">
        <f>H471*0.466664130526672</f>
        <v>0</v>
      </c>
      <c r="AP471" s="33">
        <f>H471*(1-0.466664130526672)</f>
        <v>0</v>
      </c>
      <c r="AQ471" s="27" t="s">
        <v>13</v>
      </c>
      <c r="AV471" s="33">
        <f t="shared" ref="AV471:AV479" si="542">AW471+AX471</f>
        <v>0</v>
      </c>
      <c r="AW471" s="33">
        <f t="shared" ref="AW471:AW479" si="543">G471*AO471</f>
        <v>0</v>
      </c>
      <c r="AX471" s="33">
        <f t="shared" ref="AX471:AX479" si="544">G471*AP471</f>
        <v>0</v>
      </c>
      <c r="AY471" s="34" t="s">
        <v>1735</v>
      </c>
      <c r="AZ471" s="34" t="s">
        <v>1751</v>
      </c>
      <c r="BA471" s="28" t="s">
        <v>1752</v>
      </c>
      <c r="BC471" s="33">
        <f t="shared" ref="BC471:BC479" si="545">AW471+AX471</f>
        <v>0</v>
      </c>
      <c r="BD471" s="33">
        <f t="shared" ref="BD471:BD479" si="546">H471/(100-BE471)*100</f>
        <v>0</v>
      </c>
      <c r="BE471" s="33">
        <v>0</v>
      </c>
      <c r="BF471" s="33">
        <f>471</f>
        <v>471</v>
      </c>
      <c r="BH471" s="16">
        <f t="shared" ref="BH471:BH479" si="547">G471*AO471</f>
        <v>0</v>
      </c>
      <c r="BI471" s="16">
        <f t="shared" ref="BI471:BI479" si="548">G471*AP471</f>
        <v>0</v>
      </c>
      <c r="BJ471" s="16">
        <f t="shared" ref="BJ471:BJ479" si="549">G471*H471</f>
        <v>0</v>
      </c>
    </row>
    <row r="472" spans="1:62" x14ac:dyDescent="0.2">
      <c r="A472" s="4" t="s">
        <v>397</v>
      </c>
      <c r="B472" s="4" t="s">
        <v>943</v>
      </c>
      <c r="C472" s="131" t="s">
        <v>1524</v>
      </c>
      <c r="D472" s="132"/>
      <c r="E472" s="132"/>
      <c r="F472" s="4" t="s">
        <v>1666</v>
      </c>
      <c r="G472" s="68">
        <v>39.549999999999997</v>
      </c>
      <c r="H472" s="162">
        <v>0</v>
      </c>
      <c r="I472" s="16">
        <f t="shared" si="528"/>
        <v>0</v>
      </c>
      <c r="J472" s="16">
        <f t="shared" si="529"/>
        <v>0</v>
      </c>
      <c r="K472" s="16">
        <f t="shared" si="530"/>
        <v>0</v>
      </c>
      <c r="L472" s="27" t="s">
        <v>1692</v>
      </c>
      <c r="Z472" s="33">
        <f t="shared" si="531"/>
        <v>0</v>
      </c>
      <c r="AB472" s="33">
        <f t="shared" si="532"/>
        <v>0</v>
      </c>
      <c r="AC472" s="33">
        <f t="shared" si="533"/>
        <v>0</v>
      </c>
      <c r="AD472" s="33">
        <f t="shared" si="534"/>
        <v>0</v>
      </c>
      <c r="AE472" s="33">
        <f t="shared" si="535"/>
        <v>0</v>
      </c>
      <c r="AF472" s="33">
        <f t="shared" si="536"/>
        <v>0</v>
      </c>
      <c r="AG472" s="33">
        <f t="shared" si="537"/>
        <v>0</v>
      </c>
      <c r="AH472" s="33">
        <f t="shared" si="538"/>
        <v>0</v>
      </c>
      <c r="AI472" s="28"/>
      <c r="AJ472" s="16">
        <f t="shared" si="539"/>
        <v>0</v>
      </c>
      <c r="AK472" s="16">
        <f t="shared" si="540"/>
        <v>0</v>
      </c>
      <c r="AL472" s="16">
        <f t="shared" si="541"/>
        <v>0</v>
      </c>
      <c r="AN472" s="33">
        <v>21</v>
      </c>
      <c r="AO472" s="33">
        <f>H472*0</f>
        <v>0</v>
      </c>
      <c r="AP472" s="33">
        <f>H472*(1-0)</f>
        <v>0</v>
      </c>
      <c r="AQ472" s="27" t="s">
        <v>13</v>
      </c>
      <c r="AV472" s="33">
        <f t="shared" si="542"/>
        <v>0</v>
      </c>
      <c r="AW472" s="33">
        <f t="shared" si="543"/>
        <v>0</v>
      </c>
      <c r="AX472" s="33">
        <f t="shared" si="544"/>
        <v>0</v>
      </c>
      <c r="AY472" s="34" t="s">
        <v>1735</v>
      </c>
      <c r="AZ472" s="34" t="s">
        <v>1751</v>
      </c>
      <c r="BA472" s="28" t="s">
        <v>1752</v>
      </c>
      <c r="BC472" s="33">
        <f t="shared" si="545"/>
        <v>0</v>
      </c>
      <c r="BD472" s="33">
        <f t="shared" si="546"/>
        <v>0</v>
      </c>
      <c r="BE472" s="33">
        <v>0</v>
      </c>
      <c r="BF472" s="33">
        <f>472</f>
        <v>472</v>
      </c>
      <c r="BH472" s="16">
        <f t="shared" si="547"/>
        <v>0</v>
      </c>
      <c r="BI472" s="16">
        <f t="shared" si="548"/>
        <v>0</v>
      </c>
      <c r="BJ472" s="16">
        <f t="shared" si="549"/>
        <v>0</v>
      </c>
    </row>
    <row r="473" spans="1:62" x14ac:dyDescent="0.2">
      <c r="A473" s="6" t="s">
        <v>398</v>
      </c>
      <c r="B473" s="6" t="s">
        <v>944</v>
      </c>
      <c r="C473" s="144" t="s">
        <v>1525</v>
      </c>
      <c r="D473" s="139"/>
      <c r="E473" s="139"/>
      <c r="F473" s="6" t="s">
        <v>1663</v>
      </c>
      <c r="G473" s="71">
        <v>11.903</v>
      </c>
      <c r="H473" s="165">
        <v>0</v>
      </c>
      <c r="I473" s="17">
        <f t="shared" si="528"/>
        <v>0</v>
      </c>
      <c r="J473" s="17">
        <f t="shared" si="529"/>
        <v>0</v>
      </c>
      <c r="K473" s="17">
        <f t="shared" si="530"/>
        <v>0</v>
      </c>
      <c r="L473" s="29" t="s">
        <v>1692</v>
      </c>
      <c r="Z473" s="33">
        <f t="shared" si="531"/>
        <v>0</v>
      </c>
      <c r="AB473" s="33">
        <f t="shared" si="532"/>
        <v>0</v>
      </c>
      <c r="AC473" s="33">
        <f t="shared" si="533"/>
        <v>0</v>
      </c>
      <c r="AD473" s="33">
        <f t="shared" si="534"/>
        <v>0</v>
      </c>
      <c r="AE473" s="33">
        <f t="shared" si="535"/>
        <v>0</v>
      </c>
      <c r="AF473" s="33">
        <f t="shared" si="536"/>
        <v>0</v>
      </c>
      <c r="AG473" s="33">
        <f t="shared" si="537"/>
        <v>0</v>
      </c>
      <c r="AH473" s="33">
        <f t="shared" si="538"/>
        <v>0</v>
      </c>
      <c r="AI473" s="28"/>
      <c r="AJ473" s="17">
        <f t="shared" si="539"/>
        <v>0</v>
      </c>
      <c r="AK473" s="17">
        <f t="shared" si="540"/>
        <v>0</v>
      </c>
      <c r="AL473" s="17">
        <f t="shared" si="541"/>
        <v>0</v>
      </c>
      <c r="AN473" s="33">
        <v>21</v>
      </c>
      <c r="AO473" s="33">
        <f>H473*1</f>
        <v>0</v>
      </c>
      <c r="AP473" s="33">
        <f>H473*(1-1)</f>
        <v>0</v>
      </c>
      <c r="AQ473" s="29" t="s">
        <v>13</v>
      </c>
      <c r="AV473" s="33">
        <f t="shared" si="542"/>
        <v>0</v>
      </c>
      <c r="AW473" s="33">
        <f t="shared" si="543"/>
        <v>0</v>
      </c>
      <c r="AX473" s="33">
        <f t="shared" si="544"/>
        <v>0</v>
      </c>
      <c r="AY473" s="34" t="s">
        <v>1735</v>
      </c>
      <c r="AZ473" s="34" t="s">
        <v>1751</v>
      </c>
      <c r="BA473" s="28" t="s">
        <v>1752</v>
      </c>
      <c r="BC473" s="33">
        <f t="shared" si="545"/>
        <v>0</v>
      </c>
      <c r="BD473" s="33">
        <f t="shared" si="546"/>
        <v>0</v>
      </c>
      <c r="BE473" s="33">
        <v>0</v>
      </c>
      <c r="BF473" s="33">
        <f>473</f>
        <v>473</v>
      </c>
      <c r="BH473" s="17">
        <f t="shared" si="547"/>
        <v>0</v>
      </c>
      <c r="BI473" s="17">
        <f t="shared" si="548"/>
        <v>0</v>
      </c>
      <c r="BJ473" s="17">
        <f t="shared" si="549"/>
        <v>0</v>
      </c>
    </row>
    <row r="474" spans="1:62" x14ac:dyDescent="0.2">
      <c r="A474" s="4" t="s">
        <v>399</v>
      </c>
      <c r="B474" s="4" t="s">
        <v>945</v>
      </c>
      <c r="C474" s="131" t="s">
        <v>1526</v>
      </c>
      <c r="D474" s="132"/>
      <c r="E474" s="132"/>
      <c r="F474" s="4" t="s">
        <v>1663</v>
      </c>
      <c r="G474" s="68">
        <v>8.99</v>
      </c>
      <c r="H474" s="162">
        <v>0</v>
      </c>
      <c r="I474" s="16">
        <f t="shared" si="528"/>
        <v>0</v>
      </c>
      <c r="J474" s="16">
        <f t="shared" si="529"/>
        <v>0</v>
      </c>
      <c r="K474" s="16">
        <f t="shared" si="530"/>
        <v>0</v>
      </c>
      <c r="L474" s="27" t="s">
        <v>1692</v>
      </c>
      <c r="Z474" s="33">
        <f t="shared" si="531"/>
        <v>0</v>
      </c>
      <c r="AB474" s="33">
        <f t="shared" si="532"/>
        <v>0</v>
      </c>
      <c r="AC474" s="33">
        <f t="shared" si="533"/>
        <v>0</v>
      </c>
      <c r="AD474" s="33">
        <f t="shared" si="534"/>
        <v>0</v>
      </c>
      <c r="AE474" s="33">
        <f t="shared" si="535"/>
        <v>0</v>
      </c>
      <c r="AF474" s="33">
        <f t="shared" si="536"/>
        <v>0</v>
      </c>
      <c r="AG474" s="33">
        <f t="shared" si="537"/>
        <v>0</v>
      </c>
      <c r="AH474" s="33">
        <f t="shared" si="538"/>
        <v>0</v>
      </c>
      <c r="AI474" s="28"/>
      <c r="AJ474" s="16">
        <f t="shared" si="539"/>
        <v>0</v>
      </c>
      <c r="AK474" s="16">
        <f t="shared" si="540"/>
        <v>0</v>
      </c>
      <c r="AL474" s="16">
        <f t="shared" si="541"/>
        <v>0</v>
      </c>
      <c r="AN474" s="33">
        <v>21</v>
      </c>
      <c r="AO474" s="33">
        <f>H474*0.161526586620926</f>
        <v>0</v>
      </c>
      <c r="AP474" s="33">
        <f>H474*(1-0.161526586620926)</f>
        <v>0</v>
      </c>
      <c r="AQ474" s="27" t="s">
        <v>13</v>
      </c>
      <c r="AV474" s="33">
        <f t="shared" si="542"/>
        <v>0</v>
      </c>
      <c r="AW474" s="33">
        <f t="shared" si="543"/>
        <v>0</v>
      </c>
      <c r="AX474" s="33">
        <f t="shared" si="544"/>
        <v>0</v>
      </c>
      <c r="AY474" s="34" t="s">
        <v>1735</v>
      </c>
      <c r="AZ474" s="34" t="s">
        <v>1751</v>
      </c>
      <c r="BA474" s="28" t="s">
        <v>1752</v>
      </c>
      <c r="BC474" s="33">
        <f t="shared" si="545"/>
        <v>0</v>
      </c>
      <c r="BD474" s="33">
        <f t="shared" si="546"/>
        <v>0</v>
      </c>
      <c r="BE474" s="33">
        <v>0</v>
      </c>
      <c r="BF474" s="33">
        <f>474</f>
        <v>474</v>
      </c>
      <c r="BH474" s="16">
        <f t="shared" si="547"/>
        <v>0</v>
      </c>
      <c r="BI474" s="16">
        <f t="shared" si="548"/>
        <v>0</v>
      </c>
      <c r="BJ474" s="16">
        <f t="shared" si="549"/>
        <v>0</v>
      </c>
    </row>
    <row r="475" spans="1:62" x14ac:dyDescent="0.2">
      <c r="A475" s="6" t="s">
        <v>400</v>
      </c>
      <c r="B475" s="6" t="s">
        <v>944</v>
      </c>
      <c r="C475" s="144" t="s">
        <v>1525</v>
      </c>
      <c r="D475" s="139"/>
      <c r="E475" s="139"/>
      <c r="F475" s="6" t="s">
        <v>1663</v>
      </c>
      <c r="G475" s="71">
        <v>9.8889999999999993</v>
      </c>
      <c r="H475" s="165">
        <v>0</v>
      </c>
      <c r="I475" s="17">
        <f t="shared" si="528"/>
        <v>0</v>
      </c>
      <c r="J475" s="17">
        <f t="shared" si="529"/>
        <v>0</v>
      </c>
      <c r="K475" s="17">
        <f t="shared" si="530"/>
        <v>0</v>
      </c>
      <c r="L475" s="29" t="s">
        <v>1692</v>
      </c>
      <c r="Z475" s="33">
        <f t="shared" si="531"/>
        <v>0</v>
      </c>
      <c r="AB475" s="33">
        <f t="shared" si="532"/>
        <v>0</v>
      </c>
      <c r="AC475" s="33">
        <f t="shared" si="533"/>
        <v>0</v>
      </c>
      <c r="AD475" s="33">
        <f t="shared" si="534"/>
        <v>0</v>
      </c>
      <c r="AE475" s="33">
        <f t="shared" si="535"/>
        <v>0</v>
      </c>
      <c r="AF475" s="33">
        <f t="shared" si="536"/>
        <v>0</v>
      </c>
      <c r="AG475" s="33">
        <f t="shared" si="537"/>
        <v>0</v>
      </c>
      <c r="AH475" s="33">
        <f t="shared" si="538"/>
        <v>0</v>
      </c>
      <c r="AI475" s="28"/>
      <c r="AJ475" s="17">
        <f t="shared" si="539"/>
        <v>0</v>
      </c>
      <c r="AK475" s="17">
        <f t="shared" si="540"/>
        <v>0</v>
      </c>
      <c r="AL475" s="17">
        <f t="shared" si="541"/>
        <v>0</v>
      </c>
      <c r="AN475" s="33">
        <v>21</v>
      </c>
      <c r="AO475" s="33">
        <f>H475*1</f>
        <v>0</v>
      </c>
      <c r="AP475" s="33">
        <f>H475*(1-1)</f>
        <v>0</v>
      </c>
      <c r="AQ475" s="29" t="s">
        <v>13</v>
      </c>
      <c r="AV475" s="33">
        <f t="shared" si="542"/>
        <v>0</v>
      </c>
      <c r="AW475" s="33">
        <f t="shared" si="543"/>
        <v>0</v>
      </c>
      <c r="AX475" s="33">
        <f t="shared" si="544"/>
        <v>0</v>
      </c>
      <c r="AY475" s="34" t="s">
        <v>1735</v>
      </c>
      <c r="AZ475" s="34" t="s">
        <v>1751</v>
      </c>
      <c r="BA475" s="28" t="s">
        <v>1752</v>
      </c>
      <c r="BC475" s="33">
        <f t="shared" si="545"/>
        <v>0</v>
      </c>
      <c r="BD475" s="33">
        <f t="shared" si="546"/>
        <v>0</v>
      </c>
      <c r="BE475" s="33">
        <v>0</v>
      </c>
      <c r="BF475" s="33">
        <f>475</f>
        <v>475</v>
      </c>
      <c r="BH475" s="17">
        <f t="shared" si="547"/>
        <v>0</v>
      </c>
      <c r="BI475" s="17">
        <f t="shared" si="548"/>
        <v>0</v>
      </c>
      <c r="BJ475" s="17">
        <f t="shared" si="549"/>
        <v>0</v>
      </c>
    </row>
    <row r="476" spans="1:62" x14ac:dyDescent="0.2">
      <c r="A476" s="4" t="s">
        <v>401</v>
      </c>
      <c r="B476" s="4" t="s">
        <v>946</v>
      </c>
      <c r="C476" s="131" t="s">
        <v>1527</v>
      </c>
      <c r="D476" s="132"/>
      <c r="E476" s="132"/>
      <c r="F476" s="4" t="s">
        <v>1666</v>
      </c>
      <c r="G476" s="68">
        <v>59.65</v>
      </c>
      <c r="H476" s="162">
        <v>0</v>
      </c>
      <c r="I476" s="16">
        <f t="shared" si="528"/>
        <v>0</v>
      </c>
      <c r="J476" s="16">
        <f t="shared" si="529"/>
        <v>0</v>
      </c>
      <c r="K476" s="16">
        <f t="shared" si="530"/>
        <v>0</v>
      </c>
      <c r="L476" s="27" t="s">
        <v>1692</v>
      </c>
      <c r="Z476" s="33">
        <f t="shared" si="531"/>
        <v>0</v>
      </c>
      <c r="AB476" s="33">
        <f t="shared" si="532"/>
        <v>0</v>
      </c>
      <c r="AC476" s="33">
        <f t="shared" si="533"/>
        <v>0</v>
      </c>
      <c r="AD476" s="33">
        <f t="shared" si="534"/>
        <v>0</v>
      </c>
      <c r="AE476" s="33">
        <f t="shared" si="535"/>
        <v>0</v>
      </c>
      <c r="AF476" s="33">
        <f t="shared" si="536"/>
        <v>0</v>
      </c>
      <c r="AG476" s="33">
        <f t="shared" si="537"/>
        <v>0</v>
      </c>
      <c r="AH476" s="33">
        <f t="shared" si="538"/>
        <v>0</v>
      </c>
      <c r="AI476" s="28"/>
      <c r="AJ476" s="16">
        <f t="shared" si="539"/>
        <v>0</v>
      </c>
      <c r="AK476" s="16">
        <f t="shared" si="540"/>
        <v>0</v>
      </c>
      <c r="AL476" s="16">
        <f t="shared" si="541"/>
        <v>0</v>
      </c>
      <c r="AN476" s="33">
        <v>21</v>
      </c>
      <c r="AO476" s="33">
        <f>H476*0</f>
        <v>0</v>
      </c>
      <c r="AP476" s="33">
        <f>H476*(1-0)</f>
        <v>0</v>
      </c>
      <c r="AQ476" s="27" t="s">
        <v>13</v>
      </c>
      <c r="AV476" s="33">
        <f t="shared" si="542"/>
        <v>0</v>
      </c>
      <c r="AW476" s="33">
        <f t="shared" si="543"/>
        <v>0</v>
      </c>
      <c r="AX476" s="33">
        <f t="shared" si="544"/>
        <v>0</v>
      </c>
      <c r="AY476" s="34" t="s">
        <v>1735</v>
      </c>
      <c r="AZ476" s="34" t="s">
        <v>1751</v>
      </c>
      <c r="BA476" s="28" t="s">
        <v>1752</v>
      </c>
      <c r="BC476" s="33">
        <f t="shared" si="545"/>
        <v>0</v>
      </c>
      <c r="BD476" s="33">
        <f t="shared" si="546"/>
        <v>0</v>
      </c>
      <c r="BE476" s="33">
        <v>0</v>
      </c>
      <c r="BF476" s="33">
        <f>476</f>
        <v>476</v>
      </c>
      <c r="BH476" s="16">
        <f t="shared" si="547"/>
        <v>0</v>
      </c>
      <c r="BI476" s="16">
        <f t="shared" si="548"/>
        <v>0</v>
      </c>
      <c r="BJ476" s="16">
        <f t="shared" si="549"/>
        <v>0</v>
      </c>
    </row>
    <row r="477" spans="1:62" x14ac:dyDescent="0.2">
      <c r="A477" s="6" t="s">
        <v>402</v>
      </c>
      <c r="B477" s="6" t="s">
        <v>947</v>
      </c>
      <c r="C477" s="144" t="s">
        <v>1528</v>
      </c>
      <c r="D477" s="139"/>
      <c r="E477" s="139"/>
      <c r="F477" s="6" t="s">
        <v>1666</v>
      </c>
      <c r="G477" s="71">
        <v>65.614999999999995</v>
      </c>
      <c r="H477" s="165">
        <v>0</v>
      </c>
      <c r="I477" s="17">
        <f t="shared" si="528"/>
        <v>0</v>
      </c>
      <c r="J477" s="17">
        <f t="shared" si="529"/>
        <v>0</v>
      </c>
      <c r="K477" s="17">
        <f t="shared" si="530"/>
        <v>0</v>
      </c>
      <c r="L477" s="29" t="s">
        <v>1692</v>
      </c>
      <c r="Z477" s="33">
        <f t="shared" si="531"/>
        <v>0</v>
      </c>
      <c r="AB477" s="33">
        <f t="shared" si="532"/>
        <v>0</v>
      </c>
      <c r="AC477" s="33">
        <f t="shared" si="533"/>
        <v>0</v>
      </c>
      <c r="AD477" s="33">
        <f t="shared" si="534"/>
        <v>0</v>
      </c>
      <c r="AE477" s="33">
        <f t="shared" si="535"/>
        <v>0</v>
      </c>
      <c r="AF477" s="33">
        <f t="shared" si="536"/>
        <v>0</v>
      </c>
      <c r="AG477" s="33">
        <f t="shared" si="537"/>
        <v>0</v>
      </c>
      <c r="AH477" s="33">
        <f t="shared" si="538"/>
        <v>0</v>
      </c>
      <c r="AI477" s="28"/>
      <c r="AJ477" s="17">
        <f t="shared" si="539"/>
        <v>0</v>
      </c>
      <c r="AK477" s="17">
        <f t="shared" si="540"/>
        <v>0</v>
      </c>
      <c r="AL477" s="17">
        <f t="shared" si="541"/>
        <v>0</v>
      </c>
      <c r="AN477" s="33">
        <v>21</v>
      </c>
      <c r="AO477" s="33">
        <f>H477*1</f>
        <v>0</v>
      </c>
      <c r="AP477" s="33">
        <f>H477*(1-1)</f>
        <v>0</v>
      </c>
      <c r="AQ477" s="29" t="s">
        <v>13</v>
      </c>
      <c r="AV477" s="33">
        <f t="shared" si="542"/>
        <v>0</v>
      </c>
      <c r="AW477" s="33">
        <f t="shared" si="543"/>
        <v>0</v>
      </c>
      <c r="AX477" s="33">
        <f t="shared" si="544"/>
        <v>0</v>
      </c>
      <c r="AY477" s="34" t="s">
        <v>1735</v>
      </c>
      <c r="AZ477" s="34" t="s">
        <v>1751</v>
      </c>
      <c r="BA477" s="28" t="s">
        <v>1752</v>
      </c>
      <c r="BC477" s="33">
        <f t="shared" si="545"/>
        <v>0</v>
      </c>
      <c r="BD477" s="33">
        <f t="shared" si="546"/>
        <v>0</v>
      </c>
      <c r="BE477" s="33">
        <v>0</v>
      </c>
      <c r="BF477" s="33">
        <f>477</f>
        <v>477</v>
      </c>
      <c r="BH477" s="17">
        <f t="shared" si="547"/>
        <v>0</v>
      </c>
      <c r="BI477" s="17">
        <f t="shared" si="548"/>
        <v>0</v>
      </c>
      <c r="BJ477" s="17">
        <f t="shared" si="549"/>
        <v>0</v>
      </c>
    </row>
    <row r="478" spans="1:62" x14ac:dyDescent="0.2">
      <c r="A478" s="4" t="s">
        <v>403</v>
      </c>
      <c r="B478" s="4" t="s">
        <v>948</v>
      </c>
      <c r="C478" s="131" t="s">
        <v>1529</v>
      </c>
      <c r="D478" s="132"/>
      <c r="E478" s="132"/>
      <c r="F478" s="4" t="s">
        <v>1663</v>
      </c>
      <c r="G478" s="68">
        <v>17.806999999999999</v>
      </c>
      <c r="H478" s="162">
        <v>0</v>
      </c>
      <c r="I478" s="16">
        <f t="shared" si="528"/>
        <v>0</v>
      </c>
      <c r="J478" s="16">
        <f t="shared" si="529"/>
        <v>0</v>
      </c>
      <c r="K478" s="16">
        <f t="shared" si="530"/>
        <v>0</v>
      </c>
      <c r="L478" s="27" t="s">
        <v>1692</v>
      </c>
      <c r="Z478" s="33">
        <f t="shared" si="531"/>
        <v>0</v>
      </c>
      <c r="AB478" s="33">
        <f t="shared" si="532"/>
        <v>0</v>
      </c>
      <c r="AC478" s="33">
        <f t="shared" si="533"/>
        <v>0</v>
      </c>
      <c r="AD478" s="33">
        <f t="shared" si="534"/>
        <v>0</v>
      </c>
      <c r="AE478" s="33">
        <f t="shared" si="535"/>
        <v>0</v>
      </c>
      <c r="AF478" s="33">
        <f t="shared" si="536"/>
        <v>0</v>
      </c>
      <c r="AG478" s="33">
        <f t="shared" si="537"/>
        <v>0</v>
      </c>
      <c r="AH478" s="33">
        <f t="shared" si="538"/>
        <v>0</v>
      </c>
      <c r="AI478" s="28"/>
      <c r="AJ478" s="16">
        <f t="shared" si="539"/>
        <v>0</v>
      </c>
      <c r="AK478" s="16">
        <f t="shared" si="540"/>
        <v>0</v>
      </c>
      <c r="AL478" s="16">
        <f t="shared" si="541"/>
        <v>0</v>
      </c>
      <c r="AN478" s="33">
        <v>21</v>
      </c>
      <c r="AO478" s="33">
        <f>H478*1.00000244164469</f>
        <v>0</v>
      </c>
      <c r="AP478" s="33">
        <f>H478*(1-1.00000244164469)</f>
        <v>0</v>
      </c>
      <c r="AQ478" s="27" t="s">
        <v>13</v>
      </c>
      <c r="AV478" s="33">
        <f t="shared" si="542"/>
        <v>0</v>
      </c>
      <c r="AW478" s="33">
        <f t="shared" si="543"/>
        <v>0</v>
      </c>
      <c r="AX478" s="33">
        <f t="shared" si="544"/>
        <v>0</v>
      </c>
      <c r="AY478" s="34" t="s">
        <v>1735</v>
      </c>
      <c r="AZ478" s="34" t="s">
        <v>1751</v>
      </c>
      <c r="BA478" s="28" t="s">
        <v>1752</v>
      </c>
      <c r="BC478" s="33">
        <f t="shared" si="545"/>
        <v>0</v>
      </c>
      <c r="BD478" s="33">
        <f t="shared" si="546"/>
        <v>0</v>
      </c>
      <c r="BE478" s="33">
        <v>0</v>
      </c>
      <c r="BF478" s="33">
        <f>478</f>
        <v>478</v>
      </c>
      <c r="BH478" s="16">
        <f t="shared" si="547"/>
        <v>0</v>
      </c>
      <c r="BI478" s="16">
        <f t="shared" si="548"/>
        <v>0</v>
      </c>
      <c r="BJ478" s="16">
        <f t="shared" si="549"/>
        <v>0</v>
      </c>
    </row>
    <row r="479" spans="1:62" x14ac:dyDescent="0.2">
      <c r="A479" s="4" t="s">
        <v>404</v>
      </c>
      <c r="B479" s="4" t="s">
        <v>949</v>
      </c>
      <c r="C479" s="131" t="s">
        <v>1530</v>
      </c>
      <c r="D479" s="132"/>
      <c r="E479" s="132"/>
      <c r="F479" s="4" t="s">
        <v>1664</v>
      </c>
      <c r="G479" s="68">
        <v>0.37</v>
      </c>
      <c r="H479" s="162">
        <v>0</v>
      </c>
      <c r="I479" s="16">
        <f t="shared" si="528"/>
        <v>0</v>
      </c>
      <c r="J479" s="16">
        <f t="shared" si="529"/>
        <v>0</v>
      </c>
      <c r="K479" s="16">
        <f t="shared" si="530"/>
        <v>0</v>
      </c>
      <c r="L479" s="27" t="s">
        <v>1692</v>
      </c>
      <c r="Z479" s="33">
        <f t="shared" si="531"/>
        <v>0</v>
      </c>
      <c r="AB479" s="33">
        <f t="shared" si="532"/>
        <v>0</v>
      </c>
      <c r="AC479" s="33">
        <f t="shared" si="533"/>
        <v>0</v>
      </c>
      <c r="AD479" s="33">
        <f t="shared" si="534"/>
        <v>0</v>
      </c>
      <c r="AE479" s="33">
        <f t="shared" si="535"/>
        <v>0</v>
      </c>
      <c r="AF479" s="33">
        <f t="shared" si="536"/>
        <v>0</v>
      </c>
      <c r="AG479" s="33">
        <f t="shared" si="537"/>
        <v>0</v>
      </c>
      <c r="AH479" s="33">
        <f t="shared" si="538"/>
        <v>0</v>
      </c>
      <c r="AI479" s="28"/>
      <c r="AJ479" s="16">
        <f t="shared" si="539"/>
        <v>0</v>
      </c>
      <c r="AK479" s="16">
        <f t="shared" si="540"/>
        <v>0</v>
      </c>
      <c r="AL479" s="16">
        <f t="shared" si="541"/>
        <v>0</v>
      </c>
      <c r="AN479" s="33">
        <v>21</v>
      </c>
      <c r="AO479" s="33">
        <f>H479*0</f>
        <v>0</v>
      </c>
      <c r="AP479" s="33">
        <f>H479*(1-0)</f>
        <v>0</v>
      </c>
      <c r="AQ479" s="27" t="s">
        <v>11</v>
      </c>
      <c r="AV479" s="33">
        <f t="shared" si="542"/>
        <v>0</v>
      </c>
      <c r="AW479" s="33">
        <f t="shared" si="543"/>
        <v>0</v>
      </c>
      <c r="AX479" s="33">
        <f t="shared" si="544"/>
        <v>0</v>
      </c>
      <c r="AY479" s="34" t="s">
        <v>1735</v>
      </c>
      <c r="AZ479" s="34" t="s">
        <v>1751</v>
      </c>
      <c r="BA479" s="28" t="s">
        <v>1752</v>
      </c>
      <c r="BC479" s="33">
        <f t="shared" si="545"/>
        <v>0</v>
      </c>
      <c r="BD479" s="33">
        <f t="shared" si="546"/>
        <v>0</v>
      </c>
      <c r="BE479" s="33">
        <v>0</v>
      </c>
      <c r="BF479" s="33">
        <f>479</f>
        <v>479</v>
      </c>
      <c r="BH479" s="16">
        <f t="shared" si="547"/>
        <v>0</v>
      </c>
      <c r="BI479" s="16">
        <f t="shared" si="548"/>
        <v>0</v>
      </c>
      <c r="BJ479" s="16">
        <f t="shared" si="549"/>
        <v>0</v>
      </c>
    </row>
    <row r="480" spans="1:62" x14ac:dyDescent="0.2">
      <c r="A480" s="5"/>
      <c r="B480" s="13" t="s">
        <v>950</v>
      </c>
      <c r="C480" s="136" t="s">
        <v>1531</v>
      </c>
      <c r="D480" s="137"/>
      <c r="E480" s="137"/>
      <c r="F480" s="5" t="s">
        <v>6</v>
      </c>
      <c r="G480" s="5" t="s">
        <v>6</v>
      </c>
      <c r="H480" s="163" t="s">
        <v>6</v>
      </c>
      <c r="I480" s="36">
        <f>SUM(I481:I481)</f>
        <v>0</v>
      </c>
      <c r="J480" s="36">
        <f>SUM(J481:J481)</f>
        <v>0</v>
      </c>
      <c r="K480" s="36">
        <f>SUM(K481:K481)</f>
        <v>0</v>
      </c>
      <c r="L480" s="28"/>
      <c r="AI480" s="28"/>
      <c r="AS480" s="36">
        <f>SUM(AJ481:AJ481)</f>
        <v>0</v>
      </c>
      <c r="AT480" s="36">
        <f>SUM(AK481:AK481)</f>
        <v>0</v>
      </c>
      <c r="AU480" s="36">
        <f>SUM(AL481:AL481)</f>
        <v>0</v>
      </c>
    </row>
    <row r="481" spans="1:62" x14ac:dyDescent="0.2">
      <c r="A481" s="4" t="s">
        <v>405</v>
      </c>
      <c r="B481" s="4" t="s">
        <v>951</v>
      </c>
      <c r="C481" s="131" t="s">
        <v>1532</v>
      </c>
      <c r="D481" s="132"/>
      <c r="E481" s="132"/>
      <c r="F481" s="4" t="s">
        <v>1665</v>
      </c>
      <c r="G481" s="68">
        <v>2</v>
      </c>
      <c r="H481" s="162">
        <v>0</v>
      </c>
      <c r="I481" s="16">
        <f>G481*AO481</f>
        <v>0</v>
      </c>
      <c r="J481" s="16">
        <f>G481*AP481</f>
        <v>0</v>
      </c>
      <c r="K481" s="16">
        <f>G481*H481</f>
        <v>0</v>
      </c>
      <c r="L481" s="27" t="s">
        <v>1692</v>
      </c>
      <c r="Z481" s="33">
        <f>IF(AQ481="5",BJ481,0)</f>
        <v>0</v>
      </c>
      <c r="AB481" s="33">
        <f>IF(AQ481="1",BH481,0)</f>
        <v>0</v>
      </c>
      <c r="AC481" s="33">
        <f>IF(AQ481="1",BI481,0)</f>
        <v>0</v>
      </c>
      <c r="AD481" s="33">
        <f>IF(AQ481="7",BH481,0)</f>
        <v>0</v>
      </c>
      <c r="AE481" s="33">
        <f>IF(AQ481="7",BI481,0)</f>
        <v>0</v>
      </c>
      <c r="AF481" s="33">
        <f>IF(AQ481="2",BH481,0)</f>
        <v>0</v>
      </c>
      <c r="AG481" s="33">
        <f>IF(AQ481="2",BI481,0)</f>
        <v>0</v>
      </c>
      <c r="AH481" s="33">
        <f>IF(AQ481="0",BJ481,0)</f>
        <v>0</v>
      </c>
      <c r="AI481" s="28"/>
      <c r="AJ481" s="16">
        <f>IF(AN481=0,K481,0)</f>
        <v>0</v>
      </c>
      <c r="AK481" s="16">
        <f>IF(AN481=15,K481,0)</f>
        <v>0</v>
      </c>
      <c r="AL481" s="16">
        <f>IF(AN481=21,K481,0)</f>
        <v>0</v>
      </c>
      <c r="AN481" s="33">
        <v>21</v>
      </c>
      <c r="AO481" s="33">
        <f>H481*0.167864</f>
        <v>0</v>
      </c>
      <c r="AP481" s="33">
        <f>H481*(1-0.167864)</f>
        <v>0</v>
      </c>
      <c r="AQ481" s="27" t="s">
        <v>13</v>
      </c>
      <c r="AV481" s="33">
        <f>AW481+AX481</f>
        <v>0</v>
      </c>
      <c r="AW481" s="33">
        <f>G481*AO481</f>
        <v>0</v>
      </c>
      <c r="AX481" s="33">
        <f>G481*AP481</f>
        <v>0</v>
      </c>
      <c r="AY481" s="34" t="s">
        <v>1736</v>
      </c>
      <c r="AZ481" s="34" t="s">
        <v>1751</v>
      </c>
      <c r="BA481" s="28" t="s">
        <v>1752</v>
      </c>
      <c r="BC481" s="33">
        <f>AW481+AX481</f>
        <v>0</v>
      </c>
      <c r="BD481" s="33">
        <f>H481/(100-BE481)*100</f>
        <v>0</v>
      </c>
      <c r="BE481" s="33">
        <v>0</v>
      </c>
      <c r="BF481" s="33">
        <f>481</f>
        <v>481</v>
      </c>
      <c r="BH481" s="16">
        <f>G481*AO481</f>
        <v>0</v>
      </c>
      <c r="BI481" s="16">
        <f>G481*AP481</f>
        <v>0</v>
      </c>
      <c r="BJ481" s="16">
        <f>G481*H481</f>
        <v>0</v>
      </c>
    </row>
    <row r="482" spans="1:62" x14ac:dyDescent="0.2">
      <c r="A482" s="5"/>
      <c r="B482" s="13" t="s">
        <v>952</v>
      </c>
      <c r="C482" s="136" t="s">
        <v>1533</v>
      </c>
      <c r="D482" s="137"/>
      <c r="E482" s="137"/>
      <c r="F482" s="5" t="s">
        <v>6</v>
      </c>
      <c r="G482" s="5" t="s">
        <v>6</v>
      </c>
      <c r="H482" s="163" t="s">
        <v>6</v>
      </c>
      <c r="I482" s="36">
        <f>SUM(I483:I486)</f>
        <v>0</v>
      </c>
      <c r="J482" s="36">
        <f>SUM(J483:J486)</f>
        <v>0</v>
      </c>
      <c r="K482" s="36">
        <f>SUM(K483:K486)</f>
        <v>0</v>
      </c>
      <c r="L482" s="28"/>
      <c r="AI482" s="28"/>
      <c r="AS482" s="36">
        <f>SUM(AJ483:AJ486)</f>
        <v>0</v>
      </c>
      <c r="AT482" s="36">
        <f>SUM(AK483:AK486)</f>
        <v>0</v>
      </c>
      <c r="AU482" s="36">
        <f>SUM(AL483:AL486)</f>
        <v>0</v>
      </c>
    </row>
    <row r="483" spans="1:62" x14ac:dyDescent="0.2">
      <c r="A483" s="4" t="s">
        <v>406</v>
      </c>
      <c r="B483" s="4" t="s">
        <v>953</v>
      </c>
      <c r="C483" s="131" t="s">
        <v>1534</v>
      </c>
      <c r="D483" s="132"/>
      <c r="E483" s="132"/>
      <c r="F483" s="4" t="s">
        <v>1663</v>
      </c>
      <c r="G483" s="68">
        <v>215</v>
      </c>
      <c r="H483" s="162">
        <v>0</v>
      </c>
      <c r="I483" s="16">
        <f>G483*AO483</f>
        <v>0</v>
      </c>
      <c r="J483" s="16">
        <f>G483*AP483</f>
        <v>0</v>
      </c>
      <c r="K483" s="16">
        <f>G483*H483</f>
        <v>0</v>
      </c>
      <c r="L483" s="27" t="s">
        <v>1692</v>
      </c>
      <c r="Z483" s="33">
        <f>IF(AQ483="5",BJ483,0)</f>
        <v>0</v>
      </c>
      <c r="AB483" s="33">
        <f>IF(AQ483="1",BH483,0)</f>
        <v>0</v>
      </c>
      <c r="AC483" s="33">
        <f>IF(AQ483="1",BI483,0)</f>
        <v>0</v>
      </c>
      <c r="AD483" s="33">
        <f>IF(AQ483="7",BH483,0)</f>
        <v>0</v>
      </c>
      <c r="AE483" s="33">
        <f>IF(AQ483="7",BI483,0)</f>
        <v>0</v>
      </c>
      <c r="AF483" s="33">
        <f>IF(AQ483="2",BH483,0)</f>
        <v>0</v>
      </c>
      <c r="AG483" s="33">
        <f>IF(AQ483="2",BI483,0)</f>
        <v>0</v>
      </c>
      <c r="AH483" s="33">
        <f>IF(AQ483="0",BJ483,0)</f>
        <v>0</v>
      </c>
      <c r="AI483" s="28"/>
      <c r="AJ483" s="16">
        <f>IF(AN483=0,K483,0)</f>
        <v>0</v>
      </c>
      <c r="AK483" s="16">
        <f>IF(AN483=15,K483,0)</f>
        <v>0</v>
      </c>
      <c r="AL483" s="16">
        <f>IF(AN483=21,K483,0)</f>
        <v>0</v>
      </c>
      <c r="AN483" s="33">
        <v>21</v>
      </c>
      <c r="AO483" s="33">
        <f>H483*0.271206896551724</f>
        <v>0</v>
      </c>
      <c r="AP483" s="33">
        <f>H483*(1-0.271206896551724)</f>
        <v>0</v>
      </c>
      <c r="AQ483" s="27" t="s">
        <v>13</v>
      </c>
      <c r="AV483" s="33">
        <f>AW483+AX483</f>
        <v>0</v>
      </c>
      <c r="AW483" s="33">
        <f>G483*AO483</f>
        <v>0</v>
      </c>
      <c r="AX483" s="33">
        <f>G483*AP483</f>
        <v>0</v>
      </c>
      <c r="AY483" s="34" t="s">
        <v>1737</v>
      </c>
      <c r="AZ483" s="34" t="s">
        <v>1751</v>
      </c>
      <c r="BA483" s="28" t="s">
        <v>1752</v>
      </c>
      <c r="BC483" s="33">
        <f>AW483+AX483</f>
        <v>0</v>
      </c>
      <c r="BD483" s="33">
        <f>H483/(100-BE483)*100</f>
        <v>0</v>
      </c>
      <c r="BE483" s="33">
        <v>0</v>
      </c>
      <c r="BF483" s="33">
        <f>483</f>
        <v>483</v>
      </c>
      <c r="BH483" s="16">
        <f>G483*AO483</f>
        <v>0</v>
      </c>
      <c r="BI483" s="16">
        <f>G483*AP483</f>
        <v>0</v>
      </c>
      <c r="BJ483" s="16">
        <f>G483*H483</f>
        <v>0</v>
      </c>
    </row>
    <row r="484" spans="1:62" x14ac:dyDescent="0.2">
      <c r="A484" s="4" t="s">
        <v>407</v>
      </c>
      <c r="B484" s="4" t="s">
        <v>954</v>
      </c>
      <c r="C484" s="131" t="s">
        <v>1535</v>
      </c>
      <c r="D484" s="132"/>
      <c r="E484" s="132"/>
      <c r="F484" s="4" t="s">
        <v>1663</v>
      </c>
      <c r="G484" s="68">
        <v>423.98</v>
      </c>
      <c r="H484" s="162">
        <v>0</v>
      </c>
      <c r="I484" s="16">
        <f>G484*AO484</f>
        <v>0</v>
      </c>
      <c r="J484" s="16">
        <f>G484*AP484</f>
        <v>0</v>
      </c>
      <c r="K484" s="16">
        <f>G484*H484</f>
        <v>0</v>
      </c>
      <c r="L484" s="27" t="s">
        <v>1692</v>
      </c>
      <c r="Z484" s="33">
        <f>IF(AQ484="5",BJ484,0)</f>
        <v>0</v>
      </c>
      <c r="AB484" s="33">
        <f>IF(AQ484="1",BH484,0)</f>
        <v>0</v>
      </c>
      <c r="AC484" s="33">
        <f>IF(AQ484="1",BI484,0)</f>
        <v>0</v>
      </c>
      <c r="AD484" s="33">
        <f>IF(AQ484="7",BH484,0)</f>
        <v>0</v>
      </c>
      <c r="AE484" s="33">
        <f>IF(AQ484="7",BI484,0)</f>
        <v>0</v>
      </c>
      <c r="AF484" s="33">
        <f>IF(AQ484="2",BH484,0)</f>
        <v>0</v>
      </c>
      <c r="AG484" s="33">
        <f>IF(AQ484="2",BI484,0)</f>
        <v>0</v>
      </c>
      <c r="AH484" s="33">
        <f>IF(AQ484="0",BJ484,0)</f>
        <v>0</v>
      </c>
      <c r="AI484" s="28"/>
      <c r="AJ484" s="16">
        <f>IF(AN484=0,K484,0)</f>
        <v>0</v>
      </c>
      <c r="AK484" s="16">
        <f>IF(AN484=15,K484,0)</f>
        <v>0</v>
      </c>
      <c r="AL484" s="16">
        <f>IF(AN484=21,K484,0)</f>
        <v>0</v>
      </c>
      <c r="AN484" s="33">
        <v>21</v>
      </c>
      <c r="AO484" s="33">
        <f>H484*0.271179775280899</f>
        <v>0</v>
      </c>
      <c r="AP484" s="33">
        <f>H484*(1-0.271179775280899)</f>
        <v>0</v>
      </c>
      <c r="AQ484" s="27" t="s">
        <v>13</v>
      </c>
      <c r="AV484" s="33">
        <f>AW484+AX484</f>
        <v>0</v>
      </c>
      <c r="AW484" s="33">
        <f>G484*AO484</f>
        <v>0</v>
      </c>
      <c r="AX484" s="33">
        <f>G484*AP484</f>
        <v>0</v>
      </c>
      <c r="AY484" s="34" t="s">
        <v>1737</v>
      </c>
      <c r="AZ484" s="34" t="s">
        <v>1751</v>
      </c>
      <c r="BA484" s="28" t="s">
        <v>1752</v>
      </c>
      <c r="BC484" s="33">
        <f>AW484+AX484</f>
        <v>0</v>
      </c>
      <c r="BD484" s="33">
        <f>H484/(100-BE484)*100</f>
        <v>0</v>
      </c>
      <c r="BE484" s="33">
        <v>0</v>
      </c>
      <c r="BF484" s="33">
        <f>484</f>
        <v>484</v>
      </c>
      <c r="BH484" s="16">
        <f>G484*AO484</f>
        <v>0</v>
      </c>
      <c r="BI484" s="16">
        <f>G484*AP484</f>
        <v>0</v>
      </c>
      <c r="BJ484" s="16">
        <f>G484*H484</f>
        <v>0</v>
      </c>
    </row>
    <row r="485" spans="1:62" x14ac:dyDescent="0.2">
      <c r="A485" s="4" t="s">
        <v>408</v>
      </c>
      <c r="B485" s="4" t="s">
        <v>955</v>
      </c>
      <c r="C485" s="131" t="s">
        <v>1536</v>
      </c>
      <c r="D485" s="132"/>
      <c r="E485" s="132"/>
      <c r="F485" s="4" t="s">
        <v>1663</v>
      </c>
      <c r="G485" s="68">
        <v>1096.308</v>
      </c>
      <c r="H485" s="162">
        <v>0</v>
      </c>
      <c r="I485" s="16">
        <f>G485*AO485</f>
        <v>0</v>
      </c>
      <c r="J485" s="16">
        <f>G485*AP485</f>
        <v>0</v>
      </c>
      <c r="K485" s="16">
        <f>G485*H485</f>
        <v>0</v>
      </c>
      <c r="L485" s="27" t="s">
        <v>1692</v>
      </c>
      <c r="Z485" s="33">
        <f>IF(AQ485="5",BJ485,0)</f>
        <v>0</v>
      </c>
      <c r="AB485" s="33">
        <f>IF(AQ485="1",BH485,0)</f>
        <v>0</v>
      </c>
      <c r="AC485" s="33">
        <f>IF(AQ485="1",BI485,0)</f>
        <v>0</v>
      </c>
      <c r="AD485" s="33">
        <f>IF(AQ485="7",BH485,0)</f>
        <v>0</v>
      </c>
      <c r="AE485" s="33">
        <f>IF(AQ485="7",BI485,0)</f>
        <v>0</v>
      </c>
      <c r="AF485" s="33">
        <f>IF(AQ485="2",BH485,0)</f>
        <v>0</v>
      </c>
      <c r="AG485" s="33">
        <f>IF(AQ485="2",BI485,0)</f>
        <v>0</v>
      </c>
      <c r="AH485" s="33">
        <f>IF(AQ485="0",BJ485,0)</f>
        <v>0</v>
      </c>
      <c r="AI485" s="28"/>
      <c r="AJ485" s="16">
        <f>IF(AN485=0,K485,0)</f>
        <v>0</v>
      </c>
      <c r="AK485" s="16">
        <f>IF(AN485=15,K485,0)</f>
        <v>0</v>
      </c>
      <c r="AL485" s="16">
        <f>IF(AN485=21,K485,0)</f>
        <v>0</v>
      </c>
      <c r="AN485" s="33">
        <v>21</v>
      </c>
      <c r="AO485" s="33">
        <f>H485*0.27116278494554</f>
        <v>0</v>
      </c>
      <c r="AP485" s="33">
        <f>H485*(1-0.27116278494554)</f>
        <v>0</v>
      </c>
      <c r="AQ485" s="27" t="s">
        <v>13</v>
      </c>
      <c r="AV485" s="33">
        <f>AW485+AX485</f>
        <v>0</v>
      </c>
      <c r="AW485" s="33">
        <f>G485*AO485</f>
        <v>0</v>
      </c>
      <c r="AX485" s="33">
        <f>G485*AP485</f>
        <v>0</v>
      </c>
      <c r="AY485" s="34" t="s">
        <v>1737</v>
      </c>
      <c r="AZ485" s="34" t="s">
        <v>1751</v>
      </c>
      <c r="BA485" s="28" t="s">
        <v>1752</v>
      </c>
      <c r="BC485" s="33">
        <f>AW485+AX485</f>
        <v>0</v>
      </c>
      <c r="BD485" s="33">
        <f>H485/(100-BE485)*100</f>
        <v>0</v>
      </c>
      <c r="BE485" s="33">
        <v>0</v>
      </c>
      <c r="BF485" s="33">
        <f>485</f>
        <v>485</v>
      </c>
      <c r="BH485" s="16">
        <f>G485*AO485</f>
        <v>0</v>
      </c>
      <c r="BI485" s="16">
        <f>G485*AP485</f>
        <v>0</v>
      </c>
      <c r="BJ485" s="16">
        <f>G485*H485</f>
        <v>0</v>
      </c>
    </row>
    <row r="486" spans="1:62" x14ac:dyDescent="0.2">
      <c r="A486" s="4" t="s">
        <v>409</v>
      </c>
      <c r="B486" s="4" t="s">
        <v>956</v>
      </c>
      <c r="C486" s="131" t="s">
        <v>1537</v>
      </c>
      <c r="D486" s="132"/>
      <c r="E486" s="132"/>
      <c r="F486" s="4" t="s">
        <v>1663</v>
      </c>
      <c r="G486" s="68">
        <v>842.14200000000005</v>
      </c>
      <c r="H486" s="162">
        <v>0</v>
      </c>
      <c r="I486" s="16">
        <f>G486*AO486</f>
        <v>0</v>
      </c>
      <c r="J486" s="16">
        <f>G486*AP486</f>
        <v>0</v>
      </c>
      <c r="K486" s="16">
        <f>G486*H486</f>
        <v>0</v>
      </c>
      <c r="L486" s="27" t="s">
        <v>1692</v>
      </c>
      <c r="Z486" s="33">
        <f>IF(AQ486="5",BJ486,0)</f>
        <v>0</v>
      </c>
      <c r="AB486" s="33">
        <f>IF(AQ486="1",BH486,0)</f>
        <v>0</v>
      </c>
      <c r="AC486" s="33">
        <f>IF(AQ486="1",BI486,0)</f>
        <v>0</v>
      </c>
      <c r="AD486" s="33">
        <f>IF(AQ486="7",BH486,0)</f>
        <v>0</v>
      </c>
      <c r="AE486" s="33">
        <f>IF(AQ486="7",BI486,0)</f>
        <v>0</v>
      </c>
      <c r="AF486" s="33">
        <f>IF(AQ486="2",BH486,0)</f>
        <v>0</v>
      </c>
      <c r="AG486" s="33">
        <f>IF(AQ486="2",BI486,0)</f>
        <v>0</v>
      </c>
      <c r="AH486" s="33">
        <f>IF(AQ486="0",BJ486,0)</f>
        <v>0</v>
      </c>
      <c r="AI486" s="28"/>
      <c r="AJ486" s="16">
        <f>IF(AN486=0,K486,0)</f>
        <v>0</v>
      </c>
      <c r="AK486" s="16">
        <f>IF(AN486=15,K486,0)</f>
        <v>0</v>
      </c>
      <c r="AL486" s="16">
        <f>IF(AN486=21,K486,0)</f>
        <v>0</v>
      </c>
      <c r="AN486" s="33">
        <v>21</v>
      </c>
      <c r="AO486" s="33">
        <f>H486*0.271163798655051</f>
        <v>0</v>
      </c>
      <c r="AP486" s="33">
        <f>H486*(1-0.271163798655051)</f>
        <v>0</v>
      </c>
      <c r="AQ486" s="27" t="s">
        <v>13</v>
      </c>
      <c r="AV486" s="33">
        <f>AW486+AX486</f>
        <v>0</v>
      </c>
      <c r="AW486" s="33">
        <f>G486*AO486</f>
        <v>0</v>
      </c>
      <c r="AX486" s="33">
        <f>G486*AP486</f>
        <v>0</v>
      </c>
      <c r="AY486" s="34" t="s">
        <v>1737</v>
      </c>
      <c r="AZ486" s="34" t="s">
        <v>1751</v>
      </c>
      <c r="BA486" s="28" t="s">
        <v>1752</v>
      </c>
      <c r="BC486" s="33">
        <f>AW486+AX486</f>
        <v>0</v>
      </c>
      <c r="BD486" s="33">
        <f>H486/(100-BE486)*100</f>
        <v>0</v>
      </c>
      <c r="BE486" s="33">
        <v>0</v>
      </c>
      <c r="BF486" s="33">
        <f>486</f>
        <v>486</v>
      </c>
      <c r="BH486" s="16">
        <f>G486*AO486</f>
        <v>0</v>
      </c>
      <c r="BI486" s="16">
        <f>G486*AP486</f>
        <v>0</v>
      </c>
      <c r="BJ486" s="16">
        <f>G486*H486</f>
        <v>0</v>
      </c>
    </row>
    <row r="487" spans="1:62" x14ac:dyDescent="0.2">
      <c r="A487" s="5"/>
      <c r="B487" s="13" t="s">
        <v>957</v>
      </c>
      <c r="C487" s="136" t="s">
        <v>1538</v>
      </c>
      <c r="D487" s="137"/>
      <c r="E487" s="137"/>
      <c r="F487" s="5" t="s">
        <v>6</v>
      </c>
      <c r="G487" s="5" t="s">
        <v>6</v>
      </c>
      <c r="H487" s="163" t="s">
        <v>6</v>
      </c>
      <c r="I487" s="36">
        <f>SUM(I488:I616)</f>
        <v>0</v>
      </c>
      <c r="J487" s="36">
        <f>SUM(J488:J616)</f>
        <v>0</v>
      </c>
      <c r="K487" s="36">
        <f>SUM(K488:K616)</f>
        <v>0</v>
      </c>
      <c r="L487" s="28"/>
      <c r="AI487" s="28"/>
      <c r="AS487" s="36">
        <f>SUM(AJ488:AJ616)</f>
        <v>0</v>
      </c>
      <c r="AT487" s="36">
        <f>SUM(AK488:AK616)</f>
        <v>0</v>
      </c>
      <c r="AU487" s="36">
        <f>SUM(AL488:AL616)</f>
        <v>0</v>
      </c>
    </row>
    <row r="488" spans="1:62" x14ac:dyDescent="0.2">
      <c r="A488" s="4" t="s">
        <v>410</v>
      </c>
      <c r="B488" s="4" t="s">
        <v>958</v>
      </c>
      <c r="C488" s="131" t="s">
        <v>1539</v>
      </c>
      <c r="D488" s="132"/>
      <c r="E488" s="132"/>
      <c r="F488" s="4" t="s">
        <v>1665</v>
      </c>
      <c r="G488" s="68">
        <v>1</v>
      </c>
      <c r="H488" s="162">
        <v>0</v>
      </c>
      <c r="I488" s="16">
        <f t="shared" ref="I488:I500" si="550">G488*AO488</f>
        <v>0</v>
      </c>
      <c r="J488" s="16">
        <f t="shared" ref="J488:J500" si="551">G488*AP488</f>
        <v>0</v>
      </c>
      <c r="K488" s="16">
        <f t="shared" ref="K488:K500" si="552">G488*H488</f>
        <v>0</v>
      </c>
      <c r="L488" s="27" t="s">
        <v>1692</v>
      </c>
      <c r="Z488" s="33">
        <f t="shared" ref="Z488:Z500" si="553">IF(AQ488="5",BJ488,0)</f>
        <v>0</v>
      </c>
      <c r="AB488" s="33">
        <f t="shared" ref="AB488:AB500" si="554">IF(AQ488="1",BH488,0)</f>
        <v>0</v>
      </c>
      <c r="AC488" s="33">
        <f t="shared" ref="AC488:AC500" si="555">IF(AQ488="1",BI488,0)</f>
        <v>0</v>
      </c>
      <c r="AD488" s="33">
        <f t="shared" ref="AD488:AD500" si="556">IF(AQ488="7",BH488,0)</f>
        <v>0</v>
      </c>
      <c r="AE488" s="33">
        <f t="shared" ref="AE488:AE500" si="557">IF(AQ488="7",BI488,0)</f>
        <v>0</v>
      </c>
      <c r="AF488" s="33">
        <f t="shared" ref="AF488:AF500" si="558">IF(AQ488="2",BH488,0)</f>
        <v>0</v>
      </c>
      <c r="AG488" s="33">
        <f t="shared" ref="AG488:AG500" si="559">IF(AQ488="2",BI488,0)</f>
        <v>0</v>
      </c>
      <c r="AH488" s="33">
        <f t="shared" ref="AH488:AH500" si="560">IF(AQ488="0",BJ488,0)</f>
        <v>0</v>
      </c>
      <c r="AI488" s="28"/>
      <c r="AJ488" s="16">
        <f t="shared" ref="AJ488:AJ500" si="561">IF(AN488=0,K488,0)</f>
        <v>0</v>
      </c>
      <c r="AK488" s="16">
        <f t="shared" ref="AK488:AK500" si="562">IF(AN488=15,K488,0)</f>
        <v>0</v>
      </c>
      <c r="AL488" s="16">
        <f t="shared" ref="AL488:AL500" si="563">IF(AN488=21,K488,0)</f>
        <v>0</v>
      </c>
      <c r="AN488" s="33">
        <v>21</v>
      </c>
      <c r="AO488" s="33">
        <f t="shared" ref="AO488:AO500" si="564">H488*0</f>
        <v>0</v>
      </c>
      <c r="AP488" s="33">
        <f t="shared" ref="AP488:AP500" si="565">H488*(1-0)</f>
        <v>0</v>
      </c>
      <c r="AQ488" s="27" t="s">
        <v>8</v>
      </c>
      <c r="AV488" s="33">
        <f t="shared" ref="AV488:AV500" si="566">AW488+AX488</f>
        <v>0</v>
      </c>
      <c r="AW488" s="33">
        <f t="shared" ref="AW488:AW500" si="567">G488*AO488</f>
        <v>0</v>
      </c>
      <c r="AX488" s="33">
        <f t="shared" ref="AX488:AX500" si="568">G488*AP488</f>
        <v>0</v>
      </c>
      <c r="AY488" s="34" t="s">
        <v>1738</v>
      </c>
      <c r="AZ488" s="34" t="s">
        <v>1745</v>
      </c>
      <c r="BA488" s="28" t="s">
        <v>1752</v>
      </c>
      <c r="BC488" s="33">
        <f t="shared" ref="BC488:BC500" si="569">AW488+AX488</f>
        <v>0</v>
      </c>
      <c r="BD488" s="33">
        <f t="shared" ref="BD488:BD500" si="570">H488/(100-BE488)*100</f>
        <v>0</v>
      </c>
      <c r="BE488" s="33">
        <v>0</v>
      </c>
      <c r="BF488" s="33">
        <f>488</f>
        <v>488</v>
      </c>
      <c r="BH488" s="16">
        <f t="shared" ref="BH488:BH500" si="571">G488*AO488</f>
        <v>0</v>
      </c>
      <c r="BI488" s="16">
        <f t="shared" ref="BI488:BI500" si="572">G488*AP488</f>
        <v>0</v>
      </c>
      <c r="BJ488" s="16">
        <f t="shared" ref="BJ488:BJ500" si="573">G488*H488</f>
        <v>0</v>
      </c>
    </row>
    <row r="489" spans="1:62" x14ac:dyDescent="0.2">
      <c r="A489" s="4" t="s">
        <v>411</v>
      </c>
      <c r="B489" s="4" t="s">
        <v>959</v>
      </c>
      <c r="C489" s="131" t="s">
        <v>1540</v>
      </c>
      <c r="D489" s="132"/>
      <c r="E489" s="132"/>
      <c r="F489" s="4" t="s">
        <v>1665</v>
      </c>
      <c r="G489" s="68">
        <v>1</v>
      </c>
      <c r="H489" s="162">
        <v>0</v>
      </c>
      <c r="I489" s="16">
        <f t="shared" si="550"/>
        <v>0</v>
      </c>
      <c r="J489" s="16">
        <f t="shared" si="551"/>
        <v>0</v>
      </c>
      <c r="K489" s="16">
        <f t="shared" si="552"/>
        <v>0</v>
      </c>
      <c r="L489" s="27" t="s">
        <v>1692</v>
      </c>
      <c r="Z489" s="33">
        <f t="shared" si="553"/>
        <v>0</v>
      </c>
      <c r="AB489" s="33">
        <f t="shared" si="554"/>
        <v>0</v>
      </c>
      <c r="AC489" s="33">
        <f t="shared" si="555"/>
        <v>0</v>
      </c>
      <c r="AD489" s="33">
        <f t="shared" si="556"/>
        <v>0</v>
      </c>
      <c r="AE489" s="33">
        <f t="shared" si="557"/>
        <v>0</v>
      </c>
      <c r="AF489" s="33">
        <f t="shared" si="558"/>
        <v>0</v>
      </c>
      <c r="AG489" s="33">
        <f t="shared" si="559"/>
        <v>0</v>
      </c>
      <c r="AH489" s="33">
        <f t="shared" si="560"/>
        <v>0</v>
      </c>
      <c r="AI489" s="28"/>
      <c r="AJ489" s="16">
        <f t="shared" si="561"/>
        <v>0</v>
      </c>
      <c r="AK489" s="16">
        <f t="shared" si="562"/>
        <v>0</v>
      </c>
      <c r="AL489" s="16">
        <f t="shared" si="563"/>
        <v>0</v>
      </c>
      <c r="AN489" s="33">
        <v>21</v>
      </c>
      <c r="AO489" s="33">
        <f t="shared" si="564"/>
        <v>0</v>
      </c>
      <c r="AP489" s="33">
        <f t="shared" si="565"/>
        <v>0</v>
      </c>
      <c r="AQ489" s="27" t="s">
        <v>8</v>
      </c>
      <c r="AV489" s="33">
        <f t="shared" si="566"/>
        <v>0</v>
      </c>
      <c r="AW489" s="33">
        <f t="shared" si="567"/>
        <v>0</v>
      </c>
      <c r="AX489" s="33">
        <f t="shared" si="568"/>
        <v>0</v>
      </c>
      <c r="AY489" s="34" t="s">
        <v>1738</v>
      </c>
      <c r="AZ489" s="34" t="s">
        <v>1745</v>
      </c>
      <c r="BA489" s="28" t="s">
        <v>1752</v>
      </c>
      <c r="BC489" s="33">
        <f t="shared" si="569"/>
        <v>0</v>
      </c>
      <c r="BD489" s="33">
        <f t="shared" si="570"/>
        <v>0</v>
      </c>
      <c r="BE489" s="33">
        <v>0</v>
      </c>
      <c r="BF489" s="33">
        <f>489</f>
        <v>489</v>
      </c>
      <c r="BH489" s="16">
        <f t="shared" si="571"/>
        <v>0</v>
      </c>
      <c r="BI489" s="16">
        <f t="shared" si="572"/>
        <v>0</v>
      </c>
      <c r="BJ489" s="16">
        <f t="shared" si="573"/>
        <v>0</v>
      </c>
    </row>
    <row r="490" spans="1:62" x14ac:dyDescent="0.2">
      <c r="A490" s="4" t="s">
        <v>412</v>
      </c>
      <c r="B490" s="4" t="s">
        <v>960</v>
      </c>
      <c r="C490" s="131" t="s">
        <v>1541</v>
      </c>
      <c r="D490" s="132"/>
      <c r="E490" s="132"/>
      <c r="F490" s="4" t="s">
        <v>1665</v>
      </c>
      <c r="G490" s="68">
        <v>1</v>
      </c>
      <c r="H490" s="162">
        <v>0</v>
      </c>
      <c r="I490" s="16">
        <f t="shared" si="550"/>
        <v>0</v>
      </c>
      <c r="J490" s="16">
        <f t="shared" si="551"/>
        <v>0</v>
      </c>
      <c r="K490" s="16">
        <f t="shared" si="552"/>
        <v>0</v>
      </c>
      <c r="L490" s="27" t="s">
        <v>1692</v>
      </c>
      <c r="Z490" s="33">
        <f t="shared" si="553"/>
        <v>0</v>
      </c>
      <c r="AB490" s="33">
        <f t="shared" si="554"/>
        <v>0</v>
      </c>
      <c r="AC490" s="33">
        <f t="shared" si="555"/>
        <v>0</v>
      </c>
      <c r="AD490" s="33">
        <f t="shared" si="556"/>
        <v>0</v>
      </c>
      <c r="AE490" s="33">
        <f t="shared" si="557"/>
        <v>0</v>
      </c>
      <c r="AF490" s="33">
        <f t="shared" si="558"/>
        <v>0</v>
      </c>
      <c r="AG490" s="33">
        <f t="shared" si="559"/>
        <v>0</v>
      </c>
      <c r="AH490" s="33">
        <f t="shared" si="560"/>
        <v>0</v>
      </c>
      <c r="AI490" s="28"/>
      <c r="AJ490" s="16">
        <f t="shared" si="561"/>
        <v>0</v>
      </c>
      <c r="AK490" s="16">
        <f t="shared" si="562"/>
        <v>0</v>
      </c>
      <c r="AL490" s="16">
        <f t="shared" si="563"/>
        <v>0</v>
      </c>
      <c r="AN490" s="33">
        <v>21</v>
      </c>
      <c r="AO490" s="33">
        <f t="shared" si="564"/>
        <v>0</v>
      </c>
      <c r="AP490" s="33">
        <f t="shared" si="565"/>
        <v>0</v>
      </c>
      <c r="AQ490" s="27" t="s">
        <v>8</v>
      </c>
      <c r="AV490" s="33">
        <f t="shared" si="566"/>
        <v>0</v>
      </c>
      <c r="AW490" s="33">
        <f t="shared" si="567"/>
        <v>0</v>
      </c>
      <c r="AX490" s="33">
        <f t="shared" si="568"/>
        <v>0</v>
      </c>
      <c r="AY490" s="34" t="s">
        <v>1738</v>
      </c>
      <c r="AZ490" s="34" t="s">
        <v>1745</v>
      </c>
      <c r="BA490" s="28" t="s">
        <v>1752</v>
      </c>
      <c r="BC490" s="33">
        <f t="shared" si="569"/>
        <v>0</v>
      </c>
      <c r="BD490" s="33">
        <f t="shared" si="570"/>
        <v>0</v>
      </c>
      <c r="BE490" s="33">
        <v>0</v>
      </c>
      <c r="BF490" s="33">
        <f>490</f>
        <v>490</v>
      </c>
      <c r="BH490" s="16">
        <f t="shared" si="571"/>
        <v>0</v>
      </c>
      <c r="BI490" s="16">
        <f t="shared" si="572"/>
        <v>0</v>
      </c>
      <c r="BJ490" s="16">
        <f t="shared" si="573"/>
        <v>0</v>
      </c>
    </row>
    <row r="491" spans="1:62" x14ac:dyDescent="0.2">
      <c r="A491" s="4" t="s">
        <v>413</v>
      </c>
      <c r="B491" s="4" t="s">
        <v>961</v>
      </c>
      <c r="C491" s="131" t="s">
        <v>1542</v>
      </c>
      <c r="D491" s="132"/>
      <c r="E491" s="132"/>
      <c r="F491" s="4" t="s">
        <v>1665</v>
      </c>
      <c r="G491" s="68">
        <v>1</v>
      </c>
      <c r="H491" s="162">
        <v>0</v>
      </c>
      <c r="I491" s="16">
        <f t="shared" si="550"/>
        <v>0</v>
      </c>
      <c r="J491" s="16">
        <f t="shared" si="551"/>
        <v>0</v>
      </c>
      <c r="K491" s="16">
        <f t="shared" si="552"/>
        <v>0</v>
      </c>
      <c r="L491" s="27" t="s">
        <v>1692</v>
      </c>
      <c r="Z491" s="33">
        <f t="shared" si="553"/>
        <v>0</v>
      </c>
      <c r="AB491" s="33">
        <f t="shared" si="554"/>
        <v>0</v>
      </c>
      <c r="AC491" s="33">
        <f t="shared" si="555"/>
        <v>0</v>
      </c>
      <c r="AD491" s="33">
        <f t="shared" si="556"/>
        <v>0</v>
      </c>
      <c r="AE491" s="33">
        <f t="shared" si="557"/>
        <v>0</v>
      </c>
      <c r="AF491" s="33">
        <f t="shared" si="558"/>
        <v>0</v>
      </c>
      <c r="AG491" s="33">
        <f t="shared" si="559"/>
        <v>0</v>
      </c>
      <c r="AH491" s="33">
        <f t="shared" si="560"/>
        <v>0</v>
      </c>
      <c r="AI491" s="28"/>
      <c r="AJ491" s="16">
        <f t="shared" si="561"/>
        <v>0</v>
      </c>
      <c r="AK491" s="16">
        <f t="shared" si="562"/>
        <v>0</v>
      </c>
      <c r="AL491" s="16">
        <f t="shared" si="563"/>
        <v>0</v>
      </c>
      <c r="AN491" s="33">
        <v>21</v>
      </c>
      <c r="AO491" s="33">
        <f t="shared" si="564"/>
        <v>0</v>
      </c>
      <c r="AP491" s="33">
        <f t="shared" si="565"/>
        <v>0</v>
      </c>
      <c r="AQ491" s="27" t="s">
        <v>8</v>
      </c>
      <c r="AV491" s="33">
        <f t="shared" si="566"/>
        <v>0</v>
      </c>
      <c r="AW491" s="33">
        <f t="shared" si="567"/>
        <v>0</v>
      </c>
      <c r="AX491" s="33">
        <f t="shared" si="568"/>
        <v>0</v>
      </c>
      <c r="AY491" s="34" t="s">
        <v>1738</v>
      </c>
      <c r="AZ491" s="34" t="s">
        <v>1745</v>
      </c>
      <c r="BA491" s="28" t="s">
        <v>1752</v>
      </c>
      <c r="BC491" s="33">
        <f t="shared" si="569"/>
        <v>0</v>
      </c>
      <c r="BD491" s="33">
        <f t="shared" si="570"/>
        <v>0</v>
      </c>
      <c r="BE491" s="33">
        <v>0</v>
      </c>
      <c r="BF491" s="33">
        <f>491</f>
        <v>491</v>
      </c>
      <c r="BH491" s="16">
        <f t="shared" si="571"/>
        <v>0</v>
      </c>
      <c r="BI491" s="16">
        <f t="shared" si="572"/>
        <v>0</v>
      </c>
      <c r="BJ491" s="16">
        <f t="shared" si="573"/>
        <v>0</v>
      </c>
    </row>
    <row r="492" spans="1:62" x14ac:dyDescent="0.2">
      <c r="A492" s="4" t="s">
        <v>414</v>
      </c>
      <c r="B492" s="4" t="s">
        <v>962</v>
      </c>
      <c r="C492" s="131" t="s">
        <v>1543</v>
      </c>
      <c r="D492" s="132"/>
      <c r="E492" s="132"/>
      <c r="F492" s="4" t="s">
        <v>1665</v>
      </c>
      <c r="G492" s="68">
        <v>46</v>
      </c>
      <c r="H492" s="162">
        <v>0</v>
      </c>
      <c r="I492" s="16">
        <f t="shared" si="550"/>
        <v>0</v>
      </c>
      <c r="J492" s="16">
        <f t="shared" si="551"/>
        <v>0</v>
      </c>
      <c r="K492" s="16">
        <f t="shared" si="552"/>
        <v>0</v>
      </c>
      <c r="L492" s="27"/>
      <c r="Z492" s="33">
        <f t="shared" si="553"/>
        <v>0</v>
      </c>
      <c r="AB492" s="33">
        <f t="shared" si="554"/>
        <v>0</v>
      </c>
      <c r="AC492" s="33">
        <f t="shared" si="555"/>
        <v>0</v>
      </c>
      <c r="AD492" s="33">
        <f t="shared" si="556"/>
        <v>0</v>
      </c>
      <c r="AE492" s="33">
        <f t="shared" si="557"/>
        <v>0</v>
      </c>
      <c r="AF492" s="33">
        <f t="shared" si="558"/>
        <v>0</v>
      </c>
      <c r="AG492" s="33">
        <f t="shared" si="559"/>
        <v>0</v>
      </c>
      <c r="AH492" s="33">
        <f t="shared" si="560"/>
        <v>0</v>
      </c>
      <c r="AI492" s="28"/>
      <c r="AJ492" s="16">
        <f t="shared" si="561"/>
        <v>0</v>
      </c>
      <c r="AK492" s="16">
        <f t="shared" si="562"/>
        <v>0</v>
      </c>
      <c r="AL492" s="16">
        <f t="shared" si="563"/>
        <v>0</v>
      </c>
      <c r="AN492" s="33">
        <v>21</v>
      </c>
      <c r="AO492" s="33">
        <f t="shared" si="564"/>
        <v>0</v>
      </c>
      <c r="AP492" s="33">
        <f t="shared" si="565"/>
        <v>0</v>
      </c>
      <c r="AQ492" s="27" t="s">
        <v>7</v>
      </c>
      <c r="AV492" s="33">
        <f t="shared" si="566"/>
        <v>0</v>
      </c>
      <c r="AW492" s="33">
        <f t="shared" si="567"/>
        <v>0</v>
      </c>
      <c r="AX492" s="33">
        <f t="shared" si="568"/>
        <v>0</v>
      </c>
      <c r="AY492" s="34" t="s">
        <v>1738</v>
      </c>
      <c r="AZ492" s="34" t="s">
        <v>1745</v>
      </c>
      <c r="BA492" s="28" t="s">
        <v>1752</v>
      </c>
      <c r="BC492" s="33">
        <f t="shared" si="569"/>
        <v>0</v>
      </c>
      <c r="BD492" s="33">
        <f t="shared" si="570"/>
        <v>0</v>
      </c>
      <c r="BE492" s="33">
        <v>0</v>
      </c>
      <c r="BF492" s="33">
        <f>492</f>
        <v>492</v>
      </c>
      <c r="BH492" s="16">
        <f t="shared" si="571"/>
        <v>0</v>
      </c>
      <c r="BI492" s="16">
        <f t="shared" si="572"/>
        <v>0</v>
      </c>
      <c r="BJ492" s="16">
        <f t="shared" si="573"/>
        <v>0</v>
      </c>
    </row>
    <row r="493" spans="1:62" x14ac:dyDescent="0.2">
      <c r="A493" s="4" t="s">
        <v>415</v>
      </c>
      <c r="B493" s="4" t="s">
        <v>963</v>
      </c>
      <c r="C493" s="131" t="s">
        <v>1544</v>
      </c>
      <c r="D493" s="132"/>
      <c r="E493" s="132"/>
      <c r="F493" s="4" t="s">
        <v>1665</v>
      </c>
      <c r="G493" s="68">
        <v>22</v>
      </c>
      <c r="H493" s="162">
        <v>0</v>
      </c>
      <c r="I493" s="16">
        <f t="shared" si="550"/>
        <v>0</v>
      </c>
      <c r="J493" s="16">
        <f t="shared" si="551"/>
        <v>0</v>
      </c>
      <c r="K493" s="16">
        <f t="shared" si="552"/>
        <v>0</v>
      </c>
      <c r="L493" s="27"/>
      <c r="Z493" s="33">
        <f t="shared" si="553"/>
        <v>0</v>
      </c>
      <c r="AB493" s="33">
        <f t="shared" si="554"/>
        <v>0</v>
      </c>
      <c r="AC493" s="33">
        <f t="shared" si="555"/>
        <v>0</v>
      </c>
      <c r="AD493" s="33">
        <f t="shared" si="556"/>
        <v>0</v>
      </c>
      <c r="AE493" s="33">
        <f t="shared" si="557"/>
        <v>0</v>
      </c>
      <c r="AF493" s="33">
        <f t="shared" si="558"/>
        <v>0</v>
      </c>
      <c r="AG493" s="33">
        <f t="shared" si="559"/>
        <v>0</v>
      </c>
      <c r="AH493" s="33">
        <f t="shared" si="560"/>
        <v>0</v>
      </c>
      <c r="AI493" s="28"/>
      <c r="AJ493" s="16">
        <f t="shared" si="561"/>
        <v>0</v>
      </c>
      <c r="AK493" s="16">
        <f t="shared" si="562"/>
        <v>0</v>
      </c>
      <c r="AL493" s="16">
        <f t="shared" si="563"/>
        <v>0</v>
      </c>
      <c r="AN493" s="33">
        <v>21</v>
      </c>
      <c r="AO493" s="33">
        <f t="shared" si="564"/>
        <v>0</v>
      </c>
      <c r="AP493" s="33">
        <f t="shared" si="565"/>
        <v>0</v>
      </c>
      <c r="AQ493" s="27" t="s">
        <v>7</v>
      </c>
      <c r="AV493" s="33">
        <f t="shared" si="566"/>
        <v>0</v>
      </c>
      <c r="AW493" s="33">
        <f t="shared" si="567"/>
        <v>0</v>
      </c>
      <c r="AX493" s="33">
        <f t="shared" si="568"/>
        <v>0</v>
      </c>
      <c r="AY493" s="34" t="s">
        <v>1738</v>
      </c>
      <c r="AZ493" s="34" t="s">
        <v>1745</v>
      </c>
      <c r="BA493" s="28" t="s">
        <v>1752</v>
      </c>
      <c r="BC493" s="33">
        <f t="shared" si="569"/>
        <v>0</v>
      </c>
      <c r="BD493" s="33">
        <f t="shared" si="570"/>
        <v>0</v>
      </c>
      <c r="BE493" s="33">
        <v>0</v>
      </c>
      <c r="BF493" s="33">
        <f>493</f>
        <v>493</v>
      </c>
      <c r="BH493" s="16">
        <f t="shared" si="571"/>
        <v>0</v>
      </c>
      <c r="BI493" s="16">
        <f t="shared" si="572"/>
        <v>0</v>
      </c>
      <c r="BJ493" s="16">
        <f t="shared" si="573"/>
        <v>0</v>
      </c>
    </row>
    <row r="494" spans="1:62" x14ac:dyDescent="0.2">
      <c r="A494" s="4" t="s">
        <v>416</v>
      </c>
      <c r="B494" s="4" t="s">
        <v>964</v>
      </c>
      <c r="C494" s="131" t="s">
        <v>1545</v>
      </c>
      <c r="D494" s="132"/>
      <c r="E494" s="132"/>
      <c r="F494" s="4" t="s">
        <v>1665</v>
      </c>
      <c r="G494" s="68">
        <v>65</v>
      </c>
      <c r="H494" s="162">
        <v>0</v>
      </c>
      <c r="I494" s="16">
        <f t="shared" si="550"/>
        <v>0</v>
      </c>
      <c r="J494" s="16">
        <f t="shared" si="551"/>
        <v>0</v>
      </c>
      <c r="K494" s="16">
        <f t="shared" si="552"/>
        <v>0</v>
      </c>
      <c r="L494" s="27"/>
      <c r="Z494" s="33">
        <f t="shared" si="553"/>
        <v>0</v>
      </c>
      <c r="AB494" s="33">
        <f t="shared" si="554"/>
        <v>0</v>
      </c>
      <c r="AC494" s="33">
        <f t="shared" si="555"/>
        <v>0</v>
      </c>
      <c r="AD494" s="33">
        <f t="shared" si="556"/>
        <v>0</v>
      </c>
      <c r="AE494" s="33">
        <f t="shared" si="557"/>
        <v>0</v>
      </c>
      <c r="AF494" s="33">
        <f t="shared" si="558"/>
        <v>0</v>
      </c>
      <c r="AG494" s="33">
        <f t="shared" si="559"/>
        <v>0</v>
      </c>
      <c r="AH494" s="33">
        <f t="shared" si="560"/>
        <v>0</v>
      </c>
      <c r="AI494" s="28"/>
      <c r="AJ494" s="16">
        <f t="shared" si="561"/>
        <v>0</v>
      </c>
      <c r="AK494" s="16">
        <f t="shared" si="562"/>
        <v>0</v>
      </c>
      <c r="AL494" s="16">
        <f t="shared" si="563"/>
        <v>0</v>
      </c>
      <c r="AN494" s="33">
        <v>21</v>
      </c>
      <c r="AO494" s="33">
        <f t="shared" si="564"/>
        <v>0</v>
      </c>
      <c r="AP494" s="33">
        <f t="shared" si="565"/>
        <v>0</v>
      </c>
      <c r="AQ494" s="27" t="s">
        <v>7</v>
      </c>
      <c r="AV494" s="33">
        <f t="shared" si="566"/>
        <v>0</v>
      </c>
      <c r="AW494" s="33">
        <f t="shared" si="567"/>
        <v>0</v>
      </c>
      <c r="AX494" s="33">
        <f t="shared" si="568"/>
        <v>0</v>
      </c>
      <c r="AY494" s="34" t="s">
        <v>1738</v>
      </c>
      <c r="AZ494" s="34" t="s">
        <v>1745</v>
      </c>
      <c r="BA494" s="28" t="s">
        <v>1752</v>
      </c>
      <c r="BC494" s="33">
        <f t="shared" si="569"/>
        <v>0</v>
      </c>
      <c r="BD494" s="33">
        <f t="shared" si="570"/>
        <v>0</v>
      </c>
      <c r="BE494" s="33">
        <v>0</v>
      </c>
      <c r="BF494" s="33">
        <f>494</f>
        <v>494</v>
      </c>
      <c r="BH494" s="16">
        <f t="shared" si="571"/>
        <v>0</v>
      </c>
      <c r="BI494" s="16">
        <f t="shared" si="572"/>
        <v>0</v>
      </c>
      <c r="BJ494" s="16">
        <f t="shared" si="573"/>
        <v>0</v>
      </c>
    </row>
    <row r="495" spans="1:62" x14ac:dyDescent="0.2">
      <c r="A495" s="4" t="s">
        <v>417</v>
      </c>
      <c r="B495" s="4" t="s">
        <v>965</v>
      </c>
      <c r="C495" s="131" t="s">
        <v>1546</v>
      </c>
      <c r="D495" s="132"/>
      <c r="E495" s="132"/>
      <c r="F495" s="4" t="s">
        <v>1666</v>
      </c>
      <c r="G495" s="68">
        <v>720</v>
      </c>
      <c r="H495" s="162">
        <v>0</v>
      </c>
      <c r="I495" s="16">
        <f t="shared" si="550"/>
        <v>0</v>
      </c>
      <c r="J495" s="16">
        <f t="shared" si="551"/>
        <v>0</v>
      </c>
      <c r="K495" s="16">
        <f t="shared" si="552"/>
        <v>0</v>
      </c>
      <c r="L495" s="27"/>
      <c r="Z495" s="33">
        <f t="shared" si="553"/>
        <v>0</v>
      </c>
      <c r="AB495" s="33">
        <f t="shared" si="554"/>
        <v>0</v>
      </c>
      <c r="AC495" s="33">
        <f t="shared" si="555"/>
        <v>0</v>
      </c>
      <c r="AD495" s="33">
        <f t="shared" si="556"/>
        <v>0</v>
      </c>
      <c r="AE495" s="33">
        <f t="shared" si="557"/>
        <v>0</v>
      </c>
      <c r="AF495" s="33">
        <f t="shared" si="558"/>
        <v>0</v>
      </c>
      <c r="AG495" s="33">
        <f t="shared" si="559"/>
        <v>0</v>
      </c>
      <c r="AH495" s="33">
        <f t="shared" si="560"/>
        <v>0</v>
      </c>
      <c r="AI495" s="28"/>
      <c r="AJ495" s="16">
        <f t="shared" si="561"/>
        <v>0</v>
      </c>
      <c r="AK495" s="16">
        <f t="shared" si="562"/>
        <v>0</v>
      </c>
      <c r="AL495" s="16">
        <f t="shared" si="563"/>
        <v>0</v>
      </c>
      <c r="AN495" s="33">
        <v>21</v>
      </c>
      <c r="AO495" s="33">
        <f t="shared" si="564"/>
        <v>0</v>
      </c>
      <c r="AP495" s="33">
        <f t="shared" si="565"/>
        <v>0</v>
      </c>
      <c r="AQ495" s="27" t="s">
        <v>7</v>
      </c>
      <c r="AV495" s="33">
        <f t="shared" si="566"/>
        <v>0</v>
      </c>
      <c r="AW495" s="33">
        <f t="shared" si="567"/>
        <v>0</v>
      </c>
      <c r="AX495" s="33">
        <f t="shared" si="568"/>
        <v>0</v>
      </c>
      <c r="AY495" s="34" t="s">
        <v>1738</v>
      </c>
      <c r="AZ495" s="34" t="s">
        <v>1745</v>
      </c>
      <c r="BA495" s="28" t="s">
        <v>1752</v>
      </c>
      <c r="BC495" s="33">
        <f t="shared" si="569"/>
        <v>0</v>
      </c>
      <c r="BD495" s="33">
        <f t="shared" si="570"/>
        <v>0</v>
      </c>
      <c r="BE495" s="33">
        <v>0</v>
      </c>
      <c r="BF495" s="33">
        <f>495</f>
        <v>495</v>
      </c>
      <c r="BH495" s="16">
        <f t="shared" si="571"/>
        <v>0</v>
      </c>
      <c r="BI495" s="16">
        <f t="shared" si="572"/>
        <v>0</v>
      </c>
      <c r="BJ495" s="16">
        <f t="shared" si="573"/>
        <v>0</v>
      </c>
    </row>
    <row r="496" spans="1:62" x14ac:dyDescent="0.2">
      <c r="A496" s="4" t="s">
        <v>418</v>
      </c>
      <c r="B496" s="4" t="s">
        <v>966</v>
      </c>
      <c r="C496" s="131" t="s">
        <v>1547</v>
      </c>
      <c r="D496" s="132"/>
      <c r="E496" s="132"/>
      <c r="F496" s="4" t="s">
        <v>1666</v>
      </c>
      <c r="G496" s="68">
        <v>42</v>
      </c>
      <c r="H496" s="162">
        <v>0</v>
      </c>
      <c r="I496" s="16">
        <f t="shared" si="550"/>
        <v>0</v>
      </c>
      <c r="J496" s="16">
        <f t="shared" si="551"/>
        <v>0</v>
      </c>
      <c r="K496" s="16">
        <f t="shared" si="552"/>
        <v>0</v>
      </c>
      <c r="L496" s="27"/>
      <c r="Z496" s="33">
        <f t="shared" si="553"/>
        <v>0</v>
      </c>
      <c r="AB496" s="33">
        <f t="shared" si="554"/>
        <v>0</v>
      </c>
      <c r="AC496" s="33">
        <f t="shared" si="555"/>
        <v>0</v>
      </c>
      <c r="AD496" s="33">
        <f t="shared" si="556"/>
        <v>0</v>
      </c>
      <c r="AE496" s="33">
        <f t="shared" si="557"/>
        <v>0</v>
      </c>
      <c r="AF496" s="33">
        <f t="shared" si="558"/>
        <v>0</v>
      </c>
      <c r="AG496" s="33">
        <f t="shared" si="559"/>
        <v>0</v>
      </c>
      <c r="AH496" s="33">
        <f t="shared" si="560"/>
        <v>0</v>
      </c>
      <c r="AI496" s="28"/>
      <c r="AJ496" s="16">
        <f t="shared" si="561"/>
        <v>0</v>
      </c>
      <c r="AK496" s="16">
        <f t="shared" si="562"/>
        <v>0</v>
      </c>
      <c r="AL496" s="16">
        <f t="shared" si="563"/>
        <v>0</v>
      </c>
      <c r="AN496" s="33">
        <v>21</v>
      </c>
      <c r="AO496" s="33">
        <f t="shared" si="564"/>
        <v>0</v>
      </c>
      <c r="AP496" s="33">
        <f t="shared" si="565"/>
        <v>0</v>
      </c>
      <c r="AQ496" s="27" t="s">
        <v>7</v>
      </c>
      <c r="AV496" s="33">
        <f t="shared" si="566"/>
        <v>0</v>
      </c>
      <c r="AW496" s="33">
        <f t="shared" si="567"/>
        <v>0</v>
      </c>
      <c r="AX496" s="33">
        <f t="shared" si="568"/>
        <v>0</v>
      </c>
      <c r="AY496" s="34" t="s">
        <v>1738</v>
      </c>
      <c r="AZ496" s="34" t="s">
        <v>1745</v>
      </c>
      <c r="BA496" s="28" t="s">
        <v>1752</v>
      </c>
      <c r="BC496" s="33">
        <f t="shared" si="569"/>
        <v>0</v>
      </c>
      <c r="BD496" s="33">
        <f t="shared" si="570"/>
        <v>0</v>
      </c>
      <c r="BE496" s="33">
        <v>0</v>
      </c>
      <c r="BF496" s="33">
        <f>496</f>
        <v>496</v>
      </c>
      <c r="BH496" s="16">
        <f t="shared" si="571"/>
        <v>0</v>
      </c>
      <c r="BI496" s="16">
        <f t="shared" si="572"/>
        <v>0</v>
      </c>
      <c r="BJ496" s="16">
        <f t="shared" si="573"/>
        <v>0</v>
      </c>
    </row>
    <row r="497" spans="1:62" x14ac:dyDescent="0.2">
      <c r="A497" s="4" t="s">
        <v>419</v>
      </c>
      <c r="B497" s="4" t="s">
        <v>967</v>
      </c>
      <c r="C497" s="131" t="s">
        <v>1548</v>
      </c>
      <c r="D497" s="132"/>
      <c r="E497" s="132"/>
      <c r="F497" s="4" t="s">
        <v>1665</v>
      </c>
      <c r="G497" s="68">
        <v>1</v>
      </c>
      <c r="H497" s="162">
        <v>0</v>
      </c>
      <c r="I497" s="16">
        <f t="shared" si="550"/>
        <v>0</v>
      </c>
      <c r="J497" s="16">
        <f t="shared" si="551"/>
        <v>0</v>
      </c>
      <c r="K497" s="16">
        <f t="shared" si="552"/>
        <v>0</v>
      </c>
      <c r="L497" s="27"/>
      <c r="Z497" s="33">
        <f t="shared" si="553"/>
        <v>0</v>
      </c>
      <c r="AB497" s="33">
        <f t="shared" si="554"/>
        <v>0</v>
      </c>
      <c r="AC497" s="33">
        <f t="shared" si="555"/>
        <v>0</v>
      </c>
      <c r="AD497" s="33">
        <f t="shared" si="556"/>
        <v>0</v>
      </c>
      <c r="AE497" s="33">
        <f t="shared" si="557"/>
        <v>0</v>
      </c>
      <c r="AF497" s="33">
        <f t="shared" si="558"/>
        <v>0</v>
      </c>
      <c r="AG497" s="33">
        <f t="shared" si="559"/>
        <v>0</v>
      </c>
      <c r="AH497" s="33">
        <f t="shared" si="560"/>
        <v>0</v>
      </c>
      <c r="AI497" s="28"/>
      <c r="AJ497" s="16">
        <f t="shared" si="561"/>
        <v>0</v>
      </c>
      <c r="AK497" s="16">
        <f t="shared" si="562"/>
        <v>0</v>
      </c>
      <c r="AL497" s="16">
        <f t="shared" si="563"/>
        <v>0</v>
      </c>
      <c r="AN497" s="33">
        <v>21</v>
      </c>
      <c r="AO497" s="33">
        <f t="shared" si="564"/>
        <v>0</v>
      </c>
      <c r="AP497" s="33">
        <f t="shared" si="565"/>
        <v>0</v>
      </c>
      <c r="AQ497" s="27" t="s">
        <v>7</v>
      </c>
      <c r="AV497" s="33">
        <f t="shared" si="566"/>
        <v>0</v>
      </c>
      <c r="AW497" s="33">
        <f t="shared" si="567"/>
        <v>0</v>
      </c>
      <c r="AX497" s="33">
        <f t="shared" si="568"/>
        <v>0</v>
      </c>
      <c r="AY497" s="34" t="s">
        <v>1738</v>
      </c>
      <c r="AZ497" s="34" t="s">
        <v>1745</v>
      </c>
      <c r="BA497" s="28" t="s">
        <v>1752</v>
      </c>
      <c r="BC497" s="33">
        <f t="shared" si="569"/>
        <v>0</v>
      </c>
      <c r="BD497" s="33">
        <f t="shared" si="570"/>
        <v>0</v>
      </c>
      <c r="BE497" s="33">
        <v>0</v>
      </c>
      <c r="BF497" s="33">
        <f>497</f>
        <v>497</v>
      </c>
      <c r="BH497" s="16">
        <f t="shared" si="571"/>
        <v>0</v>
      </c>
      <c r="BI497" s="16">
        <f t="shared" si="572"/>
        <v>0</v>
      </c>
      <c r="BJ497" s="16">
        <f t="shared" si="573"/>
        <v>0</v>
      </c>
    </row>
    <row r="498" spans="1:62" x14ac:dyDescent="0.2">
      <c r="A498" s="4" t="s">
        <v>420</v>
      </c>
      <c r="B498" s="4" t="s">
        <v>968</v>
      </c>
      <c r="C498" s="131" t="s">
        <v>1549</v>
      </c>
      <c r="D498" s="132"/>
      <c r="E498" s="132"/>
      <c r="F498" s="4" t="s">
        <v>1665</v>
      </c>
      <c r="G498" s="68">
        <v>2</v>
      </c>
      <c r="H498" s="162">
        <v>0</v>
      </c>
      <c r="I498" s="16">
        <f t="shared" si="550"/>
        <v>0</v>
      </c>
      <c r="J498" s="16">
        <f t="shared" si="551"/>
        <v>0</v>
      </c>
      <c r="K498" s="16">
        <f t="shared" si="552"/>
        <v>0</v>
      </c>
      <c r="L498" s="27"/>
      <c r="Z498" s="33">
        <f t="shared" si="553"/>
        <v>0</v>
      </c>
      <c r="AB498" s="33">
        <f t="shared" si="554"/>
        <v>0</v>
      </c>
      <c r="AC498" s="33">
        <f t="shared" si="555"/>
        <v>0</v>
      </c>
      <c r="AD498" s="33">
        <f t="shared" si="556"/>
        <v>0</v>
      </c>
      <c r="AE498" s="33">
        <f t="shared" si="557"/>
        <v>0</v>
      </c>
      <c r="AF498" s="33">
        <f t="shared" si="558"/>
        <v>0</v>
      </c>
      <c r="AG498" s="33">
        <f t="shared" si="559"/>
        <v>0</v>
      </c>
      <c r="AH498" s="33">
        <f t="shared" si="560"/>
        <v>0</v>
      </c>
      <c r="AI498" s="28"/>
      <c r="AJ498" s="16">
        <f t="shared" si="561"/>
        <v>0</v>
      </c>
      <c r="AK498" s="16">
        <f t="shared" si="562"/>
        <v>0</v>
      </c>
      <c r="AL498" s="16">
        <f t="shared" si="563"/>
        <v>0</v>
      </c>
      <c r="AN498" s="33">
        <v>21</v>
      </c>
      <c r="AO498" s="33">
        <f t="shared" si="564"/>
        <v>0</v>
      </c>
      <c r="AP498" s="33">
        <f t="shared" si="565"/>
        <v>0</v>
      </c>
      <c r="AQ498" s="27" t="s">
        <v>7</v>
      </c>
      <c r="AV498" s="33">
        <f t="shared" si="566"/>
        <v>0</v>
      </c>
      <c r="AW498" s="33">
        <f t="shared" si="567"/>
        <v>0</v>
      </c>
      <c r="AX498" s="33">
        <f t="shared" si="568"/>
        <v>0</v>
      </c>
      <c r="AY498" s="34" t="s">
        <v>1738</v>
      </c>
      <c r="AZ498" s="34" t="s">
        <v>1745</v>
      </c>
      <c r="BA498" s="28" t="s">
        <v>1752</v>
      </c>
      <c r="BC498" s="33">
        <f t="shared" si="569"/>
        <v>0</v>
      </c>
      <c r="BD498" s="33">
        <f t="shared" si="570"/>
        <v>0</v>
      </c>
      <c r="BE498" s="33">
        <v>0</v>
      </c>
      <c r="BF498" s="33">
        <f>498</f>
        <v>498</v>
      </c>
      <c r="BH498" s="16">
        <f t="shared" si="571"/>
        <v>0</v>
      </c>
      <c r="BI498" s="16">
        <f t="shared" si="572"/>
        <v>0</v>
      </c>
      <c r="BJ498" s="16">
        <f t="shared" si="573"/>
        <v>0</v>
      </c>
    </row>
    <row r="499" spans="1:62" x14ac:dyDescent="0.2">
      <c r="A499" s="4" t="s">
        <v>421</v>
      </c>
      <c r="B499" s="4" t="s">
        <v>968</v>
      </c>
      <c r="C499" s="131" t="s">
        <v>1550</v>
      </c>
      <c r="D499" s="132"/>
      <c r="E499" s="132"/>
      <c r="F499" s="4" t="s">
        <v>1668</v>
      </c>
      <c r="G499" s="68">
        <v>22</v>
      </c>
      <c r="H499" s="162">
        <v>0</v>
      </c>
      <c r="I499" s="16">
        <f t="shared" si="550"/>
        <v>0</v>
      </c>
      <c r="J499" s="16">
        <f t="shared" si="551"/>
        <v>0</v>
      </c>
      <c r="K499" s="16">
        <f t="shared" si="552"/>
        <v>0</v>
      </c>
      <c r="L499" s="27"/>
      <c r="Z499" s="33">
        <f t="shared" si="553"/>
        <v>0</v>
      </c>
      <c r="AB499" s="33">
        <f t="shared" si="554"/>
        <v>0</v>
      </c>
      <c r="AC499" s="33">
        <f t="shared" si="555"/>
        <v>0</v>
      </c>
      <c r="AD499" s="33">
        <f t="shared" si="556"/>
        <v>0</v>
      </c>
      <c r="AE499" s="33">
        <f t="shared" si="557"/>
        <v>0</v>
      </c>
      <c r="AF499" s="33">
        <f t="shared" si="558"/>
        <v>0</v>
      </c>
      <c r="AG499" s="33">
        <f t="shared" si="559"/>
        <v>0</v>
      </c>
      <c r="AH499" s="33">
        <f t="shared" si="560"/>
        <v>0</v>
      </c>
      <c r="AI499" s="28"/>
      <c r="AJ499" s="16">
        <f t="shared" si="561"/>
        <v>0</v>
      </c>
      <c r="AK499" s="16">
        <f t="shared" si="562"/>
        <v>0</v>
      </c>
      <c r="AL499" s="16">
        <f t="shared" si="563"/>
        <v>0</v>
      </c>
      <c r="AN499" s="33">
        <v>21</v>
      </c>
      <c r="AO499" s="33">
        <f t="shared" si="564"/>
        <v>0</v>
      </c>
      <c r="AP499" s="33">
        <f t="shared" si="565"/>
        <v>0</v>
      </c>
      <c r="AQ499" s="27" t="s">
        <v>7</v>
      </c>
      <c r="AV499" s="33">
        <f t="shared" si="566"/>
        <v>0</v>
      </c>
      <c r="AW499" s="33">
        <f t="shared" si="567"/>
        <v>0</v>
      </c>
      <c r="AX499" s="33">
        <f t="shared" si="568"/>
        <v>0</v>
      </c>
      <c r="AY499" s="34" t="s">
        <v>1738</v>
      </c>
      <c r="AZ499" s="34" t="s">
        <v>1745</v>
      </c>
      <c r="BA499" s="28" t="s">
        <v>1752</v>
      </c>
      <c r="BC499" s="33">
        <f t="shared" si="569"/>
        <v>0</v>
      </c>
      <c r="BD499" s="33">
        <f t="shared" si="570"/>
        <v>0</v>
      </c>
      <c r="BE499" s="33">
        <v>0</v>
      </c>
      <c r="BF499" s="33">
        <f>499</f>
        <v>499</v>
      </c>
      <c r="BH499" s="16">
        <f t="shared" si="571"/>
        <v>0</v>
      </c>
      <c r="BI499" s="16">
        <f t="shared" si="572"/>
        <v>0</v>
      </c>
      <c r="BJ499" s="16">
        <f t="shared" si="573"/>
        <v>0</v>
      </c>
    </row>
    <row r="500" spans="1:62" x14ac:dyDescent="0.2">
      <c r="A500" s="73" t="s">
        <v>422</v>
      </c>
      <c r="B500" s="73" t="s">
        <v>969</v>
      </c>
      <c r="C500" s="138" t="s">
        <v>1551</v>
      </c>
      <c r="D500" s="132"/>
      <c r="E500" s="132"/>
      <c r="F500" s="73" t="s">
        <v>1665</v>
      </c>
      <c r="G500" s="74">
        <v>2</v>
      </c>
      <c r="H500" s="166">
        <v>0</v>
      </c>
      <c r="I500" s="75">
        <f t="shared" si="550"/>
        <v>0</v>
      </c>
      <c r="J500" s="75">
        <f t="shared" si="551"/>
        <v>0</v>
      </c>
      <c r="K500" s="75">
        <f t="shared" si="552"/>
        <v>0</v>
      </c>
      <c r="L500" s="80"/>
      <c r="Z500" s="33">
        <f t="shared" si="553"/>
        <v>0</v>
      </c>
      <c r="AB500" s="33">
        <f t="shared" si="554"/>
        <v>0</v>
      </c>
      <c r="AC500" s="33">
        <f t="shared" si="555"/>
        <v>0</v>
      </c>
      <c r="AD500" s="33">
        <f t="shared" si="556"/>
        <v>0</v>
      </c>
      <c r="AE500" s="33">
        <f t="shared" si="557"/>
        <v>0</v>
      </c>
      <c r="AF500" s="33">
        <f t="shared" si="558"/>
        <v>0</v>
      </c>
      <c r="AG500" s="33">
        <f t="shared" si="559"/>
        <v>0</v>
      </c>
      <c r="AH500" s="33">
        <f t="shared" si="560"/>
        <v>0</v>
      </c>
      <c r="AI500" s="28"/>
      <c r="AJ500" s="16">
        <f t="shared" si="561"/>
        <v>0</v>
      </c>
      <c r="AK500" s="16">
        <f t="shared" si="562"/>
        <v>0</v>
      </c>
      <c r="AL500" s="16">
        <f t="shared" si="563"/>
        <v>0</v>
      </c>
      <c r="AN500" s="33">
        <v>21</v>
      </c>
      <c r="AO500" s="33">
        <f t="shared" si="564"/>
        <v>0</v>
      </c>
      <c r="AP500" s="33">
        <f t="shared" si="565"/>
        <v>0</v>
      </c>
      <c r="AQ500" s="27" t="s">
        <v>7</v>
      </c>
      <c r="AV500" s="33">
        <f t="shared" si="566"/>
        <v>0</v>
      </c>
      <c r="AW500" s="33">
        <f t="shared" si="567"/>
        <v>0</v>
      </c>
      <c r="AX500" s="33">
        <f t="shared" si="568"/>
        <v>0</v>
      </c>
      <c r="AY500" s="34" t="s">
        <v>1738</v>
      </c>
      <c r="AZ500" s="34" t="s">
        <v>1745</v>
      </c>
      <c r="BA500" s="28" t="s">
        <v>1752</v>
      </c>
      <c r="BC500" s="33">
        <f t="shared" si="569"/>
        <v>0</v>
      </c>
      <c r="BD500" s="33">
        <f t="shared" si="570"/>
        <v>0</v>
      </c>
      <c r="BE500" s="33">
        <v>0</v>
      </c>
      <c r="BF500" s="33">
        <f>500</f>
        <v>500</v>
      </c>
      <c r="BH500" s="16">
        <f t="shared" si="571"/>
        <v>0</v>
      </c>
      <c r="BI500" s="16">
        <f t="shared" si="572"/>
        <v>0</v>
      </c>
      <c r="BJ500" s="16">
        <f t="shared" si="573"/>
        <v>0</v>
      </c>
    </row>
    <row r="501" spans="1:62" x14ac:dyDescent="0.2">
      <c r="C501" s="140" t="s">
        <v>1552</v>
      </c>
      <c r="D501" s="141"/>
      <c r="E501" s="141"/>
      <c r="H501" s="164"/>
    </row>
    <row r="502" spans="1:62" x14ac:dyDescent="0.2">
      <c r="A502" s="76" t="s">
        <v>423</v>
      </c>
      <c r="B502" s="76" t="s">
        <v>970</v>
      </c>
      <c r="C502" s="142" t="s">
        <v>1553</v>
      </c>
      <c r="D502" s="132"/>
      <c r="E502" s="143"/>
      <c r="F502" s="76" t="s">
        <v>1665</v>
      </c>
      <c r="G502" s="78">
        <v>1</v>
      </c>
      <c r="H502" s="167">
        <v>0</v>
      </c>
      <c r="I502" s="81">
        <f>G502*AO502</f>
        <v>0</v>
      </c>
      <c r="J502" s="81">
        <f>G502*AP502</f>
        <v>0</v>
      </c>
      <c r="K502" s="81">
        <f>G502*H502</f>
        <v>0</v>
      </c>
      <c r="L502" s="82"/>
      <c r="Z502" s="33">
        <f>IF(AQ502="5",BJ502,0)</f>
        <v>0</v>
      </c>
      <c r="AB502" s="33">
        <f>IF(AQ502="1",BH502,0)</f>
        <v>0</v>
      </c>
      <c r="AC502" s="33">
        <f>IF(AQ502="1",BI502,0)</f>
        <v>0</v>
      </c>
      <c r="AD502" s="33">
        <f>IF(AQ502="7",BH502,0)</f>
        <v>0</v>
      </c>
      <c r="AE502" s="33">
        <f>IF(AQ502="7",BI502,0)</f>
        <v>0</v>
      </c>
      <c r="AF502" s="33">
        <f>IF(AQ502="2",BH502,0)</f>
        <v>0</v>
      </c>
      <c r="AG502" s="33">
        <f>IF(AQ502="2",BI502,0)</f>
        <v>0</v>
      </c>
      <c r="AH502" s="33">
        <f>IF(AQ502="0",BJ502,0)</f>
        <v>0</v>
      </c>
      <c r="AI502" s="28"/>
      <c r="AJ502" s="16">
        <f>IF(AN502=0,K502,0)</f>
        <v>0</v>
      </c>
      <c r="AK502" s="16">
        <f>IF(AN502=15,K502,0)</f>
        <v>0</v>
      </c>
      <c r="AL502" s="16">
        <f>IF(AN502=21,K502,0)</f>
        <v>0</v>
      </c>
      <c r="AN502" s="33">
        <v>21</v>
      </c>
      <c r="AO502" s="33">
        <f>H502*0</f>
        <v>0</v>
      </c>
      <c r="AP502" s="33">
        <f>H502*(1-0)</f>
        <v>0</v>
      </c>
      <c r="AQ502" s="27" t="s">
        <v>7</v>
      </c>
      <c r="AV502" s="33">
        <f>AW502+AX502</f>
        <v>0</v>
      </c>
      <c r="AW502" s="33">
        <f>G502*AO502</f>
        <v>0</v>
      </c>
      <c r="AX502" s="33">
        <f>G502*AP502</f>
        <v>0</v>
      </c>
      <c r="AY502" s="34" t="s">
        <v>1738</v>
      </c>
      <c r="AZ502" s="34" t="s">
        <v>1745</v>
      </c>
      <c r="BA502" s="28" t="s">
        <v>1752</v>
      </c>
      <c r="BC502" s="33">
        <f>AW502+AX502</f>
        <v>0</v>
      </c>
      <c r="BD502" s="33">
        <f>H502/(100-BE502)*100</f>
        <v>0</v>
      </c>
      <c r="BE502" s="33">
        <v>0</v>
      </c>
      <c r="BF502" s="33">
        <f>502</f>
        <v>502</v>
      </c>
      <c r="BH502" s="16">
        <f>G502*AO502</f>
        <v>0</v>
      </c>
      <c r="BI502" s="16">
        <f>G502*AP502</f>
        <v>0</v>
      </c>
      <c r="BJ502" s="16">
        <f>G502*H502</f>
        <v>0</v>
      </c>
    </row>
    <row r="503" spans="1:62" x14ac:dyDescent="0.2">
      <c r="C503" s="140" t="s">
        <v>1554</v>
      </c>
      <c r="D503" s="141"/>
      <c r="E503" s="141"/>
      <c r="H503" s="164"/>
    </row>
    <row r="504" spans="1:62" x14ac:dyDescent="0.2">
      <c r="A504" s="4" t="s">
        <v>424</v>
      </c>
      <c r="B504" s="4" t="s">
        <v>971</v>
      </c>
      <c r="C504" s="131" t="s">
        <v>1555</v>
      </c>
      <c r="D504" s="132"/>
      <c r="E504" s="132"/>
      <c r="F504" s="4" t="s">
        <v>1668</v>
      </c>
      <c r="G504" s="68">
        <v>5</v>
      </c>
      <c r="H504" s="162">
        <v>0</v>
      </c>
      <c r="I504" s="16">
        <f t="shared" ref="I504:I535" si="574">G504*AO504</f>
        <v>0</v>
      </c>
      <c r="J504" s="16">
        <f t="shared" ref="J504:J535" si="575">G504*AP504</f>
        <v>0</v>
      </c>
      <c r="K504" s="16">
        <f t="shared" ref="K504:K535" si="576">G504*H504</f>
        <v>0</v>
      </c>
      <c r="L504" s="27"/>
      <c r="Z504" s="33">
        <f t="shared" ref="Z504:Z535" si="577">IF(AQ504="5",BJ504,0)</f>
        <v>0</v>
      </c>
      <c r="AB504" s="33">
        <f t="shared" ref="AB504:AB535" si="578">IF(AQ504="1",BH504,0)</f>
        <v>0</v>
      </c>
      <c r="AC504" s="33">
        <f t="shared" ref="AC504:AC535" si="579">IF(AQ504="1",BI504,0)</f>
        <v>0</v>
      </c>
      <c r="AD504" s="33">
        <f t="shared" ref="AD504:AD535" si="580">IF(AQ504="7",BH504,0)</f>
        <v>0</v>
      </c>
      <c r="AE504" s="33">
        <f t="shared" ref="AE504:AE535" si="581">IF(AQ504="7",BI504,0)</f>
        <v>0</v>
      </c>
      <c r="AF504" s="33">
        <f t="shared" ref="AF504:AF535" si="582">IF(AQ504="2",BH504,0)</f>
        <v>0</v>
      </c>
      <c r="AG504" s="33">
        <f t="shared" ref="AG504:AG535" si="583">IF(AQ504="2",BI504,0)</f>
        <v>0</v>
      </c>
      <c r="AH504" s="33">
        <f t="shared" ref="AH504:AH535" si="584">IF(AQ504="0",BJ504,0)</f>
        <v>0</v>
      </c>
      <c r="AI504" s="28"/>
      <c r="AJ504" s="16">
        <f t="shared" ref="AJ504:AJ535" si="585">IF(AN504=0,K504,0)</f>
        <v>0</v>
      </c>
      <c r="AK504" s="16">
        <f t="shared" ref="AK504:AK535" si="586">IF(AN504=15,K504,0)</f>
        <v>0</v>
      </c>
      <c r="AL504" s="16">
        <f t="shared" ref="AL504:AL535" si="587">IF(AN504=21,K504,0)</f>
        <v>0</v>
      </c>
      <c r="AN504" s="33">
        <v>21</v>
      </c>
      <c r="AO504" s="33">
        <f t="shared" ref="AO504:AO514" si="588">H504*0</f>
        <v>0</v>
      </c>
      <c r="AP504" s="33">
        <f t="shared" ref="AP504:AP514" si="589">H504*(1-0)</f>
        <v>0</v>
      </c>
      <c r="AQ504" s="27" t="s">
        <v>7</v>
      </c>
      <c r="AV504" s="33">
        <f t="shared" ref="AV504:AV535" si="590">AW504+AX504</f>
        <v>0</v>
      </c>
      <c r="AW504" s="33">
        <f t="shared" ref="AW504:AW535" si="591">G504*AO504</f>
        <v>0</v>
      </c>
      <c r="AX504" s="33">
        <f t="shared" ref="AX504:AX535" si="592">G504*AP504</f>
        <v>0</v>
      </c>
      <c r="AY504" s="34" t="s">
        <v>1738</v>
      </c>
      <c r="AZ504" s="34" t="s">
        <v>1745</v>
      </c>
      <c r="BA504" s="28" t="s">
        <v>1752</v>
      </c>
      <c r="BC504" s="33">
        <f t="shared" ref="BC504:BC535" si="593">AW504+AX504</f>
        <v>0</v>
      </c>
      <c r="BD504" s="33">
        <f t="shared" ref="BD504:BD535" si="594">H504/(100-BE504)*100</f>
        <v>0</v>
      </c>
      <c r="BE504" s="33">
        <v>0</v>
      </c>
      <c r="BF504" s="33">
        <f>504</f>
        <v>504</v>
      </c>
      <c r="BH504" s="16">
        <f t="shared" ref="BH504:BH535" si="595">G504*AO504</f>
        <v>0</v>
      </c>
      <c r="BI504" s="16">
        <f t="shared" ref="BI504:BI535" si="596">G504*AP504</f>
        <v>0</v>
      </c>
      <c r="BJ504" s="16">
        <f t="shared" ref="BJ504:BJ535" si="597">G504*H504</f>
        <v>0</v>
      </c>
    </row>
    <row r="505" spans="1:62" x14ac:dyDescent="0.2">
      <c r="A505" s="4" t="s">
        <v>425</v>
      </c>
      <c r="B505" s="4" t="s">
        <v>972</v>
      </c>
      <c r="C505" s="131" t="s">
        <v>1556</v>
      </c>
      <c r="D505" s="132"/>
      <c r="E505" s="132"/>
      <c r="F505" s="4" t="s">
        <v>1665</v>
      </c>
      <c r="G505" s="68">
        <v>4</v>
      </c>
      <c r="H505" s="162">
        <v>0</v>
      </c>
      <c r="I505" s="16">
        <f t="shared" si="574"/>
        <v>0</v>
      </c>
      <c r="J505" s="16">
        <f t="shared" si="575"/>
        <v>0</v>
      </c>
      <c r="K505" s="16">
        <f t="shared" si="576"/>
        <v>0</v>
      </c>
      <c r="L505" s="27"/>
      <c r="Z505" s="33">
        <f t="shared" si="577"/>
        <v>0</v>
      </c>
      <c r="AB505" s="33">
        <f t="shared" si="578"/>
        <v>0</v>
      </c>
      <c r="AC505" s="33">
        <f t="shared" si="579"/>
        <v>0</v>
      </c>
      <c r="AD505" s="33">
        <f t="shared" si="580"/>
        <v>0</v>
      </c>
      <c r="AE505" s="33">
        <f t="shared" si="581"/>
        <v>0</v>
      </c>
      <c r="AF505" s="33">
        <f t="shared" si="582"/>
        <v>0</v>
      </c>
      <c r="AG505" s="33">
        <f t="shared" si="583"/>
        <v>0</v>
      </c>
      <c r="AH505" s="33">
        <f t="shared" si="584"/>
        <v>0</v>
      </c>
      <c r="AI505" s="28"/>
      <c r="AJ505" s="16">
        <f t="shared" si="585"/>
        <v>0</v>
      </c>
      <c r="AK505" s="16">
        <f t="shared" si="586"/>
        <v>0</v>
      </c>
      <c r="AL505" s="16">
        <f t="shared" si="587"/>
        <v>0</v>
      </c>
      <c r="AN505" s="33">
        <v>21</v>
      </c>
      <c r="AO505" s="33">
        <f t="shared" si="588"/>
        <v>0</v>
      </c>
      <c r="AP505" s="33">
        <f t="shared" si="589"/>
        <v>0</v>
      </c>
      <c r="AQ505" s="27" t="s">
        <v>7</v>
      </c>
      <c r="AV505" s="33">
        <f t="shared" si="590"/>
        <v>0</v>
      </c>
      <c r="AW505" s="33">
        <f t="shared" si="591"/>
        <v>0</v>
      </c>
      <c r="AX505" s="33">
        <f t="shared" si="592"/>
        <v>0</v>
      </c>
      <c r="AY505" s="34" t="s">
        <v>1738</v>
      </c>
      <c r="AZ505" s="34" t="s">
        <v>1745</v>
      </c>
      <c r="BA505" s="28" t="s">
        <v>1752</v>
      </c>
      <c r="BC505" s="33">
        <f t="shared" si="593"/>
        <v>0</v>
      </c>
      <c r="BD505" s="33">
        <f t="shared" si="594"/>
        <v>0</v>
      </c>
      <c r="BE505" s="33">
        <v>0</v>
      </c>
      <c r="BF505" s="33">
        <f>505</f>
        <v>505</v>
      </c>
      <c r="BH505" s="16">
        <f t="shared" si="595"/>
        <v>0</v>
      </c>
      <c r="BI505" s="16">
        <f t="shared" si="596"/>
        <v>0</v>
      </c>
      <c r="BJ505" s="16">
        <f t="shared" si="597"/>
        <v>0</v>
      </c>
    </row>
    <row r="506" spans="1:62" x14ac:dyDescent="0.2">
      <c r="A506" s="73" t="s">
        <v>426</v>
      </c>
      <c r="B506" s="73" t="s">
        <v>973</v>
      </c>
      <c r="C506" s="138" t="s">
        <v>1556</v>
      </c>
      <c r="D506" s="132"/>
      <c r="E506" s="132"/>
      <c r="F506" s="73" t="s">
        <v>1665</v>
      </c>
      <c r="G506" s="74">
        <v>4</v>
      </c>
      <c r="H506" s="166">
        <v>0</v>
      </c>
      <c r="I506" s="75">
        <f t="shared" si="574"/>
        <v>0</v>
      </c>
      <c r="J506" s="75">
        <f t="shared" si="575"/>
        <v>0</v>
      </c>
      <c r="K506" s="75">
        <f t="shared" si="576"/>
        <v>0</v>
      </c>
      <c r="L506" s="80"/>
      <c r="Z506" s="33">
        <f t="shared" si="577"/>
        <v>0</v>
      </c>
      <c r="AB506" s="33">
        <f t="shared" si="578"/>
        <v>0</v>
      </c>
      <c r="AC506" s="33">
        <f t="shared" si="579"/>
        <v>0</v>
      </c>
      <c r="AD506" s="33">
        <f t="shared" si="580"/>
        <v>0</v>
      </c>
      <c r="AE506" s="33">
        <f t="shared" si="581"/>
        <v>0</v>
      </c>
      <c r="AF506" s="33">
        <f t="shared" si="582"/>
        <v>0</v>
      </c>
      <c r="AG506" s="33">
        <f t="shared" si="583"/>
        <v>0</v>
      </c>
      <c r="AH506" s="33">
        <f t="shared" si="584"/>
        <v>0</v>
      </c>
      <c r="AI506" s="28"/>
      <c r="AJ506" s="16">
        <f t="shared" si="585"/>
        <v>0</v>
      </c>
      <c r="AK506" s="16">
        <f t="shared" si="586"/>
        <v>0</v>
      </c>
      <c r="AL506" s="16">
        <f t="shared" si="587"/>
        <v>0</v>
      </c>
      <c r="AN506" s="33">
        <v>21</v>
      </c>
      <c r="AO506" s="33">
        <f t="shared" si="588"/>
        <v>0</v>
      </c>
      <c r="AP506" s="33">
        <f t="shared" si="589"/>
        <v>0</v>
      </c>
      <c r="AQ506" s="27" t="s">
        <v>7</v>
      </c>
      <c r="AV506" s="33">
        <f t="shared" si="590"/>
        <v>0</v>
      </c>
      <c r="AW506" s="33">
        <f t="shared" si="591"/>
        <v>0</v>
      </c>
      <c r="AX506" s="33">
        <f t="shared" si="592"/>
        <v>0</v>
      </c>
      <c r="AY506" s="34" t="s">
        <v>1738</v>
      </c>
      <c r="AZ506" s="34" t="s">
        <v>1745</v>
      </c>
      <c r="BA506" s="28" t="s">
        <v>1752</v>
      </c>
      <c r="BC506" s="33">
        <f t="shared" si="593"/>
        <v>0</v>
      </c>
      <c r="BD506" s="33">
        <f t="shared" si="594"/>
        <v>0</v>
      </c>
      <c r="BE506" s="33">
        <v>0</v>
      </c>
      <c r="BF506" s="33">
        <f>506</f>
        <v>506</v>
      </c>
      <c r="BH506" s="16">
        <f t="shared" si="595"/>
        <v>0</v>
      </c>
      <c r="BI506" s="16">
        <f t="shared" si="596"/>
        <v>0</v>
      </c>
      <c r="BJ506" s="16">
        <f t="shared" si="597"/>
        <v>0</v>
      </c>
    </row>
    <row r="507" spans="1:62" x14ac:dyDescent="0.2">
      <c r="A507" s="4" t="s">
        <v>427</v>
      </c>
      <c r="B507" s="4" t="s">
        <v>974</v>
      </c>
      <c r="C507" s="131" t="s">
        <v>1557</v>
      </c>
      <c r="D507" s="132"/>
      <c r="E507" s="132"/>
      <c r="F507" s="4" t="s">
        <v>1668</v>
      </c>
      <c r="G507" s="68">
        <v>10</v>
      </c>
      <c r="H507" s="162">
        <v>0</v>
      </c>
      <c r="I507" s="16">
        <f t="shared" si="574"/>
        <v>0</v>
      </c>
      <c r="J507" s="16">
        <f t="shared" si="575"/>
        <v>0</v>
      </c>
      <c r="K507" s="16">
        <f t="shared" si="576"/>
        <v>0</v>
      </c>
      <c r="L507" s="27"/>
      <c r="Z507" s="33">
        <f t="shared" si="577"/>
        <v>0</v>
      </c>
      <c r="AB507" s="33">
        <f t="shared" si="578"/>
        <v>0</v>
      </c>
      <c r="AC507" s="33">
        <f t="shared" si="579"/>
        <v>0</v>
      </c>
      <c r="AD507" s="33">
        <f t="shared" si="580"/>
        <v>0</v>
      </c>
      <c r="AE507" s="33">
        <f t="shared" si="581"/>
        <v>0</v>
      </c>
      <c r="AF507" s="33">
        <f t="shared" si="582"/>
        <v>0</v>
      </c>
      <c r="AG507" s="33">
        <f t="shared" si="583"/>
        <v>0</v>
      </c>
      <c r="AH507" s="33">
        <f t="shared" si="584"/>
        <v>0</v>
      </c>
      <c r="AI507" s="28"/>
      <c r="AJ507" s="16">
        <f t="shared" si="585"/>
        <v>0</v>
      </c>
      <c r="AK507" s="16">
        <f t="shared" si="586"/>
        <v>0</v>
      </c>
      <c r="AL507" s="16">
        <f t="shared" si="587"/>
        <v>0</v>
      </c>
      <c r="AN507" s="33">
        <v>21</v>
      </c>
      <c r="AO507" s="33">
        <f t="shared" si="588"/>
        <v>0</v>
      </c>
      <c r="AP507" s="33">
        <f t="shared" si="589"/>
        <v>0</v>
      </c>
      <c r="AQ507" s="27" t="s">
        <v>7</v>
      </c>
      <c r="AV507" s="33">
        <f t="shared" si="590"/>
        <v>0</v>
      </c>
      <c r="AW507" s="33">
        <f t="shared" si="591"/>
        <v>0</v>
      </c>
      <c r="AX507" s="33">
        <f t="shared" si="592"/>
        <v>0</v>
      </c>
      <c r="AY507" s="34" t="s">
        <v>1738</v>
      </c>
      <c r="AZ507" s="34" t="s">
        <v>1745</v>
      </c>
      <c r="BA507" s="28" t="s">
        <v>1752</v>
      </c>
      <c r="BC507" s="33">
        <f t="shared" si="593"/>
        <v>0</v>
      </c>
      <c r="BD507" s="33">
        <f t="shared" si="594"/>
        <v>0</v>
      </c>
      <c r="BE507" s="33">
        <v>0</v>
      </c>
      <c r="BF507" s="33">
        <f>507</f>
        <v>507</v>
      </c>
      <c r="BH507" s="16">
        <f t="shared" si="595"/>
        <v>0</v>
      </c>
      <c r="BI507" s="16">
        <f t="shared" si="596"/>
        <v>0</v>
      </c>
      <c r="BJ507" s="16">
        <f t="shared" si="597"/>
        <v>0</v>
      </c>
    </row>
    <row r="508" spans="1:62" x14ac:dyDescent="0.2">
      <c r="A508" s="4" t="s">
        <v>428</v>
      </c>
      <c r="B508" s="4" t="s">
        <v>975</v>
      </c>
      <c r="C508" s="131" t="s">
        <v>1558</v>
      </c>
      <c r="D508" s="132"/>
      <c r="E508" s="132"/>
      <c r="F508" s="4" t="s">
        <v>1666</v>
      </c>
      <c r="G508" s="68">
        <v>240</v>
      </c>
      <c r="H508" s="162">
        <v>0</v>
      </c>
      <c r="I508" s="16">
        <f t="shared" si="574"/>
        <v>0</v>
      </c>
      <c r="J508" s="16">
        <f t="shared" si="575"/>
        <v>0</v>
      </c>
      <c r="K508" s="16">
        <f t="shared" si="576"/>
        <v>0</v>
      </c>
      <c r="L508" s="27"/>
      <c r="Z508" s="33">
        <f t="shared" si="577"/>
        <v>0</v>
      </c>
      <c r="AB508" s="33">
        <f t="shared" si="578"/>
        <v>0</v>
      </c>
      <c r="AC508" s="33">
        <f t="shared" si="579"/>
        <v>0</v>
      </c>
      <c r="AD508" s="33">
        <f t="shared" si="580"/>
        <v>0</v>
      </c>
      <c r="AE508" s="33">
        <f t="shared" si="581"/>
        <v>0</v>
      </c>
      <c r="AF508" s="33">
        <f t="shared" si="582"/>
        <v>0</v>
      </c>
      <c r="AG508" s="33">
        <f t="shared" si="583"/>
        <v>0</v>
      </c>
      <c r="AH508" s="33">
        <f t="shared" si="584"/>
        <v>0</v>
      </c>
      <c r="AI508" s="28"/>
      <c r="AJ508" s="16">
        <f t="shared" si="585"/>
        <v>0</v>
      </c>
      <c r="AK508" s="16">
        <f t="shared" si="586"/>
        <v>0</v>
      </c>
      <c r="AL508" s="16">
        <f t="shared" si="587"/>
        <v>0</v>
      </c>
      <c r="AN508" s="33">
        <v>21</v>
      </c>
      <c r="AO508" s="33">
        <f t="shared" si="588"/>
        <v>0</v>
      </c>
      <c r="AP508" s="33">
        <f t="shared" si="589"/>
        <v>0</v>
      </c>
      <c r="AQ508" s="27" t="s">
        <v>7</v>
      </c>
      <c r="AV508" s="33">
        <f t="shared" si="590"/>
        <v>0</v>
      </c>
      <c r="AW508" s="33">
        <f t="shared" si="591"/>
        <v>0</v>
      </c>
      <c r="AX508" s="33">
        <f t="shared" si="592"/>
        <v>0</v>
      </c>
      <c r="AY508" s="34" t="s">
        <v>1738</v>
      </c>
      <c r="AZ508" s="34" t="s">
        <v>1745</v>
      </c>
      <c r="BA508" s="28" t="s">
        <v>1752</v>
      </c>
      <c r="BC508" s="33">
        <f t="shared" si="593"/>
        <v>0</v>
      </c>
      <c r="BD508" s="33">
        <f t="shared" si="594"/>
        <v>0</v>
      </c>
      <c r="BE508" s="33">
        <v>0</v>
      </c>
      <c r="BF508" s="33">
        <f>508</f>
        <v>508</v>
      </c>
      <c r="BH508" s="16">
        <f t="shared" si="595"/>
        <v>0</v>
      </c>
      <c r="BI508" s="16">
        <f t="shared" si="596"/>
        <v>0</v>
      </c>
      <c r="BJ508" s="16">
        <f t="shared" si="597"/>
        <v>0</v>
      </c>
    </row>
    <row r="509" spans="1:62" x14ac:dyDescent="0.2">
      <c r="A509" s="73" t="s">
        <v>429</v>
      </c>
      <c r="B509" s="73" t="s">
        <v>976</v>
      </c>
      <c r="C509" s="138" t="s">
        <v>1559</v>
      </c>
      <c r="D509" s="132"/>
      <c r="E509" s="132"/>
      <c r="F509" s="73" t="s">
        <v>1666</v>
      </c>
      <c r="G509" s="74">
        <v>240</v>
      </c>
      <c r="H509" s="166">
        <v>0</v>
      </c>
      <c r="I509" s="75">
        <f t="shared" si="574"/>
        <v>0</v>
      </c>
      <c r="J509" s="75">
        <f t="shared" si="575"/>
        <v>0</v>
      </c>
      <c r="K509" s="75">
        <f t="shared" si="576"/>
        <v>0</v>
      </c>
      <c r="L509" s="80"/>
      <c r="Z509" s="33">
        <f t="shared" si="577"/>
        <v>0</v>
      </c>
      <c r="AB509" s="33">
        <f t="shared" si="578"/>
        <v>0</v>
      </c>
      <c r="AC509" s="33">
        <f t="shared" si="579"/>
        <v>0</v>
      </c>
      <c r="AD509" s="33">
        <f t="shared" si="580"/>
        <v>0</v>
      </c>
      <c r="AE509" s="33">
        <f t="shared" si="581"/>
        <v>0</v>
      </c>
      <c r="AF509" s="33">
        <f t="shared" si="582"/>
        <v>0</v>
      </c>
      <c r="AG509" s="33">
        <f t="shared" si="583"/>
        <v>0</v>
      </c>
      <c r="AH509" s="33">
        <f t="shared" si="584"/>
        <v>0</v>
      </c>
      <c r="AI509" s="28"/>
      <c r="AJ509" s="16">
        <f t="shared" si="585"/>
        <v>0</v>
      </c>
      <c r="AK509" s="16">
        <f t="shared" si="586"/>
        <v>0</v>
      </c>
      <c r="AL509" s="16">
        <f t="shared" si="587"/>
        <v>0</v>
      </c>
      <c r="AN509" s="33">
        <v>21</v>
      </c>
      <c r="AO509" s="33">
        <f t="shared" si="588"/>
        <v>0</v>
      </c>
      <c r="AP509" s="33">
        <f t="shared" si="589"/>
        <v>0</v>
      </c>
      <c r="AQ509" s="27" t="s">
        <v>7</v>
      </c>
      <c r="AV509" s="33">
        <f t="shared" si="590"/>
        <v>0</v>
      </c>
      <c r="AW509" s="33">
        <f t="shared" si="591"/>
        <v>0</v>
      </c>
      <c r="AX509" s="33">
        <f t="shared" si="592"/>
        <v>0</v>
      </c>
      <c r="AY509" s="34" t="s">
        <v>1738</v>
      </c>
      <c r="AZ509" s="34" t="s">
        <v>1745</v>
      </c>
      <c r="BA509" s="28" t="s">
        <v>1752</v>
      </c>
      <c r="BC509" s="33">
        <f t="shared" si="593"/>
        <v>0</v>
      </c>
      <c r="BD509" s="33">
        <f t="shared" si="594"/>
        <v>0</v>
      </c>
      <c r="BE509" s="33">
        <v>0</v>
      </c>
      <c r="BF509" s="33">
        <f>509</f>
        <v>509</v>
      </c>
      <c r="BH509" s="16">
        <f t="shared" si="595"/>
        <v>0</v>
      </c>
      <c r="BI509" s="16">
        <f t="shared" si="596"/>
        <v>0</v>
      </c>
      <c r="BJ509" s="16">
        <f t="shared" si="597"/>
        <v>0</v>
      </c>
    </row>
    <row r="510" spans="1:62" x14ac:dyDescent="0.2">
      <c r="A510" s="4" t="s">
        <v>430</v>
      </c>
      <c r="B510" s="4" t="s">
        <v>977</v>
      </c>
      <c r="C510" s="131" t="s">
        <v>1560</v>
      </c>
      <c r="D510" s="132"/>
      <c r="E510" s="132"/>
      <c r="F510" s="4" t="s">
        <v>1666</v>
      </c>
      <c r="G510" s="68">
        <v>60</v>
      </c>
      <c r="H510" s="162">
        <v>0</v>
      </c>
      <c r="I510" s="16">
        <f t="shared" si="574"/>
        <v>0</v>
      </c>
      <c r="J510" s="16">
        <f t="shared" si="575"/>
        <v>0</v>
      </c>
      <c r="K510" s="16">
        <f t="shared" si="576"/>
        <v>0</v>
      </c>
      <c r="L510" s="27"/>
      <c r="Z510" s="33">
        <f t="shared" si="577"/>
        <v>0</v>
      </c>
      <c r="AB510" s="33">
        <f t="shared" si="578"/>
        <v>0</v>
      </c>
      <c r="AC510" s="33">
        <f t="shared" si="579"/>
        <v>0</v>
      </c>
      <c r="AD510" s="33">
        <f t="shared" si="580"/>
        <v>0</v>
      </c>
      <c r="AE510" s="33">
        <f t="shared" si="581"/>
        <v>0</v>
      </c>
      <c r="AF510" s="33">
        <f t="shared" si="582"/>
        <v>0</v>
      </c>
      <c r="AG510" s="33">
        <f t="shared" si="583"/>
        <v>0</v>
      </c>
      <c r="AH510" s="33">
        <f t="shared" si="584"/>
        <v>0</v>
      </c>
      <c r="AI510" s="28"/>
      <c r="AJ510" s="16">
        <f t="shared" si="585"/>
        <v>0</v>
      </c>
      <c r="AK510" s="16">
        <f t="shared" si="586"/>
        <v>0</v>
      </c>
      <c r="AL510" s="16">
        <f t="shared" si="587"/>
        <v>0</v>
      </c>
      <c r="AN510" s="33">
        <v>21</v>
      </c>
      <c r="AO510" s="33">
        <f t="shared" si="588"/>
        <v>0</v>
      </c>
      <c r="AP510" s="33">
        <f t="shared" si="589"/>
        <v>0</v>
      </c>
      <c r="AQ510" s="27" t="s">
        <v>7</v>
      </c>
      <c r="AV510" s="33">
        <f t="shared" si="590"/>
        <v>0</v>
      </c>
      <c r="AW510" s="33">
        <f t="shared" si="591"/>
        <v>0</v>
      </c>
      <c r="AX510" s="33">
        <f t="shared" si="592"/>
        <v>0</v>
      </c>
      <c r="AY510" s="34" t="s">
        <v>1738</v>
      </c>
      <c r="AZ510" s="34" t="s">
        <v>1745</v>
      </c>
      <c r="BA510" s="28" t="s">
        <v>1752</v>
      </c>
      <c r="BC510" s="33">
        <f t="shared" si="593"/>
        <v>0</v>
      </c>
      <c r="BD510" s="33">
        <f t="shared" si="594"/>
        <v>0</v>
      </c>
      <c r="BE510" s="33">
        <v>0</v>
      </c>
      <c r="BF510" s="33">
        <f>510</f>
        <v>510</v>
      </c>
      <c r="BH510" s="16">
        <f t="shared" si="595"/>
        <v>0</v>
      </c>
      <c r="BI510" s="16">
        <f t="shared" si="596"/>
        <v>0</v>
      </c>
      <c r="BJ510" s="16">
        <f t="shared" si="597"/>
        <v>0</v>
      </c>
    </row>
    <row r="511" spans="1:62" x14ac:dyDescent="0.2">
      <c r="A511" s="73" t="s">
        <v>431</v>
      </c>
      <c r="B511" s="73" t="s">
        <v>978</v>
      </c>
      <c r="C511" s="138" t="s">
        <v>1561</v>
      </c>
      <c r="D511" s="132"/>
      <c r="E511" s="132"/>
      <c r="F511" s="73" t="s">
        <v>1666</v>
      </c>
      <c r="G511" s="74">
        <v>60</v>
      </c>
      <c r="H511" s="166">
        <v>0</v>
      </c>
      <c r="I511" s="75">
        <f t="shared" si="574"/>
        <v>0</v>
      </c>
      <c r="J511" s="75">
        <f t="shared" si="575"/>
        <v>0</v>
      </c>
      <c r="K511" s="75">
        <f t="shared" si="576"/>
        <v>0</v>
      </c>
      <c r="L511" s="80"/>
      <c r="Z511" s="33">
        <f t="shared" si="577"/>
        <v>0</v>
      </c>
      <c r="AB511" s="33">
        <f t="shared" si="578"/>
        <v>0</v>
      </c>
      <c r="AC511" s="33">
        <f t="shared" si="579"/>
        <v>0</v>
      </c>
      <c r="AD511" s="33">
        <f t="shared" si="580"/>
        <v>0</v>
      </c>
      <c r="AE511" s="33">
        <f t="shared" si="581"/>
        <v>0</v>
      </c>
      <c r="AF511" s="33">
        <f t="shared" si="582"/>
        <v>0</v>
      </c>
      <c r="AG511" s="33">
        <f t="shared" si="583"/>
        <v>0</v>
      </c>
      <c r="AH511" s="33">
        <f t="shared" si="584"/>
        <v>0</v>
      </c>
      <c r="AI511" s="28"/>
      <c r="AJ511" s="16">
        <f t="shared" si="585"/>
        <v>0</v>
      </c>
      <c r="AK511" s="16">
        <f t="shared" si="586"/>
        <v>0</v>
      </c>
      <c r="AL511" s="16">
        <f t="shared" si="587"/>
        <v>0</v>
      </c>
      <c r="AN511" s="33">
        <v>21</v>
      </c>
      <c r="AO511" s="33">
        <f t="shared" si="588"/>
        <v>0</v>
      </c>
      <c r="AP511" s="33">
        <f t="shared" si="589"/>
        <v>0</v>
      </c>
      <c r="AQ511" s="27" t="s">
        <v>7</v>
      </c>
      <c r="AV511" s="33">
        <f t="shared" si="590"/>
        <v>0</v>
      </c>
      <c r="AW511" s="33">
        <f t="shared" si="591"/>
        <v>0</v>
      </c>
      <c r="AX511" s="33">
        <f t="shared" si="592"/>
        <v>0</v>
      </c>
      <c r="AY511" s="34" t="s">
        <v>1738</v>
      </c>
      <c r="AZ511" s="34" t="s">
        <v>1745</v>
      </c>
      <c r="BA511" s="28" t="s">
        <v>1752</v>
      </c>
      <c r="BC511" s="33">
        <f t="shared" si="593"/>
        <v>0</v>
      </c>
      <c r="BD511" s="33">
        <f t="shared" si="594"/>
        <v>0</v>
      </c>
      <c r="BE511" s="33">
        <v>0</v>
      </c>
      <c r="BF511" s="33">
        <f>511</f>
        <v>511</v>
      </c>
      <c r="BH511" s="16">
        <f t="shared" si="595"/>
        <v>0</v>
      </c>
      <c r="BI511" s="16">
        <f t="shared" si="596"/>
        <v>0</v>
      </c>
      <c r="BJ511" s="16">
        <f t="shared" si="597"/>
        <v>0</v>
      </c>
    </row>
    <row r="512" spans="1:62" x14ac:dyDescent="0.2">
      <c r="A512" s="4" t="s">
        <v>432</v>
      </c>
      <c r="B512" s="4" t="s">
        <v>979</v>
      </c>
      <c r="C512" s="131" t="s">
        <v>1562</v>
      </c>
      <c r="D512" s="132"/>
      <c r="E512" s="132"/>
      <c r="F512" s="4" t="s">
        <v>1666</v>
      </c>
      <c r="G512" s="68">
        <v>40</v>
      </c>
      <c r="H512" s="162">
        <v>0</v>
      </c>
      <c r="I512" s="16">
        <f t="shared" si="574"/>
        <v>0</v>
      </c>
      <c r="J512" s="16">
        <f t="shared" si="575"/>
        <v>0</v>
      </c>
      <c r="K512" s="16">
        <f t="shared" si="576"/>
        <v>0</v>
      </c>
      <c r="L512" s="27"/>
      <c r="Z512" s="33">
        <f t="shared" si="577"/>
        <v>0</v>
      </c>
      <c r="AB512" s="33">
        <f t="shared" si="578"/>
        <v>0</v>
      </c>
      <c r="AC512" s="33">
        <f t="shared" si="579"/>
        <v>0</v>
      </c>
      <c r="AD512" s="33">
        <f t="shared" si="580"/>
        <v>0</v>
      </c>
      <c r="AE512" s="33">
        <f t="shared" si="581"/>
        <v>0</v>
      </c>
      <c r="AF512" s="33">
        <f t="shared" si="582"/>
        <v>0</v>
      </c>
      <c r="AG512" s="33">
        <f t="shared" si="583"/>
        <v>0</v>
      </c>
      <c r="AH512" s="33">
        <f t="shared" si="584"/>
        <v>0</v>
      </c>
      <c r="AI512" s="28"/>
      <c r="AJ512" s="16">
        <f t="shared" si="585"/>
        <v>0</v>
      </c>
      <c r="AK512" s="16">
        <f t="shared" si="586"/>
        <v>0</v>
      </c>
      <c r="AL512" s="16">
        <f t="shared" si="587"/>
        <v>0</v>
      </c>
      <c r="AN512" s="33">
        <v>21</v>
      </c>
      <c r="AO512" s="33">
        <f t="shared" si="588"/>
        <v>0</v>
      </c>
      <c r="AP512" s="33">
        <f t="shared" si="589"/>
        <v>0</v>
      </c>
      <c r="AQ512" s="27" t="s">
        <v>7</v>
      </c>
      <c r="AV512" s="33">
        <f t="shared" si="590"/>
        <v>0</v>
      </c>
      <c r="AW512" s="33">
        <f t="shared" si="591"/>
        <v>0</v>
      </c>
      <c r="AX512" s="33">
        <f t="shared" si="592"/>
        <v>0</v>
      </c>
      <c r="AY512" s="34" t="s">
        <v>1738</v>
      </c>
      <c r="AZ512" s="34" t="s">
        <v>1745</v>
      </c>
      <c r="BA512" s="28" t="s">
        <v>1752</v>
      </c>
      <c r="BC512" s="33">
        <f t="shared" si="593"/>
        <v>0</v>
      </c>
      <c r="BD512" s="33">
        <f t="shared" si="594"/>
        <v>0</v>
      </c>
      <c r="BE512" s="33">
        <v>0</v>
      </c>
      <c r="BF512" s="33">
        <f>512</f>
        <v>512</v>
      </c>
      <c r="BH512" s="16">
        <f t="shared" si="595"/>
        <v>0</v>
      </c>
      <c r="BI512" s="16">
        <f t="shared" si="596"/>
        <v>0</v>
      </c>
      <c r="BJ512" s="16">
        <f t="shared" si="597"/>
        <v>0</v>
      </c>
    </row>
    <row r="513" spans="1:62" x14ac:dyDescent="0.2">
      <c r="A513" s="73" t="s">
        <v>433</v>
      </c>
      <c r="B513" s="73" t="s">
        <v>980</v>
      </c>
      <c r="C513" s="138" t="s">
        <v>1563</v>
      </c>
      <c r="D513" s="132"/>
      <c r="E513" s="132"/>
      <c r="F513" s="73" t="s">
        <v>1666</v>
      </c>
      <c r="G513" s="74">
        <v>40</v>
      </c>
      <c r="H513" s="166">
        <v>0</v>
      </c>
      <c r="I513" s="75">
        <f t="shared" si="574"/>
        <v>0</v>
      </c>
      <c r="J513" s="75">
        <f t="shared" si="575"/>
        <v>0</v>
      </c>
      <c r="K513" s="75">
        <f t="shared" si="576"/>
        <v>0</v>
      </c>
      <c r="L513" s="80"/>
      <c r="Z513" s="33">
        <f t="shared" si="577"/>
        <v>0</v>
      </c>
      <c r="AB513" s="33">
        <f t="shared" si="578"/>
        <v>0</v>
      </c>
      <c r="AC513" s="33">
        <f t="shared" si="579"/>
        <v>0</v>
      </c>
      <c r="AD513" s="33">
        <f t="shared" si="580"/>
        <v>0</v>
      </c>
      <c r="AE513" s="33">
        <f t="shared" si="581"/>
        <v>0</v>
      </c>
      <c r="AF513" s="33">
        <f t="shared" si="582"/>
        <v>0</v>
      </c>
      <c r="AG513" s="33">
        <f t="shared" si="583"/>
        <v>0</v>
      </c>
      <c r="AH513" s="33">
        <f t="shared" si="584"/>
        <v>0</v>
      </c>
      <c r="AI513" s="28"/>
      <c r="AJ513" s="16">
        <f t="shared" si="585"/>
        <v>0</v>
      </c>
      <c r="AK513" s="16">
        <f t="shared" si="586"/>
        <v>0</v>
      </c>
      <c r="AL513" s="16">
        <f t="shared" si="587"/>
        <v>0</v>
      </c>
      <c r="AN513" s="33">
        <v>21</v>
      </c>
      <c r="AO513" s="33">
        <f t="shared" si="588"/>
        <v>0</v>
      </c>
      <c r="AP513" s="33">
        <f t="shared" si="589"/>
        <v>0</v>
      </c>
      <c r="AQ513" s="27" t="s">
        <v>7</v>
      </c>
      <c r="AV513" s="33">
        <f t="shared" si="590"/>
        <v>0</v>
      </c>
      <c r="AW513" s="33">
        <f t="shared" si="591"/>
        <v>0</v>
      </c>
      <c r="AX513" s="33">
        <f t="shared" si="592"/>
        <v>0</v>
      </c>
      <c r="AY513" s="34" t="s">
        <v>1738</v>
      </c>
      <c r="AZ513" s="34" t="s">
        <v>1745</v>
      </c>
      <c r="BA513" s="28" t="s">
        <v>1752</v>
      </c>
      <c r="BC513" s="33">
        <f t="shared" si="593"/>
        <v>0</v>
      </c>
      <c r="BD513" s="33">
        <f t="shared" si="594"/>
        <v>0</v>
      </c>
      <c r="BE513" s="33">
        <v>0</v>
      </c>
      <c r="BF513" s="33">
        <f>513</f>
        <v>513</v>
      </c>
      <c r="BH513" s="16">
        <f t="shared" si="595"/>
        <v>0</v>
      </c>
      <c r="BI513" s="16">
        <f t="shared" si="596"/>
        <v>0</v>
      </c>
      <c r="BJ513" s="16">
        <f t="shared" si="597"/>
        <v>0</v>
      </c>
    </row>
    <row r="514" spans="1:62" x14ac:dyDescent="0.2">
      <c r="A514" s="4" t="s">
        <v>434</v>
      </c>
      <c r="B514" s="4" t="s">
        <v>981</v>
      </c>
      <c r="C514" s="131" t="s">
        <v>1564</v>
      </c>
      <c r="D514" s="132"/>
      <c r="E514" s="132"/>
      <c r="F514" s="4" t="s">
        <v>1665</v>
      </c>
      <c r="G514" s="68">
        <v>72</v>
      </c>
      <c r="H514" s="162">
        <v>0</v>
      </c>
      <c r="I514" s="16">
        <f t="shared" si="574"/>
        <v>0</v>
      </c>
      <c r="J514" s="16">
        <f t="shared" si="575"/>
        <v>0</v>
      </c>
      <c r="K514" s="16">
        <f t="shared" si="576"/>
        <v>0</v>
      </c>
      <c r="L514" s="27"/>
      <c r="Z514" s="33">
        <f t="shared" si="577"/>
        <v>0</v>
      </c>
      <c r="AB514" s="33">
        <f t="shared" si="578"/>
        <v>0</v>
      </c>
      <c r="AC514" s="33">
        <f t="shared" si="579"/>
        <v>0</v>
      </c>
      <c r="AD514" s="33">
        <f t="shared" si="580"/>
        <v>0</v>
      </c>
      <c r="AE514" s="33">
        <f t="shared" si="581"/>
        <v>0</v>
      </c>
      <c r="AF514" s="33">
        <f t="shared" si="582"/>
        <v>0</v>
      </c>
      <c r="AG514" s="33">
        <f t="shared" si="583"/>
        <v>0</v>
      </c>
      <c r="AH514" s="33">
        <f t="shared" si="584"/>
        <v>0</v>
      </c>
      <c r="AI514" s="28"/>
      <c r="AJ514" s="16">
        <f t="shared" si="585"/>
        <v>0</v>
      </c>
      <c r="AK514" s="16">
        <f t="shared" si="586"/>
        <v>0</v>
      </c>
      <c r="AL514" s="16">
        <f t="shared" si="587"/>
        <v>0</v>
      </c>
      <c r="AN514" s="33">
        <v>21</v>
      </c>
      <c r="AO514" s="33">
        <f t="shared" si="588"/>
        <v>0</v>
      </c>
      <c r="AP514" s="33">
        <f t="shared" si="589"/>
        <v>0</v>
      </c>
      <c r="AQ514" s="27" t="s">
        <v>7</v>
      </c>
      <c r="AV514" s="33">
        <f t="shared" si="590"/>
        <v>0</v>
      </c>
      <c r="AW514" s="33">
        <f t="shared" si="591"/>
        <v>0</v>
      </c>
      <c r="AX514" s="33">
        <f t="shared" si="592"/>
        <v>0</v>
      </c>
      <c r="AY514" s="34" t="s">
        <v>1738</v>
      </c>
      <c r="AZ514" s="34" t="s">
        <v>1745</v>
      </c>
      <c r="BA514" s="28" t="s">
        <v>1752</v>
      </c>
      <c r="BC514" s="33">
        <f t="shared" si="593"/>
        <v>0</v>
      </c>
      <c r="BD514" s="33">
        <f t="shared" si="594"/>
        <v>0</v>
      </c>
      <c r="BE514" s="33">
        <v>0</v>
      </c>
      <c r="BF514" s="33">
        <f>514</f>
        <v>514</v>
      </c>
      <c r="BH514" s="16">
        <f t="shared" si="595"/>
        <v>0</v>
      </c>
      <c r="BI514" s="16">
        <f t="shared" si="596"/>
        <v>0</v>
      </c>
      <c r="BJ514" s="16">
        <f t="shared" si="597"/>
        <v>0</v>
      </c>
    </row>
    <row r="515" spans="1:62" x14ac:dyDescent="0.2">
      <c r="A515" s="73" t="s">
        <v>435</v>
      </c>
      <c r="B515" s="73" t="s">
        <v>982</v>
      </c>
      <c r="C515" s="138" t="s">
        <v>1565</v>
      </c>
      <c r="D515" s="139"/>
      <c r="E515" s="139"/>
      <c r="F515" s="73" t="s">
        <v>1665</v>
      </c>
      <c r="G515" s="74">
        <v>23</v>
      </c>
      <c r="H515" s="166">
        <v>0</v>
      </c>
      <c r="I515" s="75">
        <f t="shared" si="574"/>
        <v>0</v>
      </c>
      <c r="J515" s="75">
        <f t="shared" si="575"/>
        <v>0</v>
      </c>
      <c r="K515" s="75">
        <f t="shared" si="576"/>
        <v>0</v>
      </c>
      <c r="L515" s="80"/>
      <c r="Z515" s="33">
        <f t="shared" si="577"/>
        <v>0</v>
      </c>
      <c r="AB515" s="33">
        <f t="shared" si="578"/>
        <v>0</v>
      </c>
      <c r="AC515" s="33">
        <f t="shared" si="579"/>
        <v>0</v>
      </c>
      <c r="AD515" s="33">
        <f t="shared" si="580"/>
        <v>0</v>
      </c>
      <c r="AE515" s="33">
        <f t="shared" si="581"/>
        <v>0</v>
      </c>
      <c r="AF515" s="33">
        <f t="shared" si="582"/>
        <v>0</v>
      </c>
      <c r="AG515" s="33">
        <f t="shared" si="583"/>
        <v>0</v>
      </c>
      <c r="AH515" s="33">
        <f t="shared" si="584"/>
        <v>0</v>
      </c>
      <c r="AI515" s="28"/>
      <c r="AJ515" s="17">
        <f t="shared" si="585"/>
        <v>0</v>
      </c>
      <c r="AK515" s="17">
        <f t="shared" si="586"/>
        <v>0</v>
      </c>
      <c r="AL515" s="17">
        <f t="shared" si="587"/>
        <v>0</v>
      </c>
      <c r="AN515" s="33">
        <v>21</v>
      </c>
      <c r="AO515" s="33">
        <f>H515*1</f>
        <v>0</v>
      </c>
      <c r="AP515" s="33">
        <f>H515*(1-1)</f>
        <v>0</v>
      </c>
      <c r="AQ515" s="29" t="s">
        <v>7</v>
      </c>
      <c r="AV515" s="33">
        <f t="shared" si="590"/>
        <v>0</v>
      </c>
      <c r="AW515" s="33">
        <f t="shared" si="591"/>
        <v>0</v>
      </c>
      <c r="AX515" s="33">
        <f t="shared" si="592"/>
        <v>0</v>
      </c>
      <c r="AY515" s="34" t="s">
        <v>1738</v>
      </c>
      <c r="AZ515" s="34" t="s">
        <v>1745</v>
      </c>
      <c r="BA515" s="28" t="s">
        <v>1752</v>
      </c>
      <c r="BC515" s="33">
        <f t="shared" si="593"/>
        <v>0</v>
      </c>
      <c r="BD515" s="33">
        <f t="shared" si="594"/>
        <v>0</v>
      </c>
      <c r="BE515" s="33">
        <v>0</v>
      </c>
      <c r="BF515" s="33">
        <f>515</f>
        <v>515</v>
      </c>
      <c r="BH515" s="17">
        <f t="shared" si="595"/>
        <v>0</v>
      </c>
      <c r="BI515" s="17">
        <f t="shared" si="596"/>
        <v>0</v>
      </c>
      <c r="BJ515" s="17">
        <f t="shared" si="597"/>
        <v>0</v>
      </c>
    </row>
    <row r="516" spans="1:62" x14ac:dyDescent="0.2">
      <c r="A516" s="73" t="s">
        <v>436</v>
      </c>
      <c r="B516" s="73" t="s">
        <v>983</v>
      </c>
      <c r="C516" s="138" t="s">
        <v>1566</v>
      </c>
      <c r="D516" s="132"/>
      <c r="E516" s="132"/>
      <c r="F516" s="73" t="s">
        <v>1665</v>
      </c>
      <c r="G516" s="74">
        <v>18</v>
      </c>
      <c r="H516" s="166">
        <v>0</v>
      </c>
      <c r="I516" s="75">
        <f t="shared" si="574"/>
        <v>0</v>
      </c>
      <c r="J516" s="75">
        <f t="shared" si="575"/>
        <v>0</v>
      </c>
      <c r="K516" s="75">
        <f t="shared" si="576"/>
        <v>0</v>
      </c>
      <c r="L516" s="80"/>
      <c r="Z516" s="33">
        <f t="shared" si="577"/>
        <v>0</v>
      </c>
      <c r="AB516" s="33">
        <f t="shared" si="578"/>
        <v>0</v>
      </c>
      <c r="AC516" s="33">
        <f t="shared" si="579"/>
        <v>0</v>
      </c>
      <c r="AD516" s="33">
        <f t="shared" si="580"/>
        <v>0</v>
      </c>
      <c r="AE516" s="33">
        <f t="shared" si="581"/>
        <v>0</v>
      </c>
      <c r="AF516" s="33">
        <f t="shared" si="582"/>
        <v>0</v>
      </c>
      <c r="AG516" s="33">
        <f t="shared" si="583"/>
        <v>0</v>
      </c>
      <c r="AH516" s="33">
        <f t="shared" si="584"/>
        <v>0</v>
      </c>
      <c r="AI516" s="28"/>
      <c r="AJ516" s="16">
        <f t="shared" si="585"/>
        <v>0</v>
      </c>
      <c r="AK516" s="16">
        <f t="shared" si="586"/>
        <v>0</v>
      </c>
      <c r="AL516" s="16">
        <f t="shared" si="587"/>
        <v>0</v>
      </c>
      <c r="AN516" s="33">
        <v>21</v>
      </c>
      <c r="AO516" s="33">
        <f t="shared" ref="AO516:AO547" si="598">H516*0</f>
        <v>0</v>
      </c>
      <c r="AP516" s="33">
        <f t="shared" ref="AP516:AP547" si="599">H516*(1-0)</f>
        <v>0</v>
      </c>
      <c r="AQ516" s="27" t="s">
        <v>7</v>
      </c>
      <c r="AV516" s="33">
        <f t="shared" si="590"/>
        <v>0</v>
      </c>
      <c r="AW516" s="33">
        <f t="shared" si="591"/>
        <v>0</v>
      </c>
      <c r="AX516" s="33">
        <f t="shared" si="592"/>
        <v>0</v>
      </c>
      <c r="AY516" s="34" t="s">
        <v>1738</v>
      </c>
      <c r="AZ516" s="34" t="s">
        <v>1745</v>
      </c>
      <c r="BA516" s="28" t="s">
        <v>1752</v>
      </c>
      <c r="BC516" s="33">
        <f t="shared" si="593"/>
        <v>0</v>
      </c>
      <c r="BD516" s="33">
        <f t="shared" si="594"/>
        <v>0</v>
      </c>
      <c r="BE516" s="33">
        <v>0</v>
      </c>
      <c r="BF516" s="33">
        <f>516</f>
        <v>516</v>
      </c>
      <c r="BH516" s="16">
        <f t="shared" si="595"/>
        <v>0</v>
      </c>
      <c r="BI516" s="16">
        <f t="shared" si="596"/>
        <v>0</v>
      </c>
      <c r="BJ516" s="16">
        <f t="shared" si="597"/>
        <v>0</v>
      </c>
    </row>
    <row r="517" spans="1:62" x14ac:dyDescent="0.2">
      <c r="A517" s="73" t="s">
        <v>437</v>
      </c>
      <c r="B517" s="73" t="s">
        <v>984</v>
      </c>
      <c r="C517" s="138" t="s">
        <v>1567</v>
      </c>
      <c r="D517" s="132"/>
      <c r="E517" s="132"/>
      <c r="F517" s="73" t="s">
        <v>1665</v>
      </c>
      <c r="G517" s="74">
        <v>2</v>
      </c>
      <c r="H517" s="166">
        <v>0</v>
      </c>
      <c r="I517" s="75">
        <f t="shared" si="574"/>
        <v>0</v>
      </c>
      <c r="J517" s="75">
        <f t="shared" si="575"/>
        <v>0</v>
      </c>
      <c r="K517" s="75">
        <f t="shared" si="576"/>
        <v>0</v>
      </c>
      <c r="L517" s="80"/>
      <c r="Z517" s="33">
        <f t="shared" si="577"/>
        <v>0</v>
      </c>
      <c r="AB517" s="33">
        <f t="shared" si="578"/>
        <v>0</v>
      </c>
      <c r="AC517" s="33">
        <f t="shared" si="579"/>
        <v>0</v>
      </c>
      <c r="AD517" s="33">
        <f t="shared" si="580"/>
        <v>0</v>
      </c>
      <c r="AE517" s="33">
        <f t="shared" si="581"/>
        <v>0</v>
      </c>
      <c r="AF517" s="33">
        <f t="shared" si="582"/>
        <v>0</v>
      </c>
      <c r="AG517" s="33">
        <f t="shared" si="583"/>
        <v>0</v>
      </c>
      <c r="AH517" s="33">
        <f t="shared" si="584"/>
        <v>0</v>
      </c>
      <c r="AI517" s="28"/>
      <c r="AJ517" s="16">
        <f t="shared" si="585"/>
        <v>0</v>
      </c>
      <c r="AK517" s="16">
        <f t="shared" si="586"/>
        <v>0</v>
      </c>
      <c r="AL517" s="16">
        <f t="shared" si="587"/>
        <v>0</v>
      </c>
      <c r="AN517" s="33">
        <v>21</v>
      </c>
      <c r="AO517" s="33">
        <f t="shared" si="598"/>
        <v>0</v>
      </c>
      <c r="AP517" s="33">
        <f t="shared" si="599"/>
        <v>0</v>
      </c>
      <c r="AQ517" s="27" t="s">
        <v>7</v>
      </c>
      <c r="AV517" s="33">
        <f t="shared" si="590"/>
        <v>0</v>
      </c>
      <c r="AW517" s="33">
        <f t="shared" si="591"/>
        <v>0</v>
      </c>
      <c r="AX517" s="33">
        <f t="shared" si="592"/>
        <v>0</v>
      </c>
      <c r="AY517" s="34" t="s">
        <v>1738</v>
      </c>
      <c r="AZ517" s="34" t="s">
        <v>1745</v>
      </c>
      <c r="BA517" s="28" t="s">
        <v>1752</v>
      </c>
      <c r="BC517" s="33">
        <f t="shared" si="593"/>
        <v>0</v>
      </c>
      <c r="BD517" s="33">
        <f t="shared" si="594"/>
        <v>0</v>
      </c>
      <c r="BE517" s="33">
        <v>0</v>
      </c>
      <c r="BF517" s="33">
        <f>517</f>
        <v>517</v>
      </c>
      <c r="BH517" s="16">
        <f t="shared" si="595"/>
        <v>0</v>
      </c>
      <c r="BI517" s="16">
        <f t="shared" si="596"/>
        <v>0</v>
      </c>
      <c r="BJ517" s="16">
        <f t="shared" si="597"/>
        <v>0</v>
      </c>
    </row>
    <row r="518" spans="1:62" x14ac:dyDescent="0.2">
      <c r="A518" s="73" t="s">
        <v>438</v>
      </c>
      <c r="B518" s="73" t="s">
        <v>985</v>
      </c>
      <c r="C518" s="138" t="s">
        <v>1568</v>
      </c>
      <c r="D518" s="132"/>
      <c r="E518" s="132"/>
      <c r="F518" s="73" t="s">
        <v>1665</v>
      </c>
      <c r="G518" s="74">
        <v>29</v>
      </c>
      <c r="H518" s="166">
        <v>0</v>
      </c>
      <c r="I518" s="75">
        <f t="shared" si="574"/>
        <v>0</v>
      </c>
      <c r="J518" s="75">
        <f t="shared" si="575"/>
        <v>0</v>
      </c>
      <c r="K518" s="75">
        <f t="shared" si="576"/>
        <v>0</v>
      </c>
      <c r="L518" s="80"/>
      <c r="Z518" s="33">
        <f t="shared" si="577"/>
        <v>0</v>
      </c>
      <c r="AB518" s="33">
        <f t="shared" si="578"/>
        <v>0</v>
      </c>
      <c r="AC518" s="33">
        <f t="shared" si="579"/>
        <v>0</v>
      </c>
      <c r="AD518" s="33">
        <f t="shared" si="580"/>
        <v>0</v>
      </c>
      <c r="AE518" s="33">
        <f t="shared" si="581"/>
        <v>0</v>
      </c>
      <c r="AF518" s="33">
        <f t="shared" si="582"/>
        <v>0</v>
      </c>
      <c r="AG518" s="33">
        <f t="shared" si="583"/>
        <v>0</v>
      </c>
      <c r="AH518" s="33">
        <f t="shared" si="584"/>
        <v>0</v>
      </c>
      <c r="AI518" s="28"/>
      <c r="AJ518" s="16">
        <f t="shared" si="585"/>
        <v>0</v>
      </c>
      <c r="AK518" s="16">
        <f t="shared" si="586"/>
        <v>0</v>
      </c>
      <c r="AL518" s="16">
        <f t="shared" si="587"/>
        <v>0</v>
      </c>
      <c r="AN518" s="33">
        <v>21</v>
      </c>
      <c r="AO518" s="33">
        <f t="shared" si="598"/>
        <v>0</v>
      </c>
      <c r="AP518" s="33">
        <f t="shared" si="599"/>
        <v>0</v>
      </c>
      <c r="AQ518" s="27" t="s">
        <v>7</v>
      </c>
      <c r="AV518" s="33">
        <f t="shared" si="590"/>
        <v>0</v>
      </c>
      <c r="AW518" s="33">
        <f t="shared" si="591"/>
        <v>0</v>
      </c>
      <c r="AX518" s="33">
        <f t="shared" si="592"/>
        <v>0</v>
      </c>
      <c r="AY518" s="34" t="s">
        <v>1738</v>
      </c>
      <c r="AZ518" s="34" t="s">
        <v>1745</v>
      </c>
      <c r="BA518" s="28" t="s">
        <v>1752</v>
      </c>
      <c r="BC518" s="33">
        <f t="shared" si="593"/>
        <v>0</v>
      </c>
      <c r="BD518" s="33">
        <f t="shared" si="594"/>
        <v>0</v>
      </c>
      <c r="BE518" s="33">
        <v>0</v>
      </c>
      <c r="BF518" s="33">
        <f>518</f>
        <v>518</v>
      </c>
      <c r="BH518" s="16">
        <f t="shared" si="595"/>
        <v>0</v>
      </c>
      <c r="BI518" s="16">
        <f t="shared" si="596"/>
        <v>0</v>
      </c>
      <c r="BJ518" s="16">
        <f t="shared" si="597"/>
        <v>0</v>
      </c>
    </row>
    <row r="519" spans="1:62" x14ac:dyDescent="0.2">
      <c r="A519" s="4" t="s">
        <v>439</v>
      </c>
      <c r="B519" s="4" t="s">
        <v>986</v>
      </c>
      <c r="C519" s="131" t="s">
        <v>1569</v>
      </c>
      <c r="D519" s="132"/>
      <c r="E519" s="132"/>
      <c r="F519" s="4" t="s">
        <v>1665</v>
      </c>
      <c r="G519" s="68">
        <v>6</v>
      </c>
      <c r="H519" s="162">
        <v>0</v>
      </c>
      <c r="I519" s="16">
        <f t="shared" si="574"/>
        <v>0</v>
      </c>
      <c r="J519" s="16">
        <f t="shared" si="575"/>
        <v>0</v>
      </c>
      <c r="K519" s="16">
        <f t="shared" si="576"/>
        <v>0</v>
      </c>
      <c r="L519" s="27"/>
      <c r="Z519" s="33">
        <f t="shared" si="577"/>
        <v>0</v>
      </c>
      <c r="AB519" s="33">
        <f t="shared" si="578"/>
        <v>0</v>
      </c>
      <c r="AC519" s="33">
        <f t="shared" si="579"/>
        <v>0</v>
      </c>
      <c r="AD519" s="33">
        <f t="shared" si="580"/>
        <v>0</v>
      </c>
      <c r="AE519" s="33">
        <f t="shared" si="581"/>
        <v>0</v>
      </c>
      <c r="AF519" s="33">
        <f t="shared" si="582"/>
        <v>0</v>
      </c>
      <c r="AG519" s="33">
        <f t="shared" si="583"/>
        <v>0</v>
      </c>
      <c r="AH519" s="33">
        <f t="shared" si="584"/>
        <v>0</v>
      </c>
      <c r="AI519" s="28"/>
      <c r="AJ519" s="16">
        <f t="shared" si="585"/>
        <v>0</v>
      </c>
      <c r="AK519" s="16">
        <f t="shared" si="586"/>
        <v>0</v>
      </c>
      <c r="AL519" s="16">
        <f t="shared" si="587"/>
        <v>0</v>
      </c>
      <c r="AN519" s="33">
        <v>21</v>
      </c>
      <c r="AO519" s="33">
        <f t="shared" si="598"/>
        <v>0</v>
      </c>
      <c r="AP519" s="33">
        <f t="shared" si="599"/>
        <v>0</v>
      </c>
      <c r="AQ519" s="27" t="s">
        <v>7</v>
      </c>
      <c r="AV519" s="33">
        <f t="shared" si="590"/>
        <v>0</v>
      </c>
      <c r="AW519" s="33">
        <f t="shared" si="591"/>
        <v>0</v>
      </c>
      <c r="AX519" s="33">
        <f t="shared" si="592"/>
        <v>0</v>
      </c>
      <c r="AY519" s="34" t="s">
        <v>1738</v>
      </c>
      <c r="AZ519" s="34" t="s">
        <v>1745</v>
      </c>
      <c r="BA519" s="28" t="s">
        <v>1752</v>
      </c>
      <c r="BC519" s="33">
        <f t="shared" si="593"/>
        <v>0</v>
      </c>
      <c r="BD519" s="33">
        <f t="shared" si="594"/>
        <v>0</v>
      </c>
      <c r="BE519" s="33">
        <v>0</v>
      </c>
      <c r="BF519" s="33">
        <f>519</f>
        <v>519</v>
      </c>
      <c r="BH519" s="16">
        <f t="shared" si="595"/>
        <v>0</v>
      </c>
      <c r="BI519" s="16">
        <f t="shared" si="596"/>
        <v>0</v>
      </c>
      <c r="BJ519" s="16">
        <f t="shared" si="597"/>
        <v>0</v>
      </c>
    </row>
    <row r="520" spans="1:62" x14ac:dyDescent="0.2">
      <c r="A520" s="73" t="s">
        <v>440</v>
      </c>
      <c r="B520" s="73" t="s">
        <v>987</v>
      </c>
      <c r="C520" s="138" t="s">
        <v>1570</v>
      </c>
      <c r="D520" s="132"/>
      <c r="E520" s="132"/>
      <c r="F520" s="73" t="s">
        <v>1665</v>
      </c>
      <c r="G520" s="74">
        <v>6</v>
      </c>
      <c r="H520" s="166">
        <v>0</v>
      </c>
      <c r="I520" s="75">
        <f t="shared" si="574"/>
        <v>0</v>
      </c>
      <c r="J520" s="75">
        <f t="shared" si="575"/>
        <v>0</v>
      </c>
      <c r="K520" s="75">
        <f t="shared" si="576"/>
        <v>0</v>
      </c>
      <c r="L520" s="80"/>
      <c r="Z520" s="33">
        <f t="shared" si="577"/>
        <v>0</v>
      </c>
      <c r="AB520" s="33">
        <f t="shared" si="578"/>
        <v>0</v>
      </c>
      <c r="AC520" s="33">
        <f t="shared" si="579"/>
        <v>0</v>
      </c>
      <c r="AD520" s="33">
        <f t="shared" si="580"/>
        <v>0</v>
      </c>
      <c r="AE520" s="33">
        <f t="shared" si="581"/>
        <v>0</v>
      </c>
      <c r="AF520" s="33">
        <f t="shared" si="582"/>
        <v>0</v>
      </c>
      <c r="AG520" s="33">
        <f t="shared" si="583"/>
        <v>0</v>
      </c>
      <c r="AH520" s="33">
        <f t="shared" si="584"/>
        <v>0</v>
      </c>
      <c r="AI520" s="28"/>
      <c r="AJ520" s="16">
        <f t="shared" si="585"/>
        <v>0</v>
      </c>
      <c r="AK520" s="16">
        <f t="shared" si="586"/>
        <v>0</v>
      </c>
      <c r="AL520" s="16">
        <f t="shared" si="587"/>
        <v>0</v>
      </c>
      <c r="AN520" s="33">
        <v>21</v>
      </c>
      <c r="AO520" s="33">
        <f t="shared" si="598"/>
        <v>0</v>
      </c>
      <c r="AP520" s="33">
        <f t="shared" si="599"/>
        <v>0</v>
      </c>
      <c r="AQ520" s="27" t="s">
        <v>7</v>
      </c>
      <c r="AV520" s="33">
        <f t="shared" si="590"/>
        <v>0</v>
      </c>
      <c r="AW520" s="33">
        <f t="shared" si="591"/>
        <v>0</v>
      </c>
      <c r="AX520" s="33">
        <f t="shared" si="592"/>
        <v>0</v>
      </c>
      <c r="AY520" s="34" t="s">
        <v>1738</v>
      </c>
      <c r="AZ520" s="34" t="s">
        <v>1745</v>
      </c>
      <c r="BA520" s="28" t="s">
        <v>1752</v>
      </c>
      <c r="BC520" s="33">
        <f t="shared" si="593"/>
        <v>0</v>
      </c>
      <c r="BD520" s="33">
        <f t="shared" si="594"/>
        <v>0</v>
      </c>
      <c r="BE520" s="33">
        <v>0</v>
      </c>
      <c r="BF520" s="33">
        <f>520</f>
        <v>520</v>
      </c>
      <c r="BH520" s="16">
        <f t="shared" si="595"/>
        <v>0</v>
      </c>
      <c r="BI520" s="16">
        <f t="shared" si="596"/>
        <v>0</v>
      </c>
      <c r="BJ520" s="16">
        <f t="shared" si="597"/>
        <v>0</v>
      </c>
    </row>
    <row r="521" spans="1:62" x14ac:dyDescent="0.2">
      <c r="A521" s="4" t="s">
        <v>441</v>
      </c>
      <c r="B521" s="4" t="s">
        <v>988</v>
      </c>
      <c r="C521" s="131" t="s">
        <v>1571</v>
      </c>
      <c r="D521" s="132"/>
      <c r="E521" s="132"/>
      <c r="F521" s="4" t="s">
        <v>1666</v>
      </c>
      <c r="G521" s="68">
        <v>40</v>
      </c>
      <c r="H521" s="162">
        <v>0</v>
      </c>
      <c r="I521" s="16">
        <f t="shared" si="574"/>
        <v>0</v>
      </c>
      <c r="J521" s="16">
        <f t="shared" si="575"/>
        <v>0</v>
      </c>
      <c r="K521" s="16">
        <f t="shared" si="576"/>
        <v>0</v>
      </c>
      <c r="L521" s="27"/>
      <c r="Z521" s="33">
        <f t="shared" si="577"/>
        <v>0</v>
      </c>
      <c r="AB521" s="33">
        <f t="shared" si="578"/>
        <v>0</v>
      </c>
      <c r="AC521" s="33">
        <f t="shared" si="579"/>
        <v>0</v>
      </c>
      <c r="AD521" s="33">
        <f t="shared" si="580"/>
        <v>0</v>
      </c>
      <c r="AE521" s="33">
        <f t="shared" si="581"/>
        <v>0</v>
      </c>
      <c r="AF521" s="33">
        <f t="shared" si="582"/>
        <v>0</v>
      </c>
      <c r="AG521" s="33">
        <f t="shared" si="583"/>
        <v>0</v>
      </c>
      <c r="AH521" s="33">
        <f t="shared" si="584"/>
        <v>0</v>
      </c>
      <c r="AI521" s="28"/>
      <c r="AJ521" s="16">
        <f t="shared" si="585"/>
        <v>0</v>
      </c>
      <c r="AK521" s="16">
        <f t="shared" si="586"/>
        <v>0</v>
      </c>
      <c r="AL521" s="16">
        <f t="shared" si="587"/>
        <v>0</v>
      </c>
      <c r="AN521" s="33">
        <v>21</v>
      </c>
      <c r="AO521" s="33">
        <f t="shared" si="598"/>
        <v>0</v>
      </c>
      <c r="AP521" s="33">
        <f t="shared" si="599"/>
        <v>0</v>
      </c>
      <c r="AQ521" s="27" t="s">
        <v>7</v>
      </c>
      <c r="AV521" s="33">
        <f t="shared" si="590"/>
        <v>0</v>
      </c>
      <c r="AW521" s="33">
        <f t="shared" si="591"/>
        <v>0</v>
      </c>
      <c r="AX521" s="33">
        <f t="shared" si="592"/>
        <v>0</v>
      </c>
      <c r="AY521" s="34" t="s">
        <v>1738</v>
      </c>
      <c r="AZ521" s="34" t="s">
        <v>1745</v>
      </c>
      <c r="BA521" s="28" t="s">
        <v>1752</v>
      </c>
      <c r="BC521" s="33">
        <f t="shared" si="593"/>
        <v>0</v>
      </c>
      <c r="BD521" s="33">
        <f t="shared" si="594"/>
        <v>0</v>
      </c>
      <c r="BE521" s="33">
        <v>0</v>
      </c>
      <c r="BF521" s="33">
        <f>521</f>
        <v>521</v>
      </c>
      <c r="BH521" s="16">
        <f t="shared" si="595"/>
        <v>0</v>
      </c>
      <c r="BI521" s="16">
        <f t="shared" si="596"/>
        <v>0</v>
      </c>
      <c r="BJ521" s="16">
        <f t="shared" si="597"/>
        <v>0</v>
      </c>
    </row>
    <row r="522" spans="1:62" x14ac:dyDescent="0.2">
      <c r="A522" s="73" t="s">
        <v>442</v>
      </c>
      <c r="B522" s="73" t="s">
        <v>989</v>
      </c>
      <c r="C522" s="138" t="s">
        <v>1572</v>
      </c>
      <c r="D522" s="132"/>
      <c r="E522" s="132"/>
      <c r="F522" s="73" t="s">
        <v>1666</v>
      </c>
      <c r="G522" s="74">
        <v>40</v>
      </c>
      <c r="H522" s="166">
        <v>0</v>
      </c>
      <c r="I522" s="75">
        <f t="shared" si="574"/>
        <v>0</v>
      </c>
      <c r="J522" s="75">
        <f t="shared" si="575"/>
        <v>0</v>
      </c>
      <c r="K522" s="75">
        <f t="shared" si="576"/>
        <v>0</v>
      </c>
      <c r="L522" s="80"/>
      <c r="Z522" s="33">
        <f t="shared" si="577"/>
        <v>0</v>
      </c>
      <c r="AB522" s="33">
        <f t="shared" si="578"/>
        <v>0</v>
      </c>
      <c r="AC522" s="33">
        <f t="shared" si="579"/>
        <v>0</v>
      </c>
      <c r="AD522" s="33">
        <f t="shared" si="580"/>
        <v>0</v>
      </c>
      <c r="AE522" s="33">
        <f t="shared" si="581"/>
        <v>0</v>
      </c>
      <c r="AF522" s="33">
        <f t="shared" si="582"/>
        <v>0</v>
      </c>
      <c r="AG522" s="33">
        <f t="shared" si="583"/>
        <v>0</v>
      </c>
      <c r="AH522" s="33">
        <f t="shared" si="584"/>
        <v>0</v>
      </c>
      <c r="AI522" s="28"/>
      <c r="AJ522" s="16">
        <f t="shared" si="585"/>
        <v>0</v>
      </c>
      <c r="AK522" s="16">
        <f t="shared" si="586"/>
        <v>0</v>
      </c>
      <c r="AL522" s="16">
        <f t="shared" si="587"/>
        <v>0</v>
      </c>
      <c r="AN522" s="33">
        <v>21</v>
      </c>
      <c r="AO522" s="33">
        <f t="shared" si="598"/>
        <v>0</v>
      </c>
      <c r="AP522" s="33">
        <f t="shared" si="599"/>
        <v>0</v>
      </c>
      <c r="AQ522" s="27" t="s">
        <v>7</v>
      </c>
      <c r="AV522" s="33">
        <f t="shared" si="590"/>
        <v>0</v>
      </c>
      <c r="AW522" s="33">
        <f t="shared" si="591"/>
        <v>0</v>
      </c>
      <c r="AX522" s="33">
        <f t="shared" si="592"/>
        <v>0</v>
      </c>
      <c r="AY522" s="34" t="s">
        <v>1738</v>
      </c>
      <c r="AZ522" s="34" t="s">
        <v>1745</v>
      </c>
      <c r="BA522" s="28" t="s">
        <v>1752</v>
      </c>
      <c r="BC522" s="33">
        <f t="shared" si="593"/>
        <v>0</v>
      </c>
      <c r="BD522" s="33">
        <f t="shared" si="594"/>
        <v>0</v>
      </c>
      <c r="BE522" s="33">
        <v>0</v>
      </c>
      <c r="BF522" s="33">
        <f>522</f>
        <v>522</v>
      </c>
      <c r="BH522" s="16">
        <f t="shared" si="595"/>
        <v>0</v>
      </c>
      <c r="BI522" s="16">
        <f t="shared" si="596"/>
        <v>0</v>
      </c>
      <c r="BJ522" s="16">
        <f t="shared" si="597"/>
        <v>0</v>
      </c>
    </row>
    <row r="523" spans="1:62" x14ac:dyDescent="0.2">
      <c r="A523" s="4" t="s">
        <v>443</v>
      </c>
      <c r="B523" s="4" t="s">
        <v>990</v>
      </c>
      <c r="C523" s="131" t="s">
        <v>1573</v>
      </c>
      <c r="D523" s="132"/>
      <c r="E523" s="132"/>
      <c r="F523" s="4" t="s">
        <v>1666</v>
      </c>
      <c r="G523" s="68">
        <v>4</v>
      </c>
      <c r="H523" s="162">
        <v>0</v>
      </c>
      <c r="I523" s="16">
        <f t="shared" si="574"/>
        <v>0</v>
      </c>
      <c r="J523" s="16">
        <f t="shared" si="575"/>
        <v>0</v>
      </c>
      <c r="K523" s="16">
        <f t="shared" si="576"/>
        <v>0</v>
      </c>
      <c r="L523" s="27"/>
      <c r="Z523" s="33">
        <f t="shared" si="577"/>
        <v>0</v>
      </c>
      <c r="AB523" s="33">
        <f t="shared" si="578"/>
        <v>0</v>
      </c>
      <c r="AC523" s="33">
        <f t="shared" si="579"/>
        <v>0</v>
      </c>
      <c r="AD523" s="33">
        <f t="shared" si="580"/>
        <v>0</v>
      </c>
      <c r="AE523" s="33">
        <f t="shared" si="581"/>
        <v>0</v>
      </c>
      <c r="AF523" s="33">
        <f t="shared" si="582"/>
        <v>0</v>
      </c>
      <c r="AG523" s="33">
        <f t="shared" si="583"/>
        <v>0</v>
      </c>
      <c r="AH523" s="33">
        <f t="shared" si="584"/>
        <v>0</v>
      </c>
      <c r="AI523" s="28"/>
      <c r="AJ523" s="16">
        <f t="shared" si="585"/>
        <v>0</v>
      </c>
      <c r="AK523" s="16">
        <f t="shared" si="586"/>
        <v>0</v>
      </c>
      <c r="AL523" s="16">
        <f t="shared" si="587"/>
        <v>0</v>
      </c>
      <c r="AN523" s="33">
        <v>21</v>
      </c>
      <c r="AO523" s="33">
        <f t="shared" si="598"/>
        <v>0</v>
      </c>
      <c r="AP523" s="33">
        <f t="shared" si="599"/>
        <v>0</v>
      </c>
      <c r="AQ523" s="27" t="s">
        <v>7</v>
      </c>
      <c r="AV523" s="33">
        <f t="shared" si="590"/>
        <v>0</v>
      </c>
      <c r="AW523" s="33">
        <f t="shared" si="591"/>
        <v>0</v>
      </c>
      <c r="AX523" s="33">
        <f t="shared" si="592"/>
        <v>0</v>
      </c>
      <c r="AY523" s="34" t="s">
        <v>1738</v>
      </c>
      <c r="AZ523" s="34" t="s">
        <v>1745</v>
      </c>
      <c r="BA523" s="28" t="s">
        <v>1752</v>
      </c>
      <c r="BC523" s="33">
        <f t="shared" si="593"/>
        <v>0</v>
      </c>
      <c r="BD523" s="33">
        <f t="shared" si="594"/>
        <v>0</v>
      </c>
      <c r="BE523" s="33">
        <v>0</v>
      </c>
      <c r="BF523" s="33">
        <f>523</f>
        <v>523</v>
      </c>
      <c r="BH523" s="16">
        <f t="shared" si="595"/>
        <v>0</v>
      </c>
      <c r="BI523" s="16">
        <f t="shared" si="596"/>
        <v>0</v>
      </c>
      <c r="BJ523" s="16">
        <f t="shared" si="597"/>
        <v>0</v>
      </c>
    </row>
    <row r="524" spans="1:62" x14ac:dyDescent="0.2">
      <c r="A524" s="73" t="s">
        <v>444</v>
      </c>
      <c r="B524" s="73" t="s">
        <v>991</v>
      </c>
      <c r="C524" s="138" t="s">
        <v>1574</v>
      </c>
      <c r="D524" s="132"/>
      <c r="E524" s="132"/>
      <c r="F524" s="73" t="s">
        <v>1666</v>
      </c>
      <c r="G524" s="74">
        <v>4</v>
      </c>
      <c r="H524" s="166">
        <v>0</v>
      </c>
      <c r="I524" s="75">
        <f t="shared" si="574"/>
        <v>0</v>
      </c>
      <c r="J524" s="75">
        <f t="shared" si="575"/>
        <v>0</v>
      </c>
      <c r="K524" s="75">
        <f t="shared" si="576"/>
        <v>0</v>
      </c>
      <c r="L524" s="80"/>
      <c r="Z524" s="33">
        <f t="shared" si="577"/>
        <v>0</v>
      </c>
      <c r="AB524" s="33">
        <f t="shared" si="578"/>
        <v>0</v>
      </c>
      <c r="AC524" s="33">
        <f t="shared" si="579"/>
        <v>0</v>
      </c>
      <c r="AD524" s="33">
        <f t="shared" si="580"/>
        <v>0</v>
      </c>
      <c r="AE524" s="33">
        <f t="shared" si="581"/>
        <v>0</v>
      </c>
      <c r="AF524" s="33">
        <f t="shared" si="582"/>
        <v>0</v>
      </c>
      <c r="AG524" s="33">
        <f t="shared" si="583"/>
        <v>0</v>
      </c>
      <c r="AH524" s="33">
        <f t="shared" si="584"/>
        <v>0</v>
      </c>
      <c r="AI524" s="28"/>
      <c r="AJ524" s="16">
        <f t="shared" si="585"/>
        <v>0</v>
      </c>
      <c r="AK524" s="16">
        <f t="shared" si="586"/>
        <v>0</v>
      </c>
      <c r="AL524" s="16">
        <f t="shared" si="587"/>
        <v>0</v>
      </c>
      <c r="AN524" s="33">
        <v>21</v>
      </c>
      <c r="AO524" s="33">
        <f t="shared" si="598"/>
        <v>0</v>
      </c>
      <c r="AP524" s="33">
        <f t="shared" si="599"/>
        <v>0</v>
      </c>
      <c r="AQ524" s="27" t="s">
        <v>7</v>
      </c>
      <c r="AV524" s="33">
        <f t="shared" si="590"/>
        <v>0</v>
      </c>
      <c r="AW524" s="33">
        <f t="shared" si="591"/>
        <v>0</v>
      </c>
      <c r="AX524" s="33">
        <f t="shared" si="592"/>
        <v>0</v>
      </c>
      <c r="AY524" s="34" t="s">
        <v>1738</v>
      </c>
      <c r="AZ524" s="34" t="s">
        <v>1745</v>
      </c>
      <c r="BA524" s="28" t="s">
        <v>1752</v>
      </c>
      <c r="BC524" s="33">
        <f t="shared" si="593"/>
        <v>0</v>
      </c>
      <c r="BD524" s="33">
        <f t="shared" si="594"/>
        <v>0</v>
      </c>
      <c r="BE524" s="33">
        <v>0</v>
      </c>
      <c r="BF524" s="33">
        <f>524</f>
        <v>524</v>
      </c>
      <c r="BH524" s="16">
        <f t="shared" si="595"/>
        <v>0</v>
      </c>
      <c r="BI524" s="16">
        <f t="shared" si="596"/>
        <v>0</v>
      </c>
      <c r="BJ524" s="16">
        <f t="shared" si="597"/>
        <v>0</v>
      </c>
    </row>
    <row r="525" spans="1:62" x14ac:dyDescent="0.2">
      <c r="A525" s="4" t="s">
        <v>445</v>
      </c>
      <c r="B525" s="4" t="s">
        <v>992</v>
      </c>
      <c r="C525" s="131" t="s">
        <v>1575</v>
      </c>
      <c r="D525" s="132"/>
      <c r="E525" s="132"/>
      <c r="F525" s="4" t="s">
        <v>1666</v>
      </c>
      <c r="G525" s="68">
        <v>60</v>
      </c>
      <c r="H525" s="162">
        <v>0</v>
      </c>
      <c r="I525" s="16">
        <f t="shared" si="574"/>
        <v>0</v>
      </c>
      <c r="J525" s="16">
        <f t="shared" si="575"/>
        <v>0</v>
      </c>
      <c r="K525" s="16">
        <f t="shared" si="576"/>
        <v>0</v>
      </c>
      <c r="L525" s="27"/>
      <c r="Z525" s="33">
        <f t="shared" si="577"/>
        <v>0</v>
      </c>
      <c r="AB525" s="33">
        <f t="shared" si="578"/>
        <v>0</v>
      </c>
      <c r="AC525" s="33">
        <f t="shared" si="579"/>
        <v>0</v>
      </c>
      <c r="AD525" s="33">
        <f t="shared" si="580"/>
        <v>0</v>
      </c>
      <c r="AE525" s="33">
        <f t="shared" si="581"/>
        <v>0</v>
      </c>
      <c r="AF525" s="33">
        <f t="shared" si="582"/>
        <v>0</v>
      </c>
      <c r="AG525" s="33">
        <f t="shared" si="583"/>
        <v>0</v>
      </c>
      <c r="AH525" s="33">
        <f t="shared" si="584"/>
        <v>0</v>
      </c>
      <c r="AI525" s="28"/>
      <c r="AJ525" s="16">
        <f t="shared" si="585"/>
        <v>0</v>
      </c>
      <c r="AK525" s="16">
        <f t="shared" si="586"/>
        <v>0</v>
      </c>
      <c r="AL525" s="16">
        <f t="shared" si="587"/>
        <v>0</v>
      </c>
      <c r="AN525" s="33">
        <v>21</v>
      </c>
      <c r="AO525" s="33">
        <f t="shared" si="598"/>
        <v>0</v>
      </c>
      <c r="AP525" s="33">
        <f t="shared" si="599"/>
        <v>0</v>
      </c>
      <c r="AQ525" s="27" t="s">
        <v>7</v>
      </c>
      <c r="AV525" s="33">
        <f t="shared" si="590"/>
        <v>0</v>
      </c>
      <c r="AW525" s="33">
        <f t="shared" si="591"/>
        <v>0</v>
      </c>
      <c r="AX525" s="33">
        <f t="shared" si="592"/>
        <v>0</v>
      </c>
      <c r="AY525" s="34" t="s">
        <v>1738</v>
      </c>
      <c r="AZ525" s="34" t="s">
        <v>1745</v>
      </c>
      <c r="BA525" s="28" t="s">
        <v>1752</v>
      </c>
      <c r="BC525" s="33">
        <f t="shared" si="593"/>
        <v>0</v>
      </c>
      <c r="BD525" s="33">
        <f t="shared" si="594"/>
        <v>0</v>
      </c>
      <c r="BE525" s="33">
        <v>0</v>
      </c>
      <c r="BF525" s="33">
        <f>525</f>
        <v>525</v>
      </c>
      <c r="BH525" s="16">
        <f t="shared" si="595"/>
        <v>0</v>
      </c>
      <c r="BI525" s="16">
        <f t="shared" si="596"/>
        <v>0</v>
      </c>
      <c r="BJ525" s="16">
        <f t="shared" si="597"/>
        <v>0</v>
      </c>
    </row>
    <row r="526" spans="1:62" x14ac:dyDescent="0.2">
      <c r="A526" s="73" t="s">
        <v>446</v>
      </c>
      <c r="B526" s="73" t="s">
        <v>991</v>
      </c>
      <c r="C526" s="138" t="s">
        <v>1575</v>
      </c>
      <c r="D526" s="132"/>
      <c r="E526" s="132"/>
      <c r="F526" s="73" t="s">
        <v>1666</v>
      </c>
      <c r="G526" s="74">
        <v>60</v>
      </c>
      <c r="H526" s="166">
        <v>0</v>
      </c>
      <c r="I526" s="75">
        <f t="shared" si="574"/>
        <v>0</v>
      </c>
      <c r="J526" s="75">
        <f t="shared" si="575"/>
        <v>0</v>
      </c>
      <c r="K526" s="75">
        <f t="shared" si="576"/>
        <v>0</v>
      </c>
      <c r="L526" s="80"/>
      <c r="Z526" s="33">
        <f t="shared" si="577"/>
        <v>0</v>
      </c>
      <c r="AB526" s="33">
        <f t="shared" si="578"/>
        <v>0</v>
      </c>
      <c r="AC526" s="33">
        <f t="shared" si="579"/>
        <v>0</v>
      </c>
      <c r="AD526" s="33">
        <f t="shared" si="580"/>
        <v>0</v>
      </c>
      <c r="AE526" s="33">
        <f t="shared" si="581"/>
        <v>0</v>
      </c>
      <c r="AF526" s="33">
        <f t="shared" si="582"/>
        <v>0</v>
      </c>
      <c r="AG526" s="33">
        <f t="shared" si="583"/>
        <v>0</v>
      </c>
      <c r="AH526" s="33">
        <f t="shared" si="584"/>
        <v>0</v>
      </c>
      <c r="AI526" s="28"/>
      <c r="AJ526" s="16">
        <f t="shared" si="585"/>
        <v>0</v>
      </c>
      <c r="AK526" s="16">
        <f t="shared" si="586"/>
        <v>0</v>
      </c>
      <c r="AL526" s="16">
        <f t="shared" si="587"/>
        <v>0</v>
      </c>
      <c r="AN526" s="33">
        <v>21</v>
      </c>
      <c r="AO526" s="33">
        <f t="shared" si="598"/>
        <v>0</v>
      </c>
      <c r="AP526" s="33">
        <f t="shared" si="599"/>
        <v>0</v>
      </c>
      <c r="AQ526" s="27" t="s">
        <v>7</v>
      </c>
      <c r="AV526" s="33">
        <f t="shared" si="590"/>
        <v>0</v>
      </c>
      <c r="AW526" s="33">
        <f t="shared" si="591"/>
        <v>0</v>
      </c>
      <c r="AX526" s="33">
        <f t="shared" si="592"/>
        <v>0</v>
      </c>
      <c r="AY526" s="34" t="s">
        <v>1738</v>
      </c>
      <c r="AZ526" s="34" t="s">
        <v>1745</v>
      </c>
      <c r="BA526" s="28" t="s">
        <v>1752</v>
      </c>
      <c r="BC526" s="33">
        <f t="shared" si="593"/>
        <v>0</v>
      </c>
      <c r="BD526" s="33">
        <f t="shared" si="594"/>
        <v>0</v>
      </c>
      <c r="BE526" s="33">
        <v>0</v>
      </c>
      <c r="BF526" s="33">
        <f>526</f>
        <v>526</v>
      </c>
      <c r="BH526" s="16">
        <f t="shared" si="595"/>
        <v>0</v>
      </c>
      <c r="BI526" s="16">
        <f t="shared" si="596"/>
        <v>0</v>
      </c>
      <c r="BJ526" s="16">
        <f t="shared" si="597"/>
        <v>0</v>
      </c>
    </row>
    <row r="527" spans="1:62" x14ac:dyDescent="0.2">
      <c r="A527" s="4" t="s">
        <v>447</v>
      </c>
      <c r="B527" s="4" t="s">
        <v>993</v>
      </c>
      <c r="C527" s="131" t="s">
        <v>1576</v>
      </c>
      <c r="D527" s="132"/>
      <c r="E527" s="132"/>
      <c r="F527" s="4" t="s">
        <v>1668</v>
      </c>
      <c r="G527" s="68">
        <v>32</v>
      </c>
      <c r="H527" s="162">
        <v>0</v>
      </c>
      <c r="I527" s="16">
        <f t="shared" si="574"/>
        <v>0</v>
      </c>
      <c r="J527" s="16">
        <f t="shared" si="575"/>
        <v>0</v>
      </c>
      <c r="K527" s="16">
        <f t="shared" si="576"/>
        <v>0</v>
      </c>
      <c r="L527" s="27"/>
      <c r="Z527" s="33">
        <f t="shared" si="577"/>
        <v>0</v>
      </c>
      <c r="AB527" s="33">
        <f t="shared" si="578"/>
        <v>0</v>
      </c>
      <c r="AC527" s="33">
        <f t="shared" si="579"/>
        <v>0</v>
      </c>
      <c r="AD527" s="33">
        <f t="shared" si="580"/>
        <v>0</v>
      </c>
      <c r="AE527" s="33">
        <f t="shared" si="581"/>
        <v>0</v>
      </c>
      <c r="AF527" s="33">
        <f t="shared" si="582"/>
        <v>0</v>
      </c>
      <c r="AG527" s="33">
        <f t="shared" si="583"/>
        <v>0</v>
      </c>
      <c r="AH527" s="33">
        <f t="shared" si="584"/>
        <v>0</v>
      </c>
      <c r="AI527" s="28"/>
      <c r="AJ527" s="16">
        <f t="shared" si="585"/>
        <v>0</v>
      </c>
      <c r="AK527" s="16">
        <f t="shared" si="586"/>
        <v>0</v>
      </c>
      <c r="AL527" s="16">
        <f t="shared" si="587"/>
        <v>0</v>
      </c>
      <c r="AN527" s="33">
        <v>21</v>
      </c>
      <c r="AO527" s="33">
        <f t="shared" si="598"/>
        <v>0</v>
      </c>
      <c r="AP527" s="33">
        <f t="shared" si="599"/>
        <v>0</v>
      </c>
      <c r="AQ527" s="27" t="s">
        <v>7</v>
      </c>
      <c r="AV527" s="33">
        <f t="shared" si="590"/>
        <v>0</v>
      </c>
      <c r="AW527" s="33">
        <f t="shared" si="591"/>
        <v>0</v>
      </c>
      <c r="AX527" s="33">
        <f t="shared" si="592"/>
        <v>0</v>
      </c>
      <c r="AY527" s="34" t="s">
        <v>1738</v>
      </c>
      <c r="AZ527" s="34" t="s">
        <v>1745</v>
      </c>
      <c r="BA527" s="28" t="s">
        <v>1752</v>
      </c>
      <c r="BC527" s="33">
        <f t="shared" si="593"/>
        <v>0</v>
      </c>
      <c r="BD527" s="33">
        <f t="shared" si="594"/>
        <v>0</v>
      </c>
      <c r="BE527" s="33">
        <v>0</v>
      </c>
      <c r="BF527" s="33">
        <f>527</f>
        <v>527</v>
      </c>
      <c r="BH527" s="16">
        <f t="shared" si="595"/>
        <v>0</v>
      </c>
      <c r="BI527" s="16">
        <f t="shared" si="596"/>
        <v>0</v>
      </c>
      <c r="BJ527" s="16">
        <f t="shared" si="597"/>
        <v>0</v>
      </c>
    </row>
    <row r="528" spans="1:62" x14ac:dyDescent="0.2">
      <c r="A528" s="4" t="s">
        <v>448</v>
      </c>
      <c r="B528" s="4" t="s">
        <v>994</v>
      </c>
      <c r="C528" s="131" t="s">
        <v>1577</v>
      </c>
      <c r="D528" s="132"/>
      <c r="E528" s="132"/>
      <c r="F528" s="4" t="s">
        <v>1666</v>
      </c>
      <c r="G528" s="68">
        <v>40</v>
      </c>
      <c r="H528" s="162">
        <v>0</v>
      </c>
      <c r="I528" s="16">
        <f t="shared" si="574"/>
        <v>0</v>
      </c>
      <c r="J528" s="16">
        <f t="shared" si="575"/>
        <v>0</v>
      </c>
      <c r="K528" s="16">
        <f t="shared" si="576"/>
        <v>0</v>
      </c>
      <c r="L528" s="27"/>
      <c r="Z528" s="33">
        <f t="shared" si="577"/>
        <v>0</v>
      </c>
      <c r="AB528" s="33">
        <f t="shared" si="578"/>
        <v>0</v>
      </c>
      <c r="AC528" s="33">
        <f t="shared" si="579"/>
        <v>0</v>
      </c>
      <c r="AD528" s="33">
        <f t="shared" si="580"/>
        <v>0</v>
      </c>
      <c r="AE528" s="33">
        <f t="shared" si="581"/>
        <v>0</v>
      </c>
      <c r="AF528" s="33">
        <f t="shared" si="582"/>
        <v>0</v>
      </c>
      <c r="AG528" s="33">
        <f t="shared" si="583"/>
        <v>0</v>
      </c>
      <c r="AH528" s="33">
        <f t="shared" si="584"/>
        <v>0</v>
      </c>
      <c r="AI528" s="28"/>
      <c r="AJ528" s="16">
        <f t="shared" si="585"/>
        <v>0</v>
      </c>
      <c r="AK528" s="16">
        <f t="shared" si="586"/>
        <v>0</v>
      </c>
      <c r="AL528" s="16">
        <f t="shared" si="587"/>
        <v>0</v>
      </c>
      <c r="AN528" s="33">
        <v>21</v>
      </c>
      <c r="AO528" s="33">
        <f t="shared" si="598"/>
        <v>0</v>
      </c>
      <c r="AP528" s="33">
        <f t="shared" si="599"/>
        <v>0</v>
      </c>
      <c r="AQ528" s="27" t="s">
        <v>7</v>
      </c>
      <c r="AV528" s="33">
        <f t="shared" si="590"/>
        <v>0</v>
      </c>
      <c r="AW528" s="33">
        <f t="shared" si="591"/>
        <v>0</v>
      </c>
      <c r="AX528" s="33">
        <f t="shared" si="592"/>
        <v>0</v>
      </c>
      <c r="AY528" s="34" t="s">
        <v>1738</v>
      </c>
      <c r="AZ528" s="34" t="s">
        <v>1745</v>
      </c>
      <c r="BA528" s="28" t="s">
        <v>1752</v>
      </c>
      <c r="BC528" s="33">
        <f t="shared" si="593"/>
        <v>0</v>
      </c>
      <c r="BD528" s="33">
        <f t="shared" si="594"/>
        <v>0</v>
      </c>
      <c r="BE528" s="33">
        <v>0</v>
      </c>
      <c r="BF528" s="33">
        <f>528</f>
        <v>528</v>
      </c>
      <c r="BH528" s="16">
        <f t="shared" si="595"/>
        <v>0</v>
      </c>
      <c r="BI528" s="16">
        <f t="shared" si="596"/>
        <v>0</v>
      </c>
      <c r="BJ528" s="16">
        <f t="shared" si="597"/>
        <v>0</v>
      </c>
    </row>
    <row r="529" spans="1:62" x14ac:dyDescent="0.2">
      <c r="A529" s="73" t="s">
        <v>449</v>
      </c>
      <c r="B529" s="73" t="s">
        <v>995</v>
      </c>
      <c r="C529" s="138" t="s">
        <v>1577</v>
      </c>
      <c r="D529" s="132"/>
      <c r="E529" s="132"/>
      <c r="F529" s="73" t="s">
        <v>1666</v>
      </c>
      <c r="G529" s="74">
        <v>40</v>
      </c>
      <c r="H529" s="166">
        <v>0</v>
      </c>
      <c r="I529" s="75">
        <f t="shared" si="574"/>
        <v>0</v>
      </c>
      <c r="J529" s="75">
        <f t="shared" si="575"/>
        <v>0</v>
      </c>
      <c r="K529" s="75">
        <f t="shared" si="576"/>
        <v>0</v>
      </c>
      <c r="L529" s="80"/>
      <c r="Z529" s="33">
        <f t="shared" si="577"/>
        <v>0</v>
      </c>
      <c r="AB529" s="33">
        <f t="shared" si="578"/>
        <v>0</v>
      </c>
      <c r="AC529" s="33">
        <f t="shared" si="579"/>
        <v>0</v>
      </c>
      <c r="AD529" s="33">
        <f t="shared" si="580"/>
        <v>0</v>
      </c>
      <c r="AE529" s="33">
        <f t="shared" si="581"/>
        <v>0</v>
      </c>
      <c r="AF529" s="33">
        <f t="shared" si="582"/>
        <v>0</v>
      </c>
      <c r="AG529" s="33">
        <f t="shared" si="583"/>
        <v>0</v>
      </c>
      <c r="AH529" s="33">
        <f t="shared" si="584"/>
        <v>0</v>
      </c>
      <c r="AI529" s="28"/>
      <c r="AJ529" s="16">
        <f t="shared" si="585"/>
        <v>0</v>
      </c>
      <c r="AK529" s="16">
        <f t="shared" si="586"/>
        <v>0</v>
      </c>
      <c r="AL529" s="16">
        <f t="shared" si="587"/>
        <v>0</v>
      </c>
      <c r="AN529" s="33">
        <v>21</v>
      </c>
      <c r="AO529" s="33">
        <f t="shared" si="598"/>
        <v>0</v>
      </c>
      <c r="AP529" s="33">
        <f t="shared" si="599"/>
        <v>0</v>
      </c>
      <c r="AQ529" s="27" t="s">
        <v>7</v>
      </c>
      <c r="AV529" s="33">
        <f t="shared" si="590"/>
        <v>0</v>
      </c>
      <c r="AW529" s="33">
        <f t="shared" si="591"/>
        <v>0</v>
      </c>
      <c r="AX529" s="33">
        <f t="shared" si="592"/>
        <v>0</v>
      </c>
      <c r="AY529" s="34" t="s">
        <v>1738</v>
      </c>
      <c r="AZ529" s="34" t="s">
        <v>1745</v>
      </c>
      <c r="BA529" s="28" t="s">
        <v>1752</v>
      </c>
      <c r="BC529" s="33">
        <f t="shared" si="593"/>
        <v>0</v>
      </c>
      <c r="BD529" s="33">
        <f t="shared" si="594"/>
        <v>0</v>
      </c>
      <c r="BE529" s="33">
        <v>0</v>
      </c>
      <c r="BF529" s="33">
        <f>529</f>
        <v>529</v>
      </c>
      <c r="BH529" s="16">
        <f t="shared" si="595"/>
        <v>0</v>
      </c>
      <c r="BI529" s="16">
        <f t="shared" si="596"/>
        <v>0</v>
      </c>
      <c r="BJ529" s="16">
        <f t="shared" si="597"/>
        <v>0</v>
      </c>
    </row>
    <row r="530" spans="1:62" x14ac:dyDescent="0.2">
      <c r="A530" s="4" t="s">
        <v>450</v>
      </c>
      <c r="B530" s="4" t="s">
        <v>996</v>
      </c>
      <c r="C530" s="131" t="s">
        <v>1578</v>
      </c>
      <c r="D530" s="132"/>
      <c r="E530" s="132"/>
      <c r="F530" s="4" t="s">
        <v>1666</v>
      </c>
      <c r="G530" s="68">
        <v>380</v>
      </c>
      <c r="H530" s="162">
        <v>0</v>
      </c>
      <c r="I530" s="16">
        <f t="shared" si="574"/>
        <v>0</v>
      </c>
      <c r="J530" s="16">
        <f t="shared" si="575"/>
        <v>0</v>
      </c>
      <c r="K530" s="16">
        <f t="shared" si="576"/>
        <v>0</v>
      </c>
      <c r="L530" s="27"/>
      <c r="Z530" s="33">
        <f t="shared" si="577"/>
        <v>0</v>
      </c>
      <c r="AB530" s="33">
        <f t="shared" si="578"/>
        <v>0</v>
      </c>
      <c r="AC530" s="33">
        <f t="shared" si="579"/>
        <v>0</v>
      </c>
      <c r="AD530" s="33">
        <f t="shared" si="580"/>
        <v>0</v>
      </c>
      <c r="AE530" s="33">
        <f t="shared" si="581"/>
        <v>0</v>
      </c>
      <c r="AF530" s="33">
        <f t="shared" si="582"/>
        <v>0</v>
      </c>
      <c r="AG530" s="33">
        <f t="shared" si="583"/>
        <v>0</v>
      </c>
      <c r="AH530" s="33">
        <f t="shared" si="584"/>
        <v>0</v>
      </c>
      <c r="AI530" s="28"/>
      <c r="AJ530" s="16">
        <f t="shared" si="585"/>
        <v>0</v>
      </c>
      <c r="AK530" s="16">
        <f t="shared" si="586"/>
        <v>0</v>
      </c>
      <c r="AL530" s="16">
        <f t="shared" si="587"/>
        <v>0</v>
      </c>
      <c r="AN530" s="33">
        <v>21</v>
      </c>
      <c r="AO530" s="33">
        <f t="shared" si="598"/>
        <v>0</v>
      </c>
      <c r="AP530" s="33">
        <f t="shared" si="599"/>
        <v>0</v>
      </c>
      <c r="AQ530" s="27" t="s">
        <v>7</v>
      </c>
      <c r="AV530" s="33">
        <f t="shared" si="590"/>
        <v>0</v>
      </c>
      <c r="AW530" s="33">
        <f t="shared" si="591"/>
        <v>0</v>
      </c>
      <c r="AX530" s="33">
        <f t="shared" si="592"/>
        <v>0</v>
      </c>
      <c r="AY530" s="34" t="s">
        <v>1738</v>
      </c>
      <c r="AZ530" s="34" t="s">
        <v>1745</v>
      </c>
      <c r="BA530" s="28" t="s">
        <v>1752</v>
      </c>
      <c r="BC530" s="33">
        <f t="shared" si="593"/>
        <v>0</v>
      </c>
      <c r="BD530" s="33">
        <f t="shared" si="594"/>
        <v>0</v>
      </c>
      <c r="BE530" s="33">
        <v>0</v>
      </c>
      <c r="BF530" s="33">
        <f>530</f>
        <v>530</v>
      </c>
      <c r="BH530" s="16">
        <f t="shared" si="595"/>
        <v>0</v>
      </c>
      <c r="BI530" s="16">
        <f t="shared" si="596"/>
        <v>0</v>
      </c>
      <c r="BJ530" s="16">
        <f t="shared" si="597"/>
        <v>0</v>
      </c>
    </row>
    <row r="531" spans="1:62" x14ac:dyDescent="0.2">
      <c r="A531" s="73" t="s">
        <v>451</v>
      </c>
      <c r="B531" s="73" t="s">
        <v>997</v>
      </c>
      <c r="C531" s="138" t="s">
        <v>1579</v>
      </c>
      <c r="D531" s="132"/>
      <c r="E531" s="132"/>
      <c r="F531" s="73" t="s">
        <v>1666</v>
      </c>
      <c r="G531" s="74">
        <v>320</v>
      </c>
      <c r="H531" s="166">
        <v>0</v>
      </c>
      <c r="I531" s="75">
        <f t="shared" si="574"/>
        <v>0</v>
      </c>
      <c r="J531" s="75">
        <f t="shared" si="575"/>
        <v>0</v>
      </c>
      <c r="K531" s="75">
        <f t="shared" si="576"/>
        <v>0</v>
      </c>
      <c r="L531" s="80"/>
      <c r="Z531" s="33">
        <f t="shared" si="577"/>
        <v>0</v>
      </c>
      <c r="AB531" s="33">
        <f t="shared" si="578"/>
        <v>0</v>
      </c>
      <c r="AC531" s="33">
        <f t="shared" si="579"/>
        <v>0</v>
      </c>
      <c r="AD531" s="33">
        <f t="shared" si="580"/>
        <v>0</v>
      </c>
      <c r="AE531" s="33">
        <f t="shared" si="581"/>
        <v>0</v>
      </c>
      <c r="AF531" s="33">
        <f t="shared" si="582"/>
        <v>0</v>
      </c>
      <c r="AG531" s="33">
        <f t="shared" si="583"/>
        <v>0</v>
      </c>
      <c r="AH531" s="33">
        <f t="shared" si="584"/>
        <v>0</v>
      </c>
      <c r="AI531" s="28"/>
      <c r="AJ531" s="16">
        <f t="shared" si="585"/>
        <v>0</v>
      </c>
      <c r="AK531" s="16">
        <f t="shared" si="586"/>
        <v>0</v>
      </c>
      <c r="AL531" s="16">
        <f t="shared" si="587"/>
        <v>0</v>
      </c>
      <c r="AN531" s="33">
        <v>21</v>
      </c>
      <c r="AO531" s="33">
        <f t="shared" si="598"/>
        <v>0</v>
      </c>
      <c r="AP531" s="33">
        <f t="shared" si="599"/>
        <v>0</v>
      </c>
      <c r="AQ531" s="27" t="s">
        <v>7</v>
      </c>
      <c r="AV531" s="33">
        <f t="shared" si="590"/>
        <v>0</v>
      </c>
      <c r="AW531" s="33">
        <f t="shared" si="591"/>
        <v>0</v>
      </c>
      <c r="AX531" s="33">
        <f t="shared" si="592"/>
        <v>0</v>
      </c>
      <c r="AY531" s="34" t="s">
        <v>1738</v>
      </c>
      <c r="AZ531" s="34" t="s">
        <v>1745</v>
      </c>
      <c r="BA531" s="28" t="s">
        <v>1752</v>
      </c>
      <c r="BC531" s="33">
        <f t="shared" si="593"/>
        <v>0</v>
      </c>
      <c r="BD531" s="33">
        <f t="shared" si="594"/>
        <v>0</v>
      </c>
      <c r="BE531" s="33">
        <v>0</v>
      </c>
      <c r="BF531" s="33">
        <f>531</f>
        <v>531</v>
      </c>
      <c r="BH531" s="16">
        <f t="shared" si="595"/>
        <v>0</v>
      </c>
      <c r="BI531" s="16">
        <f t="shared" si="596"/>
        <v>0</v>
      </c>
      <c r="BJ531" s="16">
        <f t="shared" si="597"/>
        <v>0</v>
      </c>
    </row>
    <row r="532" spans="1:62" x14ac:dyDescent="0.2">
      <c r="A532" s="73" t="s">
        <v>452</v>
      </c>
      <c r="B532" s="73" t="s">
        <v>998</v>
      </c>
      <c r="C532" s="138" t="s">
        <v>1580</v>
      </c>
      <c r="D532" s="132"/>
      <c r="E532" s="132"/>
      <c r="F532" s="73" t="s">
        <v>1666</v>
      </c>
      <c r="G532" s="74">
        <v>20</v>
      </c>
      <c r="H532" s="166">
        <v>0</v>
      </c>
      <c r="I532" s="75">
        <f t="shared" si="574"/>
        <v>0</v>
      </c>
      <c r="J532" s="75">
        <f t="shared" si="575"/>
        <v>0</v>
      </c>
      <c r="K532" s="75">
        <f t="shared" si="576"/>
        <v>0</v>
      </c>
      <c r="L532" s="80"/>
      <c r="Z532" s="33">
        <f t="shared" si="577"/>
        <v>0</v>
      </c>
      <c r="AB532" s="33">
        <f t="shared" si="578"/>
        <v>0</v>
      </c>
      <c r="AC532" s="33">
        <f t="shared" si="579"/>
        <v>0</v>
      </c>
      <c r="AD532" s="33">
        <f t="shared" si="580"/>
        <v>0</v>
      </c>
      <c r="AE532" s="33">
        <f t="shared" si="581"/>
        <v>0</v>
      </c>
      <c r="AF532" s="33">
        <f t="shared" si="582"/>
        <v>0</v>
      </c>
      <c r="AG532" s="33">
        <f t="shared" si="583"/>
        <v>0</v>
      </c>
      <c r="AH532" s="33">
        <f t="shared" si="584"/>
        <v>0</v>
      </c>
      <c r="AI532" s="28"/>
      <c r="AJ532" s="16">
        <f t="shared" si="585"/>
        <v>0</v>
      </c>
      <c r="AK532" s="16">
        <f t="shared" si="586"/>
        <v>0</v>
      </c>
      <c r="AL532" s="16">
        <f t="shared" si="587"/>
        <v>0</v>
      </c>
      <c r="AN532" s="33">
        <v>21</v>
      </c>
      <c r="AO532" s="33">
        <f t="shared" si="598"/>
        <v>0</v>
      </c>
      <c r="AP532" s="33">
        <f t="shared" si="599"/>
        <v>0</v>
      </c>
      <c r="AQ532" s="27" t="s">
        <v>7</v>
      </c>
      <c r="AV532" s="33">
        <f t="shared" si="590"/>
        <v>0</v>
      </c>
      <c r="AW532" s="33">
        <f t="shared" si="591"/>
        <v>0</v>
      </c>
      <c r="AX532" s="33">
        <f t="shared" si="592"/>
        <v>0</v>
      </c>
      <c r="AY532" s="34" t="s">
        <v>1738</v>
      </c>
      <c r="AZ532" s="34" t="s">
        <v>1745</v>
      </c>
      <c r="BA532" s="28" t="s">
        <v>1752</v>
      </c>
      <c r="BC532" s="33">
        <f t="shared" si="593"/>
        <v>0</v>
      </c>
      <c r="BD532" s="33">
        <f t="shared" si="594"/>
        <v>0</v>
      </c>
      <c r="BE532" s="33">
        <v>0</v>
      </c>
      <c r="BF532" s="33">
        <f>532</f>
        <v>532</v>
      </c>
      <c r="BH532" s="16">
        <f t="shared" si="595"/>
        <v>0</v>
      </c>
      <c r="BI532" s="16">
        <f t="shared" si="596"/>
        <v>0</v>
      </c>
      <c r="BJ532" s="16">
        <f t="shared" si="597"/>
        <v>0</v>
      </c>
    </row>
    <row r="533" spans="1:62" x14ac:dyDescent="0.2">
      <c r="A533" s="73" t="s">
        <v>453</v>
      </c>
      <c r="B533" s="73" t="s">
        <v>999</v>
      </c>
      <c r="C533" s="138" t="s">
        <v>1581</v>
      </c>
      <c r="D533" s="132"/>
      <c r="E533" s="132"/>
      <c r="F533" s="73" t="s">
        <v>1666</v>
      </c>
      <c r="G533" s="74">
        <v>40</v>
      </c>
      <c r="H533" s="166">
        <v>0</v>
      </c>
      <c r="I533" s="75">
        <f t="shared" si="574"/>
        <v>0</v>
      </c>
      <c r="J533" s="75">
        <f t="shared" si="575"/>
        <v>0</v>
      </c>
      <c r="K533" s="75">
        <f t="shared" si="576"/>
        <v>0</v>
      </c>
      <c r="L533" s="80"/>
      <c r="Z533" s="33">
        <f t="shared" si="577"/>
        <v>0</v>
      </c>
      <c r="AB533" s="33">
        <f t="shared" si="578"/>
        <v>0</v>
      </c>
      <c r="AC533" s="33">
        <f t="shared" si="579"/>
        <v>0</v>
      </c>
      <c r="AD533" s="33">
        <f t="shared" si="580"/>
        <v>0</v>
      </c>
      <c r="AE533" s="33">
        <f t="shared" si="581"/>
        <v>0</v>
      </c>
      <c r="AF533" s="33">
        <f t="shared" si="582"/>
        <v>0</v>
      </c>
      <c r="AG533" s="33">
        <f t="shared" si="583"/>
        <v>0</v>
      </c>
      <c r="AH533" s="33">
        <f t="shared" si="584"/>
        <v>0</v>
      </c>
      <c r="AI533" s="28"/>
      <c r="AJ533" s="16">
        <f t="shared" si="585"/>
        <v>0</v>
      </c>
      <c r="AK533" s="16">
        <f t="shared" si="586"/>
        <v>0</v>
      </c>
      <c r="AL533" s="16">
        <f t="shared" si="587"/>
        <v>0</v>
      </c>
      <c r="AN533" s="33">
        <v>21</v>
      </c>
      <c r="AO533" s="33">
        <f t="shared" si="598"/>
        <v>0</v>
      </c>
      <c r="AP533" s="33">
        <f t="shared" si="599"/>
        <v>0</v>
      </c>
      <c r="AQ533" s="27" t="s">
        <v>7</v>
      </c>
      <c r="AV533" s="33">
        <f t="shared" si="590"/>
        <v>0</v>
      </c>
      <c r="AW533" s="33">
        <f t="shared" si="591"/>
        <v>0</v>
      </c>
      <c r="AX533" s="33">
        <f t="shared" si="592"/>
        <v>0</v>
      </c>
      <c r="AY533" s="34" t="s">
        <v>1738</v>
      </c>
      <c r="AZ533" s="34" t="s">
        <v>1745</v>
      </c>
      <c r="BA533" s="28" t="s">
        <v>1752</v>
      </c>
      <c r="BC533" s="33">
        <f t="shared" si="593"/>
        <v>0</v>
      </c>
      <c r="BD533" s="33">
        <f t="shared" si="594"/>
        <v>0</v>
      </c>
      <c r="BE533" s="33">
        <v>0</v>
      </c>
      <c r="BF533" s="33">
        <f>533</f>
        <v>533</v>
      </c>
      <c r="BH533" s="16">
        <f t="shared" si="595"/>
        <v>0</v>
      </c>
      <c r="BI533" s="16">
        <f t="shared" si="596"/>
        <v>0</v>
      </c>
      <c r="BJ533" s="16">
        <f t="shared" si="597"/>
        <v>0</v>
      </c>
    </row>
    <row r="534" spans="1:62" x14ac:dyDescent="0.2">
      <c r="A534" s="4" t="s">
        <v>454</v>
      </c>
      <c r="B534" s="4" t="s">
        <v>1000</v>
      </c>
      <c r="C534" s="131" t="s">
        <v>1582</v>
      </c>
      <c r="D534" s="132"/>
      <c r="E534" s="132"/>
      <c r="F534" s="4" t="s">
        <v>1666</v>
      </c>
      <c r="G534" s="68">
        <v>130</v>
      </c>
      <c r="H534" s="162">
        <v>0</v>
      </c>
      <c r="I534" s="16">
        <f t="shared" si="574"/>
        <v>0</v>
      </c>
      <c r="J534" s="16">
        <f t="shared" si="575"/>
        <v>0</v>
      </c>
      <c r="K534" s="16">
        <f t="shared" si="576"/>
        <v>0</v>
      </c>
      <c r="L534" s="27"/>
      <c r="Z534" s="33">
        <f t="shared" si="577"/>
        <v>0</v>
      </c>
      <c r="AB534" s="33">
        <f t="shared" si="578"/>
        <v>0</v>
      </c>
      <c r="AC534" s="33">
        <f t="shared" si="579"/>
        <v>0</v>
      </c>
      <c r="AD534" s="33">
        <f t="shared" si="580"/>
        <v>0</v>
      </c>
      <c r="AE534" s="33">
        <f t="shared" si="581"/>
        <v>0</v>
      </c>
      <c r="AF534" s="33">
        <f t="shared" si="582"/>
        <v>0</v>
      </c>
      <c r="AG534" s="33">
        <f t="shared" si="583"/>
        <v>0</v>
      </c>
      <c r="AH534" s="33">
        <f t="shared" si="584"/>
        <v>0</v>
      </c>
      <c r="AI534" s="28"/>
      <c r="AJ534" s="16">
        <f t="shared" si="585"/>
        <v>0</v>
      </c>
      <c r="AK534" s="16">
        <f t="shared" si="586"/>
        <v>0</v>
      </c>
      <c r="AL534" s="16">
        <f t="shared" si="587"/>
        <v>0</v>
      </c>
      <c r="AN534" s="33">
        <v>21</v>
      </c>
      <c r="AO534" s="33">
        <f t="shared" si="598"/>
        <v>0</v>
      </c>
      <c r="AP534" s="33">
        <f t="shared" si="599"/>
        <v>0</v>
      </c>
      <c r="AQ534" s="27" t="s">
        <v>7</v>
      </c>
      <c r="AV534" s="33">
        <f t="shared" si="590"/>
        <v>0</v>
      </c>
      <c r="AW534" s="33">
        <f t="shared" si="591"/>
        <v>0</v>
      </c>
      <c r="AX534" s="33">
        <f t="shared" si="592"/>
        <v>0</v>
      </c>
      <c r="AY534" s="34" t="s">
        <v>1738</v>
      </c>
      <c r="AZ534" s="34" t="s">
        <v>1745</v>
      </c>
      <c r="BA534" s="28" t="s">
        <v>1752</v>
      </c>
      <c r="BC534" s="33">
        <f t="shared" si="593"/>
        <v>0</v>
      </c>
      <c r="BD534" s="33">
        <f t="shared" si="594"/>
        <v>0</v>
      </c>
      <c r="BE534" s="33">
        <v>0</v>
      </c>
      <c r="BF534" s="33">
        <f>534</f>
        <v>534</v>
      </c>
      <c r="BH534" s="16">
        <f t="shared" si="595"/>
        <v>0</v>
      </c>
      <c r="BI534" s="16">
        <f t="shared" si="596"/>
        <v>0</v>
      </c>
      <c r="BJ534" s="16">
        <f t="shared" si="597"/>
        <v>0</v>
      </c>
    </row>
    <row r="535" spans="1:62" x14ac:dyDescent="0.2">
      <c r="A535" s="73" t="s">
        <v>455</v>
      </c>
      <c r="B535" s="73" t="s">
        <v>1001</v>
      </c>
      <c r="C535" s="138" t="s">
        <v>1583</v>
      </c>
      <c r="D535" s="132"/>
      <c r="E535" s="132"/>
      <c r="F535" s="73" t="s">
        <v>1666</v>
      </c>
      <c r="G535" s="74">
        <v>110</v>
      </c>
      <c r="H535" s="166">
        <v>0</v>
      </c>
      <c r="I535" s="75">
        <f t="shared" si="574"/>
        <v>0</v>
      </c>
      <c r="J535" s="75">
        <f t="shared" si="575"/>
        <v>0</v>
      </c>
      <c r="K535" s="75">
        <f t="shared" si="576"/>
        <v>0</v>
      </c>
      <c r="L535" s="80"/>
      <c r="Z535" s="33">
        <f t="shared" si="577"/>
        <v>0</v>
      </c>
      <c r="AB535" s="33">
        <f t="shared" si="578"/>
        <v>0</v>
      </c>
      <c r="AC535" s="33">
        <f t="shared" si="579"/>
        <v>0</v>
      </c>
      <c r="AD535" s="33">
        <f t="shared" si="580"/>
        <v>0</v>
      </c>
      <c r="AE535" s="33">
        <f t="shared" si="581"/>
        <v>0</v>
      </c>
      <c r="AF535" s="33">
        <f t="shared" si="582"/>
        <v>0</v>
      </c>
      <c r="AG535" s="33">
        <f t="shared" si="583"/>
        <v>0</v>
      </c>
      <c r="AH535" s="33">
        <f t="shared" si="584"/>
        <v>0</v>
      </c>
      <c r="AI535" s="28"/>
      <c r="AJ535" s="16">
        <f t="shared" si="585"/>
        <v>0</v>
      </c>
      <c r="AK535" s="16">
        <f t="shared" si="586"/>
        <v>0</v>
      </c>
      <c r="AL535" s="16">
        <f t="shared" si="587"/>
        <v>0</v>
      </c>
      <c r="AN535" s="33">
        <v>21</v>
      </c>
      <c r="AO535" s="33">
        <f t="shared" si="598"/>
        <v>0</v>
      </c>
      <c r="AP535" s="33">
        <f t="shared" si="599"/>
        <v>0</v>
      </c>
      <c r="AQ535" s="27" t="s">
        <v>7</v>
      </c>
      <c r="AV535" s="33">
        <f t="shared" si="590"/>
        <v>0</v>
      </c>
      <c r="AW535" s="33">
        <f t="shared" si="591"/>
        <v>0</v>
      </c>
      <c r="AX535" s="33">
        <f t="shared" si="592"/>
        <v>0</v>
      </c>
      <c r="AY535" s="34" t="s">
        <v>1738</v>
      </c>
      <c r="AZ535" s="34" t="s">
        <v>1745</v>
      </c>
      <c r="BA535" s="28" t="s">
        <v>1752</v>
      </c>
      <c r="BC535" s="33">
        <f t="shared" si="593"/>
        <v>0</v>
      </c>
      <c r="BD535" s="33">
        <f t="shared" si="594"/>
        <v>0</v>
      </c>
      <c r="BE535" s="33">
        <v>0</v>
      </c>
      <c r="BF535" s="33">
        <f>535</f>
        <v>535</v>
      </c>
      <c r="BH535" s="16">
        <f t="shared" si="595"/>
        <v>0</v>
      </c>
      <c r="BI535" s="16">
        <f t="shared" si="596"/>
        <v>0</v>
      </c>
      <c r="BJ535" s="16">
        <f t="shared" si="597"/>
        <v>0</v>
      </c>
    </row>
    <row r="536" spans="1:62" x14ac:dyDescent="0.2">
      <c r="A536" s="73" t="s">
        <v>456</v>
      </c>
      <c r="B536" s="73" t="s">
        <v>1002</v>
      </c>
      <c r="C536" s="138" t="s">
        <v>1584</v>
      </c>
      <c r="D536" s="132"/>
      <c r="E536" s="132"/>
      <c r="F536" s="73" t="s">
        <v>1666</v>
      </c>
      <c r="G536" s="74">
        <v>20</v>
      </c>
      <c r="H536" s="166">
        <v>0</v>
      </c>
      <c r="I536" s="75">
        <f t="shared" ref="I536:I567" si="600">G536*AO536</f>
        <v>0</v>
      </c>
      <c r="J536" s="75">
        <f t="shared" ref="J536:J567" si="601">G536*AP536</f>
        <v>0</v>
      </c>
      <c r="K536" s="75">
        <f t="shared" ref="K536:K567" si="602">G536*H536</f>
        <v>0</v>
      </c>
      <c r="L536" s="80"/>
      <c r="Z536" s="33">
        <f t="shared" ref="Z536:Z567" si="603">IF(AQ536="5",BJ536,0)</f>
        <v>0</v>
      </c>
      <c r="AB536" s="33">
        <f t="shared" ref="AB536:AB567" si="604">IF(AQ536="1",BH536,0)</f>
        <v>0</v>
      </c>
      <c r="AC536" s="33">
        <f t="shared" ref="AC536:AC567" si="605">IF(AQ536="1",BI536,0)</f>
        <v>0</v>
      </c>
      <c r="AD536" s="33">
        <f t="shared" ref="AD536:AD567" si="606">IF(AQ536="7",BH536,0)</f>
        <v>0</v>
      </c>
      <c r="AE536" s="33">
        <f t="shared" ref="AE536:AE567" si="607">IF(AQ536="7",BI536,0)</f>
        <v>0</v>
      </c>
      <c r="AF536" s="33">
        <f t="shared" ref="AF536:AF567" si="608">IF(AQ536="2",BH536,0)</f>
        <v>0</v>
      </c>
      <c r="AG536" s="33">
        <f t="shared" ref="AG536:AG567" si="609">IF(AQ536="2",BI536,0)</f>
        <v>0</v>
      </c>
      <c r="AH536" s="33">
        <f t="shared" ref="AH536:AH567" si="610">IF(AQ536="0",BJ536,0)</f>
        <v>0</v>
      </c>
      <c r="AI536" s="28"/>
      <c r="AJ536" s="16">
        <f t="shared" ref="AJ536:AJ567" si="611">IF(AN536=0,K536,0)</f>
        <v>0</v>
      </c>
      <c r="AK536" s="16">
        <f t="shared" ref="AK536:AK567" si="612">IF(AN536=15,K536,0)</f>
        <v>0</v>
      </c>
      <c r="AL536" s="16">
        <f t="shared" ref="AL536:AL567" si="613">IF(AN536=21,K536,0)</f>
        <v>0</v>
      </c>
      <c r="AN536" s="33">
        <v>21</v>
      </c>
      <c r="AO536" s="33">
        <f t="shared" si="598"/>
        <v>0</v>
      </c>
      <c r="AP536" s="33">
        <f t="shared" si="599"/>
        <v>0</v>
      </c>
      <c r="AQ536" s="27" t="s">
        <v>7</v>
      </c>
      <c r="AV536" s="33">
        <f t="shared" ref="AV536:AV567" si="614">AW536+AX536</f>
        <v>0</v>
      </c>
      <c r="AW536" s="33">
        <f t="shared" ref="AW536:AW567" si="615">G536*AO536</f>
        <v>0</v>
      </c>
      <c r="AX536" s="33">
        <f t="shared" ref="AX536:AX567" si="616">G536*AP536</f>
        <v>0</v>
      </c>
      <c r="AY536" s="34" t="s">
        <v>1738</v>
      </c>
      <c r="AZ536" s="34" t="s">
        <v>1745</v>
      </c>
      <c r="BA536" s="28" t="s">
        <v>1752</v>
      </c>
      <c r="BC536" s="33">
        <f t="shared" ref="BC536:BC567" si="617">AW536+AX536</f>
        <v>0</v>
      </c>
      <c r="BD536" s="33">
        <f t="shared" ref="BD536:BD567" si="618">H536/(100-BE536)*100</f>
        <v>0</v>
      </c>
      <c r="BE536" s="33">
        <v>0</v>
      </c>
      <c r="BF536" s="33">
        <f>536</f>
        <v>536</v>
      </c>
      <c r="BH536" s="16">
        <f t="shared" ref="BH536:BH567" si="619">G536*AO536</f>
        <v>0</v>
      </c>
      <c r="BI536" s="16">
        <f t="shared" ref="BI536:BI567" si="620">G536*AP536</f>
        <v>0</v>
      </c>
      <c r="BJ536" s="16">
        <f t="shared" ref="BJ536:BJ567" si="621">G536*H536</f>
        <v>0</v>
      </c>
    </row>
    <row r="537" spans="1:62" x14ac:dyDescent="0.2">
      <c r="A537" s="4" t="s">
        <v>457</v>
      </c>
      <c r="B537" s="4" t="s">
        <v>1003</v>
      </c>
      <c r="C537" s="131" t="s">
        <v>1585</v>
      </c>
      <c r="D537" s="132"/>
      <c r="E537" s="132"/>
      <c r="F537" s="4" t="s">
        <v>1666</v>
      </c>
      <c r="G537" s="68">
        <v>620</v>
      </c>
      <c r="H537" s="162">
        <v>0</v>
      </c>
      <c r="I537" s="16">
        <f t="shared" si="600"/>
        <v>0</v>
      </c>
      <c r="J537" s="16">
        <f t="shared" si="601"/>
        <v>0</v>
      </c>
      <c r="K537" s="16">
        <f t="shared" si="602"/>
        <v>0</v>
      </c>
      <c r="L537" s="27"/>
      <c r="Z537" s="33">
        <f t="shared" si="603"/>
        <v>0</v>
      </c>
      <c r="AB537" s="33">
        <f t="shared" si="604"/>
        <v>0</v>
      </c>
      <c r="AC537" s="33">
        <f t="shared" si="605"/>
        <v>0</v>
      </c>
      <c r="AD537" s="33">
        <f t="shared" si="606"/>
        <v>0</v>
      </c>
      <c r="AE537" s="33">
        <f t="shared" si="607"/>
        <v>0</v>
      </c>
      <c r="AF537" s="33">
        <f t="shared" si="608"/>
        <v>0</v>
      </c>
      <c r="AG537" s="33">
        <f t="shared" si="609"/>
        <v>0</v>
      </c>
      <c r="AH537" s="33">
        <f t="shared" si="610"/>
        <v>0</v>
      </c>
      <c r="AI537" s="28"/>
      <c r="AJ537" s="16">
        <f t="shared" si="611"/>
        <v>0</v>
      </c>
      <c r="AK537" s="16">
        <f t="shared" si="612"/>
        <v>0</v>
      </c>
      <c r="AL537" s="16">
        <f t="shared" si="613"/>
        <v>0</v>
      </c>
      <c r="AN537" s="33">
        <v>21</v>
      </c>
      <c r="AO537" s="33">
        <f t="shared" si="598"/>
        <v>0</v>
      </c>
      <c r="AP537" s="33">
        <f t="shared" si="599"/>
        <v>0</v>
      </c>
      <c r="AQ537" s="27" t="s">
        <v>7</v>
      </c>
      <c r="AV537" s="33">
        <f t="shared" si="614"/>
        <v>0</v>
      </c>
      <c r="AW537" s="33">
        <f t="shared" si="615"/>
        <v>0</v>
      </c>
      <c r="AX537" s="33">
        <f t="shared" si="616"/>
        <v>0</v>
      </c>
      <c r="AY537" s="34" t="s">
        <v>1738</v>
      </c>
      <c r="AZ537" s="34" t="s">
        <v>1745</v>
      </c>
      <c r="BA537" s="28" t="s">
        <v>1752</v>
      </c>
      <c r="BC537" s="33">
        <f t="shared" si="617"/>
        <v>0</v>
      </c>
      <c r="BD537" s="33">
        <f t="shared" si="618"/>
        <v>0</v>
      </c>
      <c r="BE537" s="33">
        <v>0</v>
      </c>
      <c r="BF537" s="33">
        <f>537</f>
        <v>537</v>
      </c>
      <c r="BH537" s="16">
        <f t="shared" si="619"/>
        <v>0</v>
      </c>
      <c r="BI537" s="16">
        <f t="shared" si="620"/>
        <v>0</v>
      </c>
      <c r="BJ537" s="16">
        <f t="shared" si="621"/>
        <v>0</v>
      </c>
    </row>
    <row r="538" spans="1:62" x14ac:dyDescent="0.2">
      <c r="A538" s="73" t="s">
        <v>458</v>
      </c>
      <c r="B538" s="73" t="s">
        <v>1004</v>
      </c>
      <c r="C538" s="138" t="s">
        <v>1586</v>
      </c>
      <c r="D538" s="132"/>
      <c r="E538" s="132"/>
      <c r="F538" s="73" t="s">
        <v>1666</v>
      </c>
      <c r="G538" s="74">
        <v>510</v>
      </c>
      <c r="H538" s="166">
        <v>0</v>
      </c>
      <c r="I538" s="75">
        <f t="shared" si="600"/>
        <v>0</v>
      </c>
      <c r="J538" s="75">
        <f t="shared" si="601"/>
        <v>0</v>
      </c>
      <c r="K538" s="75">
        <f t="shared" si="602"/>
        <v>0</v>
      </c>
      <c r="L538" s="80"/>
      <c r="Z538" s="33">
        <f t="shared" si="603"/>
        <v>0</v>
      </c>
      <c r="AB538" s="33">
        <f t="shared" si="604"/>
        <v>0</v>
      </c>
      <c r="AC538" s="33">
        <f t="shared" si="605"/>
        <v>0</v>
      </c>
      <c r="AD538" s="33">
        <f t="shared" si="606"/>
        <v>0</v>
      </c>
      <c r="AE538" s="33">
        <f t="shared" si="607"/>
        <v>0</v>
      </c>
      <c r="AF538" s="33">
        <f t="shared" si="608"/>
        <v>0</v>
      </c>
      <c r="AG538" s="33">
        <f t="shared" si="609"/>
        <v>0</v>
      </c>
      <c r="AH538" s="33">
        <f t="shared" si="610"/>
        <v>0</v>
      </c>
      <c r="AI538" s="28"/>
      <c r="AJ538" s="16">
        <f t="shared" si="611"/>
        <v>0</v>
      </c>
      <c r="AK538" s="16">
        <f t="shared" si="612"/>
        <v>0</v>
      </c>
      <c r="AL538" s="16">
        <f t="shared" si="613"/>
        <v>0</v>
      </c>
      <c r="AN538" s="33">
        <v>21</v>
      </c>
      <c r="AO538" s="33">
        <f t="shared" si="598"/>
        <v>0</v>
      </c>
      <c r="AP538" s="33">
        <f t="shared" si="599"/>
        <v>0</v>
      </c>
      <c r="AQ538" s="27" t="s">
        <v>7</v>
      </c>
      <c r="AV538" s="33">
        <f t="shared" si="614"/>
        <v>0</v>
      </c>
      <c r="AW538" s="33">
        <f t="shared" si="615"/>
        <v>0</v>
      </c>
      <c r="AX538" s="33">
        <f t="shared" si="616"/>
        <v>0</v>
      </c>
      <c r="AY538" s="34" t="s">
        <v>1738</v>
      </c>
      <c r="AZ538" s="34" t="s">
        <v>1745</v>
      </c>
      <c r="BA538" s="28" t="s">
        <v>1752</v>
      </c>
      <c r="BC538" s="33">
        <f t="shared" si="617"/>
        <v>0</v>
      </c>
      <c r="BD538" s="33">
        <f t="shared" si="618"/>
        <v>0</v>
      </c>
      <c r="BE538" s="33">
        <v>0</v>
      </c>
      <c r="BF538" s="33">
        <f>538</f>
        <v>538</v>
      </c>
      <c r="BH538" s="16">
        <f t="shared" si="619"/>
        <v>0</v>
      </c>
      <c r="BI538" s="16">
        <f t="shared" si="620"/>
        <v>0</v>
      </c>
      <c r="BJ538" s="16">
        <f t="shared" si="621"/>
        <v>0</v>
      </c>
    </row>
    <row r="539" spans="1:62" x14ac:dyDescent="0.2">
      <c r="A539" s="73" t="s">
        <v>459</v>
      </c>
      <c r="B539" s="73" t="s">
        <v>1005</v>
      </c>
      <c r="C539" s="138" t="s">
        <v>1587</v>
      </c>
      <c r="D539" s="132"/>
      <c r="E539" s="132"/>
      <c r="F539" s="73" t="s">
        <v>1666</v>
      </c>
      <c r="G539" s="74">
        <v>110</v>
      </c>
      <c r="H539" s="166">
        <v>0</v>
      </c>
      <c r="I539" s="75">
        <f t="shared" si="600"/>
        <v>0</v>
      </c>
      <c r="J539" s="75">
        <f t="shared" si="601"/>
        <v>0</v>
      </c>
      <c r="K539" s="75">
        <f t="shared" si="602"/>
        <v>0</v>
      </c>
      <c r="L539" s="80"/>
      <c r="Z539" s="33">
        <f t="shared" si="603"/>
        <v>0</v>
      </c>
      <c r="AB539" s="33">
        <f t="shared" si="604"/>
        <v>0</v>
      </c>
      <c r="AC539" s="33">
        <f t="shared" si="605"/>
        <v>0</v>
      </c>
      <c r="AD539" s="33">
        <f t="shared" si="606"/>
        <v>0</v>
      </c>
      <c r="AE539" s="33">
        <f t="shared" si="607"/>
        <v>0</v>
      </c>
      <c r="AF539" s="33">
        <f t="shared" si="608"/>
        <v>0</v>
      </c>
      <c r="AG539" s="33">
        <f t="shared" si="609"/>
        <v>0</v>
      </c>
      <c r="AH539" s="33">
        <f t="shared" si="610"/>
        <v>0</v>
      </c>
      <c r="AI539" s="28"/>
      <c r="AJ539" s="16">
        <f t="shared" si="611"/>
        <v>0</v>
      </c>
      <c r="AK539" s="16">
        <f t="shared" si="612"/>
        <v>0</v>
      </c>
      <c r="AL539" s="16">
        <f t="shared" si="613"/>
        <v>0</v>
      </c>
      <c r="AN539" s="33">
        <v>21</v>
      </c>
      <c r="AO539" s="33">
        <f t="shared" si="598"/>
        <v>0</v>
      </c>
      <c r="AP539" s="33">
        <f t="shared" si="599"/>
        <v>0</v>
      </c>
      <c r="AQ539" s="27" t="s">
        <v>7</v>
      </c>
      <c r="AV539" s="33">
        <f t="shared" si="614"/>
        <v>0</v>
      </c>
      <c r="AW539" s="33">
        <f t="shared" si="615"/>
        <v>0</v>
      </c>
      <c r="AX539" s="33">
        <f t="shared" si="616"/>
        <v>0</v>
      </c>
      <c r="AY539" s="34" t="s">
        <v>1738</v>
      </c>
      <c r="AZ539" s="34" t="s">
        <v>1745</v>
      </c>
      <c r="BA539" s="28" t="s">
        <v>1752</v>
      </c>
      <c r="BC539" s="33">
        <f t="shared" si="617"/>
        <v>0</v>
      </c>
      <c r="BD539" s="33">
        <f t="shared" si="618"/>
        <v>0</v>
      </c>
      <c r="BE539" s="33">
        <v>0</v>
      </c>
      <c r="BF539" s="33">
        <f>539</f>
        <v>539</v>
      </c>
      <c r="BH539" s="16">
        <f t="shared" si="619"/>
        <v>0</v>
      </c>
      <c r="BI539" s="16">
        <f t="shared" si="620"/>
        <v>0</v>
      </c>
      <c r="BJ539" s="16">
        <f t="shared" si="621"/>
        <v>0</v>
      </c>
    </row>
    <row r="540" spans="1:62" x14ac:dyDescent="0.2">
      <c r="A540" s="4" t="s">
        <v>460</v>
      </c>
      <c r="B540" s="4" t="s">
        <v>1006</v>
      </c>
      <c r="C540" s="131" t="s">
        <v>1588</v>
      </c>
      <c r="D540" s="132"/>
      <c r="E540" s="132"/>
      <c r="F540" s="4" t="s">
        <v>1666</v>
      </c>
      <c r="G540" s="68">
        <v>910</v>
      </c>
      <c r="H540" s="162">
        <v>0</v>
      </c>
      <c r="I540" s="16">
        <f t="shared" si="600"/>
        <v>0</v>
      </c>
      <c r="J540" s="16">
        <f t="shared" si="601"/>
        <v>0</v>
      </c>
      <c r="K540" s="16">
        <f t="shared" si="602"/>
        <v>0</v>
      </c>
      <c r="L540" s="27"/>
      <c r="Z540" s="33">
        <f t="shared" si="603"/>
        <v>0</v>
      </c>
      <c r="AB540" s="33">
        <f t="shared" si="604"/>
        <v>0</v>
      </c>
      <c r="AC540" s="33">
        <f t="shared" si="605"/>
        <v>0</v>
      </c>
      <c r="AD540" s="33">
        <f t="shared" si="606"/>
        <v>0</v>
      </c>
      <c r="AE540" s="33">
        <f t="shared" si="607"/>
        <v>0</v>
      </c>
      <c r="AF540" s="33">
        <f t="shared" si="608"/>
        <v>0</v>
      </c>
      <c r="AG540" s="33">
        <f t="shared" si="609"/>
        <v>0</v>
      </c>
      <c r="AH540" s="33">
        <f t="shared" si="610"/>
        <v>0</v>
      </c>
      <c r="AI540" s="28"/>
      <c r="AJ540" s="16">
        <f t="shared" si="611"/>
        <v>0</v>
      </c>
      <c r="AK540" s="16">
        <f t="shared" si="612"/>
        <v>0</v>
      </c>
      <c r="AL540" s="16">
        <f t="shared" si="613"/>
        <v>0</v>
      </c>
      <c r="AN540" s="33">
        <v>21</v>
      </c>
      <c r="AO540" s="33">
        <f t="shared" si="598"/>
        <v>0</v>
      </c>
      <c r="AP540" s="33">
        <f t="shared" si="599"/>
        <v>0</v>
      </c>
      <c r="AQ540" s="27" t="s">
        <v>7</v>
      </c>
      <c r="AV540" s="33">
        <f t="shared" si="614"/>
        <v>0</v>
      </c>
      <c r="AW540" s="33">
        <f t="shared" si="615"/>
        <v>0</v>
      </c>
      <c r="AX540" s="33">
        <f t="shared" si="616"/>
        <v>0</v>
      </c>
      <c r="AY540" s="34" t="s">
        <v>1738</v>
      </c>
      <c r="AZ540" s="34" t="s">
        <v>1745</v>
      </c>
      <c r="BA540" s="28" t="s">
        <v>1752</v>
      </c>
      <c r="BC540" s="33">
        <f t="shared" si="617"/>
        <v>0</v>
      </c>
      <c r="BD540" s="33">
        <f t="shared" si="618"/>
        <v>0</v>
      </c>
      <c r="BE540" s="33">
        <v>0</v>
      </c>
      <c r="BF540" s="33">
        <f>540</f>
        <v>540</v>
      </c>
      <c r="BH540" s="16">
        <f t="shared" si="619"/>
        <v>0</v>
      </c>
      <c r="BI540" s="16">
        <f t="shared" si="620"/>
        <v>0</v>
      </c>
      <c r="BJ540" s="16">
        <f t="shared" si="621"/>
        <v>0</v>
      </c>
    </row>
    <row r="541" spans="1:62" x14ac:dyDescent="0.2">
      <c r="A541" s="73" t="s">
        <v>461</v>
      </c>
      <c r="B541" s="73" t="s">
        <v>1007</v>
      </c>
      <c r="C541" s="138" t="s">
        <v>1589</v>
      </c>
      <c r="D541" s="132"/>
      <c r="E541" s="132"/>
      <c r="F541" s="73" t="s">
        <v>1666</v>
      </c>
      <c r="G541" s="74">
        <v>790</v>
      </c>
      <c r="H541" s="166">
        <v>0</v>
      </c>
      <c r="I541" s="75">
        <f t="shared" si="600"/>
        <v>0</v>
      </c>
      <c r="J541" s="75">
        <f t="shared" si="601"/>
        <v>0</v>
      </c>
      <c r="K541" s="75">
        <f t="shared" si="602"/>
        <v>0</v>
      </c>
      <c r="L541" s="80"/>
      <c r="Z541" s="33">
        <f t="shared" si="603"/>
        <v>0</v>
      </c>
      <c r="AB541" s="33">
        <f t="shared" si="604"/>
        <v>0</v>
      </c>
      <c r="AC541" s="33">
        <f t="shared" si="605"/>
        <v>0</v>
      </c>
      <c r="AD541" s="33">
        <f t="shared" si="606"/>
        <v>0</v>
      </c>
      <c r="AE541" s="33">
        <f t="shared" si="607"/>
        <v>0</v>
      </c>
      <c r="AF541" s="33">
        <f t="shared" si="608"/>
        <v>0</v>
      </c>
      <c r="AG541" s="33">
        <f t="shared" si="609"/>
        <v>0</v>
      </c>
      <c r="AH541" s="33">
        <f t="shared" si="610"/>
        <v>0</v>
      </c>
      <c r="AI541" s="28"/>
      <c r="AJ541" s="16">
        <f t="shared" si="611"/>
        <v>0</v>
      </c>
      <c r="AK541" s="16">
        <f t="shared" si="612"/>
        <v>0</v>
      </c>
      <c r="AL541" s="16">
        <f t="shared" si="613"/>
        <v>0</v>
      </c>
      <c r="AN541" s="33">
        <v>21</v>
      </c>
      <c r="AO541" s="33">
        <f t="shared" si="598"/>
        <v>0</v>
      </c>
      <c r="AP541" s="33">
        <f t="shared" si="599"/>
        <v>0</v>
      </c>
      <c r="AQ541" s="27" t="s">
        <v>7</v>
      </c>
      <c r="AV541" s="33">
        <f t="shared" si="614"/>
        <v>0</v>
      </c>
      <c r="AW541" s="33">
        <f t="shared" si="615"/>
        <v>0</v>
      </c>
      <c r="AX541" s="33">
        <f t="shared" si="616"/>
        <v>0</v>
      </c>
      <c r="AY541" s="34" t="s">
        <v>1738</v>
      </c>
      <c r="AZ541" s="34" t="s">
        <v>1745</v>
      </c>
      <c r="BA541" s="28" t="s">
        <v>1752</v>
      </c>
      <c r="BC541" s="33">
        <f t="shared" si="617"/>
        <v>0</v>
      </c>
      <c r="BD541" s="33">
        <f t="shared" si="618"/>
        <v>0</v>
      </c>
      <c r="BE541" s="33">
        <v>0</v>
      </c>
      <c r="BF541" s="33">
        <f>541</f>
        <v>541</v>
      </c>
      <c r="BH541" s="16">
        <f t="shared" si="619"/>
        <v>0</v>
      </c>
      <c r="BI541" s="16">
        <f t="shared" si="620"/>
        <v>0</v>
      </c>
      <c r="BJ541" s="16">
        <f t="shared" si="621"/>
        <v>0</v>
      </c>
    </row>
    <row r="542" spans="1:62" x14ac:dyDescent="0.2">
      <c r="A542" s="73" t="s">
        <v>462</v>
      </c>
      <c r="B542" s="73" t="s">
        <v>1008</v>
      </c>
      <c r="C542" s="138" t="s">
        <v>1590</v>
      </c>
      <c r="D542" s="132"/>
      <c r="E542" s="132"/>
      <c r="F542" s="73" t="s">
        <v>1666</v>
      </c>
      <c r="G542" s="74">
        <v>120</v>
      </c>
      <c r="H542" s="166">
        <v>0</v>
      </c>
      <c r="I542" s="75">
        <f t="shared" si="600"/>
        <v>0</v>
      </c>
      <c r="J542" s="75">
        <f t="shared" si="601"/>
        <v>0</v>
      </c>
      <c r="K542" s="75">
        <f t="shared" si="602"/>
        <v>0</v>
      </c>
      <c r="L542" s="80"/>
      <c r="Z542" s="33">
        <f t="shared" si="603"/>
        <v>0</v>
      </c>
      <c r="AB542" s="33">
        <f t="shared" si="604"/>
        <v>0</v>
      </c>
      <c r="AC542" s="33">
        <f t="shared" si="605"/>
        <v>0</v>
      </c>
      <c r="AD542" s="33">
        <f t="shared" si="606"/>
        <v>0</v>
      </c>
      <c r="AE542" s="33">
        <f t="shared" si="607"/>
        <v>0</v>
      </c>
      <c r="AF542" s="33">
        <f t="shared" si="608"/>
        <v>0</v>
      </c>
      <c r="AG542" s="33">
        <f t="shared" si="609"/>
        <v>0</v>
      </c>
      <c r="AH542" s="33">
        <f t="shared" si="610"/>
        <v>0</v>
      </c>
      <c r="AI542" s="28"/>
      <c r="AJ542" s="16">
        <f t="shared" si="611"/>
        <v>0</v>
      </c>
      <c r="AK542" s="16">
        <f t="shared" si="612"/>
        <v>0</v>
      </c>
      <c r="AL542" s="16">
        <f t="shared" si="613"/>
        <v>0</v>
      </c>
      <c r="AN542" s="33">
        <v>21</v>
      </c>
      <c r="AO542" s="33">
        <f t="shared" si="598"/>
        <v>0</v>
      </c>
      <c r="AP542" s="33">
        <f t="shared" si="599"/>
        <v>0</v>
      </c>
      <c r="AQ542" s="27" t="s">
        <v>7</v>
      </c>
      <c r="AV542" s="33">
        <f t="shared" si="614"/>
        <v>0</v>
      </c>
      <c r="AW542" s="33">
        <f t="shared" si="615"/>
        <v>0</v>
      </c>
      <c r="AX542" s="33">
        <f t="shared" si="616"/>
        <v>0</v>
      </c>
      <c r="AY542" s="34" t="s">
        <v>1738</v>
      </c>
      <c r="AZ542" s="34" t="s">
        <v>1745</v>
      </c>
      <c r="BA542" s="28" t="s">
        <v>1752</v>
      </c>
      <c r="BC542" s="33">
        <f t="shared" si="617"/>
        <v>0</v>
      </c>
      <c r="BD542" s="33">
        <f t="shared" si="618"/>
        <v>0</v>
      </c>
      <c r="BE542" s="33">
        <v>0</v>
      </c>
      <c r="BF542" s="33">
        <f>542</f>
        <v>542</v>
      </c>
      <c r="BH542" s="16">
        <f t="shared" si="619"/>
        <v>0</v>
      </c>
      <c r="BI542" s="16">
        <f t="shared" si="620"/>
        <v>0</v>
      </c>
      <c r="BJ542" s="16">
        <f t="shared" si="621"/>
        <v>0</v>
      </c>
    </row>
    <row r="543" spans="1:62" x14ac:dyDescent="0.2">
      <c r="A543" s="4" t="s">
        <v>463</v>
      </c>
      <c r="B543" s="4" t="s">
        <v>1009</v>
      </c>
      <c r="C543" s="131" t="s">
        <v>1591</v>
      </c>
      <c r="D543" s="132"/>
      <c r="E543" s="132"/>
      <c r="F543" s="4" t="s">
        <v>1666</v>
      </c>
      <c r="G543" s="68">
        <v>160</v>
      </c>
      <c r="H543" s="162">
        <v>0</v>
      </c>
      <c r="I543" s="16">
        <f t="shared" si="600"/>
        <v>0</v>
      </c>
      <c r="J543" s="16">
        <f t="shared" si="601"/>
        <v>0</v>
      </c>
      <c r="K543" s="16">
        <f t="shared" si="602"/>
        <v>0</v>
      </c>
      <c r="L543" s="27"/>
      <c r="Z543" s="33">
        <f t="shared" si="603"/>
        <v>0</v>
      </c>
      <c r="AB543" s="33">
        <f t="shared" si="604"/>
        <v>0</v>
      </c>
      <c r="AC543" s="33">
        <f t="shared" si="605"/>
        <v>0</v>
      </c>
      <c r="AD543" s="33">
        <f t="shared" si="606"/>
        <v>0</v>
      </c>
      <c r="AE543" s="33">
        <f t="shared" si="607"/>
        <v>0</v>
      </c>
      <c r="AF543" s="33">
        <f t="shared" si="608"/>
        <v>0</v>
      </c>
      <c r="AG543" s="33">
        <f t="shared" si="609"/>
        <v>0</v>
      </c>
      <c r="AH543" s="33">
        <f t="shared" si="610"/>
        <v>0</v>
      </c>
      <c r="AI543" s="28"/>
      <c r="AJ543" s="16">
        <f t="shared" si="611"/>
        <v>0</v>
      </c>
      <c r="AK543" s="16">
        <f t="shared" si="612"/>
        <v>0</v>
      </c>
      <c r="AL543" s="16">
        <f t="shared" si="613"/>
        <v>0</v>
      </c>
      <c r="AN543" s="33">
        <v>21</v>
      </c>
      <c r="AO543" s="33">
        <f t="shared" si="598"/>
        <v>0</v>
      </c>
      <c r="AP543" s="33">
        <f t="shared" si="599"/>
        <v>0</v>
      </c>
      <c r="AQ543" s="27" t="s">
        <v>7</v>
      </c>
      <c r="AV543" s="33">
        <f t="shared" si="614"/>
        <v>0</v>
      </c>
      <c r="AW543" s="33">
        <f t="shared" si="615"/>
        <v>0</v>
      </c>
      <c r="AX543" s="33">
        <f t="shared" si="616"/>
        <v>0</v>
      </c>
      <c r="AY543" s="34" t="s">
        <v>1738</v>
      </c>
      <c r="AZ543" s="34" t="s">
        <v>1745</v>
      </c>
      <c r="BA543" s="28" t="s">
        <v>1752</v>
      </c>
      <c r="BC543" s="33">
        <f t="shared" si="617"/>
        <v>0</v>
      </c>
      <c r="BD543" s="33">
        <f t="shared" si="618"/>
        <v>0</v>
      </c>
      <c r="BE543" s="33">
        <v>0</v>
      </c>
      <c r="BF543" s="33">
        <f>543</f>
        <v>543</v>
      </c>
      <c r="BH543" s="16">
        <f t="shared" si="619"/>
        <v>0</v>
      </c>
      <c r="BI543" s="16">
        <f t="shared" si="620"/>
        <v>0</v>
      </c>
      <c r="BJ543" s="16">
        <f t="shared" si="621"/>
        <v>0</v>
      </c>
    </row>
    <row r="544" spans="1:62" x14ac:dyDescent="0.2">
      <c r="A544" s="73" t="s">
        <v>464</v>
      </c>
      <c r="B544" s="73" t="s">
        <v>1010</v>
      </c>
      <c r="C544" s="138" t="s">
        <v>1592</v>
      </c>
      <c r="D544" s="132"/>
      <c r="E544" s="132"/>
      <c r="F544" s="73" t="s">
        <v>1666</v>
      </c>
      <c r="G544" s="74">
        <v>80</v>
      </c>
      <c r="H544" s="166">
        <v>0</v>
      </c>
      <c r="I544" s="75">
        <f t="shared" si="600"/>
        <v>0</v>
      </c>
      <c r="J544" s="75">
        <f t="shared" si="601"/>
        <v>0</v>
      </c>
      <c r="K544" s="75">
        <f t="shared" si="602"/>
        <v>0</v>
      </c>
      <c r="L544" s="80"/>
      <c r="Z544" s="33">
        <f t="shared" si="603"/>
        <v>0</v>
      </c>
      <c r="AB544" s="33">
        <f t="shared" si="604"/>
        <v>0</v>
      </c>
      <c r="AC544" s="33">
        <f t="shared" si="605"/>
        <v>0</v>
      </c>
      <c r="AD544" s="33">
        <f t="shared" si="606"/>
        <v>0</v>
      </c>
      <c r="AE544" s="33">
        <f t="shared" si="607"/>
        <v>0</v>
      </c>
      <c r="AF544" s="33">
        <f t="shared" si="608"/>
        <v>0</v>
      </c>
      <c r="AG544" s="33">
        <f t="shared" si="609"/>
        <v>0</v>
      </c>
      <c r="AH544" s="33">
        <f t="shared" si="610"/>
        <v>0</v>
      </c>
      <c r="AI544" s="28"/>
      <c r="AJ544" s="16">
        <f t="shared" si="611"/>
        <v>0</v>
      </c>
      <c r="AK544" s="16">
        <f t="shared" si="612"/>
        <v>0</v>
      </c>
      <c r="AL544" s="16">
        <f t="shared" si="613"/>
        <v>0</v>
      </c>
      <c r="AN544" s="33">
        <v>21</v>
      </c>
      <c r="AO544" s="33">
        <f t="shared" si="598"/>
        <v>0</v>
      </c>
      <c r="AP544" s="33">
        <f t="shared" si="599"/>
        <v>0</v>
      </c>
      <c r="AQ544" s="27" t="s">
        <v>7</v>
      </c>
      <c r="AV544" s="33">
        <f t="shared" si="614"/>
        <v>0</v>
      </c>
      <c r="AW544" s="33">
        <f t="shared" si="615"/>
        <v>0</v>
      </c>
      <c r="AX544" s="33">
        <f t="shared" si="616"/>
        <v>0</v>
      </c>
      <c r="AY544" s="34" t="s">
        <v>1738</v>
      </c>
      <c r="AZ544" s="34" t="s">
        <v>1745</v>
      </c>
      <c r="BA544" s="28" t="s">
        <v>1752</v>
      </c>
      <c r="BC544" s="33">
        <f t="shared" si="617"/>
        <v>0</v>
      </c>
      <c r="BD544" s="33">
        <f t="shared" si="618"/>
        <v>0</v>
      </c>
      <c r="BE544" s="33">
        <v>0</v>
      </c>
      <c r="BF544" s="33">
        <f>544</f>
        <v>544</v>
      </c>
      <c r="BH544" s="16">
        <f t="shared" si="619"/>
        <v>0</v>
      </c>
      <c r="BI544" s="16">
        <f t="shared" si="620"/>
        <v>0</v>
      </c>
      <c r="BJ544" s="16">
        <f t="shared" si="621"/>
        <v>0</v>
      </c>
    </row>
    <row r="545" spans="1:62" x14ac:dyDescent="0.2">
      <c r="A545" s="73" t="s">
        <v>465</v>
      </c>
      <c r="B545" s="73" t="s">
        <v>1011</v>
      </c>
      <c r="C545" s="138" t="s">
        <v>1593</v>
      </c>
      <c r="D545" s="132"/>
      <c r="E545" s="132"/>
      <c r="F545" s="73" t="s">
        <v>1666</v>
      </c>
      <c r="G545" s="74">
        <v>80</v>
      </c>
      <c r="H545" s="166">
        <v>0</v>
      </c>
      <c r="I545" s="75">
        <f t="shared" si="600"/>
        <v>0</v>
      </c>
      <c r="J545" s="75">
        <f t="shared" si="601"/>
        <v>0</v>
      </c>
      <c r="K545" s="75">
        <f t="shared" si="602"/>
        <v>0</v>
      </c>
      <c r="L545" s="80"/>
      <c r="Z545" s="33">
        <f t="shared" si="603"/>
        <v>0</v>
      </c>
      <c r="AB545" s="33">
        <f t="shared" si="604"/>
        <v>0</v>
      </c>
      <c r="AC545" s="33">
        <f t="shared" si="605"/>
        <v>0</v>
      </c>
      <c r="AD545" s="33">
        <f t="shared" si="606"/>
        <v>0</v>
      </c>
      <c r="AE545" s="33">
        <f t="shared" si="607"/>
        <v>0</v>
      </c>
      <c r="AF545" s="33">
        <f t="shared" si="608"/>
        <v>0</v>
      </c>
      <c r="AG545" s="33">
        <f t="shared" si="609"/>
        <v>0</v>
      </c>
      <c r="AH545" s="33">
        <f t="shared" si="610"/>
        <v>0</v>
      </c>
      <c r="AI545" s="28"/>
      <c r="AJ545" s="16">
        <f t="shared" si="611"/>
        <v>0</v>
      </c>
      <c r="AK545" s="16">
        <f t="shared" si="612"/>
        <v>0</v>
      </c>
      <c r="AL545" s="16">
        <f t="shared" si="613"/>
        <v>0</v>
      </c>
      <c r="AN545" s="33">
        <v>21</v>
      </c>
      <c r="AO545" s="33">
        <f t="shared" si="598"/>
        <v>0</v>
      </c>
      <c r="AP545" s="33">
        <f t="shared" si="599"/>
        <v>0</v>
      </c>
      <c r="AQ545" s="27" t="s">
        <v>7</v>
      </c>
      <c r="AV545" s="33">
        <f t="shared" si="614"/>
        <v>0</v>
      </c>
      <c r="AW545" s="33">
        <f t="shared" si="615"/>
        <v>0</v>
      </c>
      <c r="AX545" s="33">
        <f t="shared" si="616"/>
        <v>0</v>
      </c>
      <c r="AY545" s="34" t="s">
        <v>1738</v>
      </c>
      <c r="AZ545" s="34" t="s">
        <v>1745</v>
      </c>
      <c r="BA545" s="28" t="s">
        <v>1752</v>
      </c>
      <c r="BC545" s="33">
        <f t="shared" si="617"/>
        <v>0</v>
      </c>
      <c r="BD545" s="33">
        <f t="shared" si="618"/>
        <v>0</v>
      </c>
      <c r="BE545" s="33">
        <v>0</v>
      </c>
      <c r="BF545" s="33">
        <f>545</f>
        <v>545</v>
      </c>
      <c r="BH545" s="16">
        <f t="shared" si="619"/>
        <v>0</v>
      </c>
      <c r="BI545" s="16">
        <f t="shared" si="620"/>
        <v>0</v>
      </c>
      <c r="BJ545" s="16">
        <f t="shared" si="621"/>
        <v>0</v>
      </c>
    </row>
    <row r="546" spans="1:62" x14ac:dyDescent="0.2">
      <c r="A546" s="4" t="s">
        <v>466</v>
      </c>
      <c r="B546" s="4" t="s">
        <v>1012</v>
      </c>
      <c r="C546" s="131" t="s">
        <v>1594</v>
      </c>
      <c r="D546" s="132"/>
      <c r="E546" s="132"/>
      <c r="F546" s="4" t="s">
        <v>1665</v>
      </c>
      <c r="G546" s="68">
        <v>175</v>
      </c>
      <c r="H546" s="162">
        <v>0</v>
      </c>
      <c r="I546" s="16">
        <f t="shared" si="600"/>
        <v>0</v>
      </c>
      <c r="J546" s="16">
        <f t="shared" si="601"/>
        <v>0</v>
      </c>
      <c r="K546" s="16">
        <f t="shared" si="602"/>
        <v>0</v>
      </c>
      <c r="L546" s="27"/>
      <c r="Z546" s="33">
        <f t="shared" si="603"/>
        <v>0</v>
      </c>
      <c r="AB546" s="33">
        <f t="shared" si="604"/>
        <v>0</v>
      </c>
      <c r="AC546" s="33">
        <f t="shared" si="605"/>
        <v>0</v>
      </c>
      <c r="AD546" s="33">
        <f t="shared" si="606"/>
        <v>0</v>
      </c>
      <c r="AE546" s="33">
        <f t="shared" si="607"/>
        <v>0</v>
      </c>
      <c r="AF546" s="33">
        <f t="shared" si="608"/>
        <v>0</v>
      </c>
      <c r="AG546" s="33">
        <f t="shared" si="609"/>
        <v>0</v>
      </c>
      <c r="AH546" s="33">
        <f t="shared" si="610"/>
        <v>0</v>
      </c>
      <c r="AI546" s="28"/>
      <c r="AJ546" s="16">
        <f t="shared" si="611"/>
        <v>0</v>
      </c>
      <c r="AK546" s="16">
        <f t="shared" si="612"/>
        <v>0</v>
      </c>
      <c r="AL546" s="16">
        <f t="shared" si="613"/>
        <v>0</v>
      </c>
      <c r="AN546" s="33">
        <v>21</v>
      </c>
      <c r="AO546" s="33">
        <f t="shared" si="598"/>
        <v>0</v>
      </c>
      <c r="AP546" s="33">
        <f t="shared" si="599"/>
        <v>0</v>
      </c>
      <c r="AQ546" s="27" t="s">
        <v>7</v>
      </c>
      <c r="AV546" s="33">
        <f t="shared" si="614"/>
        <v>0</v>
      </c>
      <c r="AW546" s="33">
        <f t="shared" si="615"/>
        <v>0</v>
      </c>
      <c r="AX546" s="33">
        <f t="shared" si="616"/>
        <v>0</v>
      </c>
      <c r="AY546" s="34" t="s">
        <v>1738</v>
      </c>
      <c r="AZ546" s="34" t="s">
        <v>1745</v>
      </c>
      <c r="BA546" s="28" t="s">
        <v>1752</v>
      </c>
      <c r="BC546" s="33">
        <f t="shared" si="617"/>
        <v>0</v>
      </c>
      <c r="BD546" s="33">
        <f t="shared" si="618"/>
        <v>0</v>
      </c>
      <c r="BE546" s="33">
        <v>0</v>
      </c>
      <c r="BF546" s="33">
        <f>546</f>
        <v>546</v>
      </c>
      <c r="BH546" s="16">
        <f t="shared" si="619"/>
        <v>0</v>
      </c>
      <c r="BI546" s="16">
        <f t="shared" si="620"/>
        <v>0</v>
      </c>
      <c r="BJ546" s="16">
        <f t="shared" si="621"/>
        <v>0</v>
      </c>
    </row>
    <row r="547" spans="1:62" x14ac:dyDescent="0.2">
      <c r="A547" s="73" t="s">
        <v>467</v>
      </c>
      <c r="B547" s="73" t="s">
        <v>1013</v>
      </c>
      <c r="C547" s="138" t="s">
        <v>1595</v>
      </c>
      <c r="D547" s="132"/>
      <c r="E547" s="132"/>
      <c r="F547" s="73" t="s">
        <v>1665</v>
      </c>
      <c r="G547" s="74">
        <v>64</v>
      </c>
      <c r="H547" s="166">
        <v>0</v>
      </c>
      <c r="I547" s="75">
        <f t="shared" si="600"/>
        <v>0</v>
      </c>
      <c r="J547" s="75">
        <f t="shared" si="601"/>
        <v>0</v>
      </c>
      <c r="K547" s="75">
        <f t="shared" si="602"/>
        <v>0</v>
      </c>
      <c r="L547" s="80"/>
      <c r="Z547" s="33">
        <f t="shared" si="603"/>
        <v>0</v>
      </c>
      <c r="AB547" s="33">
        <f t="shared" si="604"/>
        <v>0</v>
      </c>
      <c r="AC547" s="33">
        <f t="shared" si="605"/>
        <v>0</v>
      </c>
      <c r="AD547" s="33">
        <f t="shared" si="606"/>
        <v>0</v>
      </c>
      <c r="AE547" s="33">
        <f t="shared" si="607"/>
        <v>0</v>
      </c>
      <c r="AF547" s="33">
        <f t="shared" si="608"/>
        <v>0</v>
      </c>
      <c r="AG547" s="33">
        <f t="shared" si="609"/>
        <v>0</v>
      </c>
      <c r="AH547" s="33">
        <f t="shared" si="610"/>
        <v>0</v>
      </c>
      <c r="AI547" s="28"/>
      <c r="AJ547" s="16">
        <f t="shared" si="611"/>
        <v>0</v>
      </c>
      <c r="AK547" s="16">
        <f t="shared" si="612"/>
        <v>0</v>
      </c>
      <c r="AL547" s="16">
        <f t="shared" si="613"/>
        <v>0</v>
      </c>
      <c r="AN547" s="33">
        <v>21</v>
      </c>
      <c r="AO547" s="33">
        <f t="shared" si="598"/>
        <v>0</v>
      </c>
      <c r="AP547" s="33">
        <f t="shared" si="599"/>
        <v>0</v>
      </c>
      <c r="AQ547" s="27" t="s">
        <v>7</v>
      </c>
      <c r="AV547" s="33">
        <f t="shared" si="614"/>
        <v>0</v>
      </c>
      <c r="AW547" s="33">
        <f t="shared" si="615"/>
        <v>0</v>
      </c>
      <c r="AX547" s="33">
        <f t="shared" si="616"/>
        <v>0</v>
      </c>
      <c r="AY547" s="34" t="s">
        <v>1738</v>
      </c>
      <c r="AZ547" s="34" t="s">
        <v>1745</v>
      </c>
      <c r="BA547" s="28" t="s">
        <v>1752</v>
      </c>
      <c r="BC547" s="33">
        <f t="shared" si="617"/>
        <v>0</v>
      </c>
      <c r="BD547" s="33">
        <f t="shared" si="618"/>
        <v>0</v>
      </c>
      <c r="BE547" s="33">
        <v>0</v>
      </c>
      <c r="BF547" s="33">
        <f>547</f>
        <v>547</v>
      </c>
      <c r="BH547" s="16">
        <f t="shared" si="619"/>
        <v>0</v>
      </c>
      <c r="BI547" s="16">
        <f t="shared" si="620"/>
        <v>0</v>
      </c>
      <c r="BJ547" s="16">
        <f t="shared" si="621"/>
        <v>0</v>
      </c>
    </row>
    <row r="548" spans="1:62" x14ac:dyDescent="0.2">
      <c r="A548" s="73" t="s">
        <v>468</v>
      </c>
      <c r="B548" s="73" t="s">
        <v>1014</v>
      </c>
      <c r="C548" s="138" t="s">
        <v>1596</v>
      </c>
      <c r="D548" s="132"/>
      <c r="E548" s="132"/>
      <c r="F548" s="73" t="s">
        <v>1665</v>
      </c>
      <c r="G548" s="74">
        <v>4</v>
      </c>
      <c r="H548" s="166">
        <v>0</v>
      </c>
      <c r="I548" s="75">
        <f t="shared" si="600"/>
        <v>0</v>
      </c>
      <c r="J548" s="75">
        <f t="shared" si="601"/>
        <v>0</v>
      </c>
      <c r="K548" s="75">
        <f t="shared" si="602"/>
        <v>0</v>
      </c>
      <c r="L548" s="80"/>
      <c r="Z548" s="33">
        <f t="shared" si="603"/>
        <v>0</v>
      </c>
      <c r="AB548" s="33">
        <f t="shared" si="604"/>
        <v>0</v>
      </c>
      <c r="AC548" s="33">
        <f t="shared" si="605"/>
        <v>0</v>
      </c>
      <c r="AD548" s="33">
        <f t="shared" si="606"/>
        <v>0</v>
      </c>
      <c r="AE548" s="33">
        <f t="shared" si="607"/>
        <v>0</v>
      </c>
      <c r="AF548" s="33">
        <f t="shared" si="608"/>
        <v>0</v>
      </c>
      <c r="AG548" s="33">
        <f t="shared" si="609"/>
        <v>0</v>
      </c>
      <c r="AH548" s="33">
        <f t="shared" si="610"/>
        <v>0</v>
      </c>
      <c r="AI548" s="28"/>
      <c r="AJ548" s="16">
        <f t="shared" si="611"/>
        <v>0</v>
      </c>
      <c r="AK548" s="16">
        <f t="shared" si="612"/>
        <v>0</v>
      </c>
      <c r="AL548" s="16">
        <f t="shared" si="613"/>
        <v>0</v>
      </c>
      <c r="AN548" s="33">
        <v>21</v>
      </c>
      <c r="AO548" s="33">
        <f t="shared" ref="AO548:AO579" si="622">H548*0</f>
        <v>0</v>
      </c>
      <c r="AP548" s="33">
        <f t="shared" ref="AP548:AP579" si="623">H548*(1-0)</f>
        <v>0</v>
      </c>
      <c r="AQ548" s="27" t="s">
        <v>7</v>
      </c>
      <c r="AV548" s="33">
        <f t="shared" si="614"/>
        <v>0</v>
      </c>
      <c r="AW548" s="33">
        <f t="shared" si="615"/>
        <v>0</v>
      </c>
      <c r="AX548" s="33">
        <f t="shared" si="616"/>
        <v>0</v>
      </c>
      <c r="AY548" s="34" t="s">
        <v>1738</v>
      </c>
      <c r="AZ548" s="34" t="s">
        <v>1745</v>
      </c>
      <c r="BA548" s="28" t="s">
        <v>1752</v>
      </c>
      <c r="BC548" s="33">
        <f t="shared" si="617"/>
        <v>0</v>
      </c>
      <c r="BD548" s="33">
        <f t="shared" si="618"/>
        <v>0</v>
      </c>
      <c r="BE548" s="33">
        <v>0</v>
      </c>
      <c r="BF548" s="33">
        <f>548</f>
        <v>548</v>
      </c>
      <c r="BH548" s="16">
        <f t="shared" si="619"/>
        <v>0</v>
      </c>
      <c r="BI548" s="16">
        <f t="shared" si="620"/>
        <v>0</v>
      </c>
      <c r="BJ548" s="16">
        <f t="shared" si="621"/>
        <v>0</v>
      </c>
    </row>
    <row r="549" spans="1:62" x14ac:dyDescent="0.2">
      <c r="A549" s="73" t="s">
        <v>469</v>
      </c>
      <c r="B549" s="73" t="s">
        <v>1015</v>
      </c>
      <c r="C549" s="138" t="s">
        <v>1597</v>
      </c>
      <c r="D549" s="132"/>
      <c r="E549" s="132"/>
      <c r="F549" s="73" t="s">
        <v>1665</v>
      </c>
      <c r="G549" s="74">
        <v>24</v>
      </c>
      <c r="H549" s="166">
        <v>0</v>
      </c>
      <c r="I549" s="75">
        <f t="shared" si="600"/>
        <v>0</v>
      </c>
      <c r="J549" s="75">
        <f t="shared" si="601"/>
        <v>0</v>
      </c>
      <c r="K549" s="75">
        <f t="shared" si="602"/>
        <v>0</v>
      </c>
      <c r="L549" s="80"/>
      <c r="Z549" s="33">
        <f t="shared" si="603"/>
        <v>0</v>
      </c>
      <c r="AB549" s="33">
        <f t="shared" si="604"/>
        <v>0</v>
      </c>
      <c r="AC549" s="33">
        <f t="shared" si="605"/>
        <v>0</v>
      </c>
      <c r="AD549" s="33">
        <f t="shared" si="606"/>
        <v>0</v>
      </c>
      <c r="AE549" s="33">
        <f t="shared" si="607"/>
        <v>0</v>
      </c>
      <c r="AF549" s="33">
        <f t="shared" si="608"/>
        <v>0</v>
      </c>
      <c r="AG549" s="33">
        <f t="shared" si="609"/>
        <v>0</v>
      </c>
      <c r="AH549" s="33">
        <f t="shared" si="610"/>
        <v>0</v>
      </c>
      <c r="AI549" s="28"/>
      <c r="AJ549" s="16">
        <f t="shared" si="611"/>
        <v>0</v>
      </c>
      <c r="AK549" s="16">
        <f t="shared" si="612"/>
        <v>0</v>
      </c>
      <c r="AL549" s="16">
        <f t="shared" si="613"/>
        <v>0</v>
      </c>
      <c r="AN549" s="33">
        <v>21</v>
      </c>
      <c r="AO549" s="33">
        <f t="shared" si="622"/>
        <v>0</v>
      </c>
      <c r="AP549" s="33">
        <f t="shared" si="623"/>
        <v>0</v>
      </c>
      <c r="AQ549" s="27" t="s">
        <v>7</v>
      </c>
      <c r="AV549" s="33">
        <f t="shared" si="614"/>
        <v>0</v>
      </c>
      <c r="AW549" s="33">
        <f t="shared" si="615"/>
        <v>0</v>
      </c>
      <c r="AX549" s="33">
        <f t="shared" si="616"/>
        <v>0</v>
      </c>
      <c r="AY549" s="34" t="s">
        <v>1738</v>
      </c>
      <c r="AZ549" s="34" t="s">
        <v>1745</v>
      </c>
      <c r="BA549" s="28" t="s">
        <v>1752</v>
      </c>
      <c r="BC549" s="33">
        <f t="shared" si="617"/>
        <v>0</v>
      </c>
      <c r="BD549" s="33">
        <f t="shared" si="618"/>
        <v>0</v>
      </c>
      <c r="BE549" s="33">
        <v>0</v>
      </c>
      <c r="BF549" s="33">
        <f>549</f>
        <v>549</v>
      </c>
      <c r="BH549" s="16">
        <f t="shared" si="619"/>
        <v>0</v>
      </c>
      <c r="BI549" s="16">
        <f t="shared" si="620"/>
        <v>0</v>
      </c>
      <c r="BJ549" s="16">
        <f t="shared" si="621"/>
        <v>0</v>
      </c>
    </row>
    <row r="550" spans="1:62" x14ac:dyDescent="0.2">
      <c r="A550" s="73" t="s">
        <v>470</v>
      </c>
      <c r="B550" s="73" t="s">
        <v>1016</v>
      </c>
      <c r="C550" s="138" t="s">
        <v>1598</v>
      </c>
      <c r="D550" s="132"/>
      <c r="E550" s="132"/>
      <c r="F550" s="73" t="s">
        <v>1673</v>
      </c>
      <c r="G550" s="74">
        <v>50</v>
      </c>
      <c r="H550" s="166">
        <v>0</v>
      </c>
      <c r="I550" s="75">
        <f t="shared" si="600"/>
        <v>0</v>
      </c>
      <c r="J550" s="75">
        <f t="shared" si="601"/>
        <v>0</v>
      </c>
      <c r="K550" s="75">
        <f t="shared" si="602"/>
        <v>0</v>
      </c>
      <c r="L550" s="80"/>
      <c r="Z550" s="33">
        <f t="shared" si="603"/>
        <v>0</v>
      </c>
      <c r="AB550" s="33">
        <f t="shared" si="604"/>
        <v>0</v>
      </c>
      <c r="AC550" s="33">
        <f t="shared" si="605"/>
        <v>0</v>
      </c>
      <c r="AD550" s="33">
        <f t="shared" si="606"/>
        <v>0</v>
      </c>
      <c r="AE550" s="33">
        <f t="shared" si="607"/>
        <v>0</v>
      </c>
      <c r="AF550" s="33">
        <f t="shared" si="608"/>
        <v>0</v>
      </c>
      <c r="AG550" s="33">
        <f t="shared" si="609"/>
        <v>0</v>
      </c>
      <c r="AH550" s="33">
        <f t="shared" si="610"/>
        <v>0</v>
      </c>
      <c r="AI550" s="28"/>
      <c r="AJ550" s="16">
        <f t="shared" si="611"/>
        <v>0</v>
      </c>
      <c r="AK550" s="16">
        <f t="shared" si="612"/>
        <v>0</v>
      </c>
      <c r="AL550" s="16">
        <f t="shared" si="613"/>
        <v>0</v>
      </c>
      <c r="AN550" s="33">
        <v>21</v>
      </c>
      <c r="AO550" s="33">
        <f t="shared" si="622"/>
        <v>0</v>
      </c>
      <c r="AP550" s="33">
        <f t="shared" si="623"/>
        <v>0</v>
      </c>
      <c r="AQ550" s="27" t="s">
        <v>7</v>
      </c>
      <c r="AV550" s="33">
        <f t="shared" si="614"/>
        <v>0</v>
      </c>
      <c r="AW550" s="33">
        <f t="shared" si="615"/>
        <v>0</v>
      </c>
      <c r="AX550" s="33">
        <f t="shared" si="616"/>
        <v>0</v>
      </c>
      <c r="AY550" s="34" t="s">
        <v>1738</v>
      </c>
      <c r="AZ550" s="34" t="s">
        <v>1745</v>
      </c>
      <c r="BA550" s="28" t="s">
        <v>1752</v>
      </c>
      <c r="BC550" s="33">
        <f t="shared" si="617"/>
        <v>0</v>
      </c>
      <c r="BD550" s="33">
        <f t="shared" si="618"/>
        <v>0</v>
      </c>
      <c r="BE550" s="33">
        <v>0</v>
      </c>
      <c r="BF550" s="33">
        <f>550</f>
        <v>550</v>
      </c>
      <c r="BH550" s="16">
        <f t="shared" si="619"/>
        <v>0</v>
      </c>
      <c r="BI550" s="16">
        <f t="shared" si="620"/>
        <v>0</v>
      </c>
      <c r="BJ550" s="16">
        <f t="shared" si="621"/>
        <v>0</v>
      </c>
    </row>
    <row r="551" spans="1:62" x14ac:dyDescent="0.2">
      <c r="A551" s="4" t="s">
        <v>471</v>
      </c>
      <c r="B551" s="4" t="s">
        <v>1017</v>
      </c>
      <c r="C551" s="131" t="s">
        <v>1599</v>
      </c>
      <c r="D551" s="132"/>
      <c r="E551" s="132"/>
      <c r="F551" s="4" t="s">
        <v>1665</v>
      </c>
      <c r="G551" s="68">
        <v>44</v>
      </c>
      <c r="H551" s="162">
        <v>0</v>
      </c>
      <c r="I551" s="16">
        <f t="shared" si="600"/>
        <v>0</v>
      </c>
      <c r="J551" s="16">
        <f t="shared" si="601"/>
        <v>0</v>
      </c>
      <c r="K551" s="16">
        <f t="shared" si="602"/>
        <v>0</v>
      </c>
      <c r="L551" s="27"/>
      <c r="Z551" s="33">
        <f t="shared" si="603"/>
        <v>0</v>
      </c>
      <c r="AB551" s="33">
        <f t="shared" si="604"/>
        <v>0</v>
      </c>
      <c r="AC551" s="33">
        <f t="shared" si="605"/>
        <v>0</v>
      </c>
      <c r="AD551" s="33">
        <f t="shared" si="606"/>
        <v>0</v>
      </c>
      <c r="AE551" s="33">
        <f t="shared" si="607"/>
        <v>0</v>
      </c>
      <c r="AF551" s="33">
        <f t="shared" si="608"/>
        <v>0</v>
      </c>
      <c r="AG551" s="33">
        <f t="shared" si="609"/>
        <v>0</v>
      </c>
      <c r="AH551" s="33">
        <f t="shared" si="610"/>
        <v>0</v>
      </c>
      <c r="AI551" s="28"/>
      <c r="AJ551" s="16">
        <f t="shared" si="611"/>
        <v>0</v>
      </c>
      <c r="AK551" s="16">
        <f t="shared" si="612"/>
        <v>0</v>
      </c>
      <c r="AL551" s="16">
        <f t="shared" si="613"/>
        <v>0</v>
      </c>
      <c r="AN551" s="33">
        <v>21</v>
      </c>
      <c r="AO551" s="33">
        <f t="shared" si="622"/>
        <v>0</v>
      </c>
      <c r="AP551" s="33">
        <f t="shared" si="623"/>
        <v>0</v>
      </c>
      <c r="AQ551" s="27" t="s">
        <v>7</v>
      </c>
      <c r="AV551" s="33">
        <f t="shared" si="614"/>
        <v>0</v>
      </c>
      <c r="AW551" s="33">
        <f t="shared" si="615"/>
        <v>0</v>
      </c>
      <c r="AX551" s="33">
        <f t="shared" si="616"/>
        <v>0</v>
      </c>
      <c r="AY551" s="34" t="s">
        <v>1738</v>
      </c>
      <c r="AZ551" s="34" t="s">
        <v>1745</v>
      </c>
      <c r="BA551" s="28" t="s">
        <v>1752</v>
      </c>
      <c r="BC551" s="33">
        <f t="shared" si="617"/>
        <v>0</v>
      </c>
      <c r="BD551" s="33">
        <f t="shared" si="618"/>
        <v>0</v>
      </c>
      <c r="BE551" s="33">
        <v>0</v>
      </c>
      <c r="BF551" s="33">
        <f>551</f>
        <v>551</v>
      </c>
      <c r="BH551" s="16">
        <f t="shared" si="619"/>
        <v>0</v>
      </c>
      <c r="BI551" s="16">
        <f t="shared" si="620"/>
        <v>0</v>
      </c>
      <c r="BJ551" s="16">
        <f t="shared" si="621"/>
        <v>0</v>
      </c>
    </row>
    <row r="552" spans="1:62" x14ac:dyDescent="0.2">
      <c r="A552" s="4" t="s">
        <v>472</v>
      </c>
      <c r="B552" s="4" t="s">
        <v>1018</v>
      </c>
      <c r="C552" s="131" t="s">
        <v>1600</v>
      </c>
      <c r="D552" s="132"/>
      <c r="E552" s="132"/>
      <c r="F552" s="4" t="s">
        <v>1665</v>
      </c>
      <c r="G552" s="68">
        <v>1</v>
      </c>
      <c r="H552" s="162">
        <v>0</v>
      </c>
      <c r="I552" s="16">
        <f t="shared" si="600"/>
        <v>0</v>
      </c>
      <c r="J552" s="16">
        <f t="shared" si="601"/>
        <v>0</v>
      </c>
      <c r="K552" s="16">
        <f t="shared" si="602"/>
        <v>0</v>
      </c>
      <c r="L552" s="27"/>
      <c r="Z552" s="33">
        <f t="shared" si="603"/>
        <v>0</v>
      </c>
      <c r="AB552" s="33">
        <f t="shared" si="604"/>
        <v>0</v>
      </c>
      <c r="AC552" s="33">
        <f t="shared" si="605"/>
        <v>0</v>
      </c>
      <c r="AD552" s="33">
        <f t="shared" si="606"/>
        <v>0</v>
      </c>
      <c r="AE552" s="33">
        <f t="shared" si="607"/>
        <v>0</v>
      </c>
      <c r="AF552" s="33">
        <f t="shared" si="608"/>
        <v>0</v>
      </c>
      <c r="AG552" s="33">
        <f t="shared" si="609"/>
        <v>0</v>
      </c>
      <c r="AH552" s="33">
        <f t="shared" si="610"/>
        <v>0</v>
      </c>
      <c r="AI552" s="28"/>
      <c r="AJ552" s="16">
        <f t="shared" si="611"/>
        <v>0</v>
      </c>
      <c r="AK552" s="16">
        <f t="shared" si="612"/>
        <v>0</v>
      </c>
      <c r="AL552" s="16">
        <f t="shared" si="613"/>
        <v>0</v>
      </c>
      <c r="AN552" s="33">
        <v>21</v>
      </c>
      <c r="AO552" s="33">
        <f t="shared" si="622"/>
        <v>0</v>
      </c>
      <c r="AP552" s="33">
        <f t="shared" si="623"/>
        <v>0</v>
      </c>
      <c r="AQ552" s="27" t="s">
        <v>7</v>
      </c>
      <c r="AV552" s="33">
        <f t="shared" si="614"/>
        <v>0</v>
      </c>
      <c r="AW552" s="33">
        <f t="shared" si="615"/>
        <v>0</v>
      </c>
      <c r="AX552" s="33">
        <f t="shared" si="616"/>
        <v>0</v>
      </c>
      <c r="AY552" s="34" t="s">
        <v>1738</v>
      </c>
      <c r="AZ552" s="34" t="s">
        <v>1745</v>
      </c>
      <c r="BA552" s="28" t="s">
        <v>1752</v>
      </c>
      <c r="BC552" s="33">
        <f t="shared" si="617"/>
        <v>0</v>
      </c>
      <c r="BD552" s="33">
        <f t="shared" si="618"/>
        <v>0</v>
      </c>
      <c r="BE552" s="33">
        <v>0</v>
      </c>
      <c r="BF552" s="33">
        <f>552</f>
        <v>552</v>
      </c>
      <c r="BH552" s="16">
        <f t="shared" si="619"/>
        <v>0</v>
      </c>
      <c r="BI552" s="16">
        <f t="shared" si="620"/>
        <v>0</v>
      </c>
      <c r="BJ552" s="16">
        <f t="shared" si="621"/>
        <v>0</v>
      </c>
    </row>
    <row r="553" spans="1:62" x14ac:dyDescent="0.2">
      <c r="A553" s="73" t="s">
        <v>473</v>
      </c>
      <c r="B553" s="73" t="s">
        <v>1019</v>
      </c>
      <c r="C553" s="138" t="s">
        <v>1601</v>
      </c>
      <c r="D553" s="132"/>
      <c r="E553" s="132"/>
      <c r="F553" s="73" t="s">
        <v>1665</v>
      </c>
      <c r="G553" s="74">
        <v>1</v>
      </c>
      <c r="H553" s="166">
        <v>0</v>
      </c>
      <c r="I553" s="75">
        <f t="shared" si="600"/>
        <v>0</v>
      </c>
      <c r="J553" s="75">
        <f t="shared" si="601"/>
        <v>0</v>
      </c>
      <c r="K553" s="75">
        <f t="shared" si="602"/>
        <v>0</v>
      </c>
      <c r="L553" s="80"/>
      <c r="Z553" s="33">
        <f t="shared" si="603"/>
        <v>0</v>
      </c>
      <c r="AB553" s="33">
        <f t="shared" si="604"/>
        <v>0</v>
      </c>
      <c r="AC553" s="33">
        <f t="shared" si="605"/>
        <v>0</v>
      </c>
      <c r="AD553" s="33">
        <f t="shared" si="606"/>
        <v>0</v>
      </c>
      <c r="AE553" s="33">
        <f t="shared" si="607"/>
        <v>0</v>
      </c>
      <c r="AF553" s="33">
        <f t="shared" si="608"/>
        <v>0</v>
      </c>
      <c r="AG553" s="33">
        <f t="shared" si="609"/>
        <v>0</v>
      </c>
      <c r="AH553" s="33">
        <f t="shared" si="610"/>
        <v>0</v>
      </c>
      <c r="AI553" s="28"/>
      <c r="AJ553" s="16">
        <f t="shared" si="611"/>
        <v>0</v>
      </c>
      <c r="AK553" s="16">
        <f t="shared" si="612"/>
        <v>0</v>
      </c>
      <c r="AL553" s="16">
        <f t="shared" si="613"/>
        <v>0</v>
      </c>
      <c r="AN553" s="33">
        <v>21</v>
      </c>
      <c r="AO553" s="33">
        <f t="shared" si="622"/>
        <v>0</v>
      </c>
      <c r="AP553" s="33">
        <f t="shared" si="623"/>
        <v>0</v>
      </c>
      <c r="AQ553" s="27" t="s">
        <v>7</v>
      </c>
      <c r="AV553" s="33">
        <f t="shared" si="614"/>
        <v>0</v>
      </c>
      <c r="AW553" s="33">
        <f t="shared" si="615"/>
        <v>0</v>
      </c>
      <c r="AX553" s="33">
        <f t="shared" si="616"/>
        <v>0</v>
      </c>
      <c r="AY553" s="34" t="s">
        <v>1738</v>
      </c>
      <c r="AZ553" s="34" t="s">
        <v>1745</v>
      </c>
      <c r="BA553" s="28" t="s">
        <v>1752</v>
      </c>
      <c r="BC553" s="33">
        <f t="shared" si="617"/>
        <v>0</v>
      </c>
      <c r="BD553" s="33">
        <f t="shared" si="618"/>
        <v>0</v>
      </c>
      <c r="BE553" s="33">
        <v>0</v>
      </c>
      <c r="BF553" s="33">
        <f>553</f>
        <v>553</v>
      </c>
      <c r="BH553" s="16">
        <f t="shared" si="619"/>
        <v>0</v>
      </c>
      <c r="BI553" s="16">
        <f t="shared" si="620"/>
        <v>0</v>
      </c>
      <c r="BJ553" s="16">
        <f t="shared" si="621"/>
        <v>0</v>
      </c>
    </row>
    <row r="554" spans="1:62" x14ac:dyDescent="0.2">
      <c r="A554" s="4" t="s">
        <v>474</v>
      </c>
      <c r="B554" s="4" t="s">
        <v>1020</v>
      </c>
      <c r="C554" s="131" t="s">
        <v>1602</v>
      </c>
      <c r="D554" s="132"/>
      <c r="E554" s="132"/>
      <c r="F554" s="4" t="s">
        <v>1665</v>
      </c>
      <c r="G554" s="68">
        <v>1</v>
      </c>
      <c r="H554" s="162">
        <v>0</v>
      </c>
      <c r="I554" s="16">
        <f t="shared" si="600"/>
        <v>0</v>
      </c>
      <c r="J554" s="16">
        <f t="shared" si="601"/>
        <v>0</v>
      </c>
      <c r="K554" s="16">
        <f t="shared" si="602"/>
        <v>0</v>
      </c>
      <c r="L554" s="27"/>
      <c r="Z554" s="33">
        <f t="shared" si="603"/>
        <v>0</v>
      </c>
      <c r="AB554" s="33">
        <f t="shared" si="604"/>
        <v>0</v>
      </c>
      <c r="AC554" s="33">
        <f t="shared" si="605"/>
        <v>0</v>
      </c>
      <c r="AD554" s="33">
        <f t="shared" si="606"/>
        <v>0</v>
      </c>
      <c r="AE554" s="33">
        <f t="shared" si="607"/>
        <v>0</v>
      </c>
      <c r="AF554" s="33">
        <f t="shared" si="608"/>
        <v>0</v>
      </c>
      <c r="AG554" s="33">
        <f t="shared" si="609"/>
        <v>0</v>
      </c>
      <c r="AH554" s="33">
        <f t="shared" si="610"/>
        <v>0</v>
      </c>
      <c r="AI554" s="28"/>
      <c r="AJ554" s="16">
        <f t="shared" si="611"/>
        <v>0</v>
      </c>
      <c r="AK554" s="16">
        <f t="shared" si="612"/>
        <v>0</v>
      </c>
      <c r="AL554" s="16">
        <f t="shared" si="613"/>
        <v>0</v>
      </c>
      <c r="AN554" s="33">
        <v>21</v>
      </c>
      <c r="AO554" s="33">
        <f t="shared" si="622"/>
        <v>0</v>
      </c>
      <c r="AP554" s="33">
        <f t="shared" si="623"/>
        <v>0</v>
      </c>
      <c r="AQ554" s="27" t="s">
        <v>7</v>
      </c>
      <c r="AV554" s="33">
        <f t="shared" si="614"/>
        <v>0</v>
      </c>
      <c r="AW554" s="33">
        <f t="shared" si="615"/>
        <v>0</v>
      </c>
      <c r="AX554" s="33">
        <f t="shared" si="616"/>
        <v>0</v>
      </c>
      <c r="AY554" s="34" t="s">
        <v>1738</v>
      </c>
      <c r="AZ554" s="34" t="s">
        <v>1745</v>
      </c>
      <c r="BA554" s="28" t="s">
        <v>1752</v>
      </c>
      <c r="BC554" s="33">
        <f t="shared" si="617"/>
        <v>0</v>
      </c>
      <c r="BD554" s="33">
        <f t="shared" si="618"/>
        <v>0</v>
      </c>
      <c r="BE554" s="33">
        <v>0</v>
      </c>
      <c r="BF554" s="33">
        <f>554</f>
        <v>554</v>
      </c>
      <c r="BH554" s="16">
        <f t="shared" si="619"/>
        <v>0</v>
      </c>
      <c r="BI554" s="16">
        <f t="shared" si="620"/>
        <v>0</v>
      </c>
      <c r="BJ554" s="16">
        <f t="shared" si="621"/>
        <v>0</v>
      </c>
    </row>
    <row r="555" spans="1:62" x14ac:dyDescent="0.2">
      <c r="A555" s="73" t="s">
        <v>475</v>
      </c>
      <c r="B555" s="73" t="s">
        <v>1021</v>
      </c>
      <c r="C555" s="138" t="s">
        <v>1603</v>
      </c>
      <c r="D555" s="132"/>
      <c r="E555" s="132"/>
      <c r="F555" s="73" t="s">
        <v>1665</v>
      </c>
      <c r="G555" s="74">
        <v>1</v>
      </c>
      <c r="H555" s="166">
        <v>0</v>
      </c>
      <c r="I555" s="75">
        <f t="shared" si="600"/>
        <v>0</v>
      </c>
      <c r="J555" s="75">
        <f t="shared" si="601"/>
        <v>0</v>
      </c>
      <c r="K555" s="75">
        <f t="shared" si="602"/>
        <v>0</v>
      </c>
      <c r="L555" s="80"/>
      <c r="Z555" s="33">
        <f t="shared" si="603"/>
        <v>0</v>
      </c>
      <c r="AB555" s="33">
        <f t="shared" si="604"/>
        <v>0</v>
      </c>
      <c r="AC555" s="33">
        <f t="shared" si="605"/>
        <v>0</v>
      </c>
      <c r="AD555" s="33">
        <f t="shared" si="606"/>
        <v>0</v>
      </c>
      <c r="AE555" s="33">
        <f t="shared" si="607"/>
        <v>0</v>
      </c>
      <c r="AF555" s="33">
        <f t="shared" si="608"/>
        <v>0</v>
      </c>
      <c r="AG555" s="33">
        <f t="shared" si="609"/>
        <v>0</v>
      </c>
      <c r="AH555" s="33">
        <f t="shared" si="610"/>
        <v>0</v>
      </c>
      <c r="AI555" s="28"/>
      <c r="AJ555" s="16">
        <f t="shared" si="611"/>
        <v>0</v>
      </c>
      <c r="AK555" s="16">
        <f t="shared" si="612"/>
        <v>0</v>
      </c>
      <c r="AL555" s="16">
        <f t="shared" si="613"/>
        <v>0</v>
      </c>
      <c r="AN555" s="33">
        <v>21</v>
      </c>
      <c r="AO555" s="33">
        <f t="shared" si="622"/>
        <v>0</v>
      </c>
      <c r="AP555" s="33">
        <f t="shared" si="623"/>
        <v>0</v>
      </c>
      <c r="AQ555" s="27" t="s">
        <v>7</v>
      </c>
      <c r="AV555" s="33">
        <f t="shared" si="614"/>
        <v>0</v>
      </c>
      <c r="AW555" s="33">
        <f t="shared" si="615"/>
        <v>0</v>
      </c>
      <c r="AX555" s="33">
        <f t="shared" si="616"/>
        <v>0</v>
      </c>
      <c r="AY555" s="34" t="s">
        <v>1738</v>
      </c>
      <c r="AZ555" s="34" t="s">
        <v>1745</v>
      </c>
      <c r="BA555" s="28" t="s">
        <v>1752</v>
      </c>
      <c r="BC555" s="33">
        <f t="shared" si="617"/>
        <v>0</v>
      </c>
      <c r="BD555" s="33">
        <f t="shared" si="618"/>
        <v>0</v>
      </c>
      <c r="BE555" s="33">
        <v>0</v>
      </c>
      <c r="BF555" s="33">
        <f>555</f>
        <v>555</v>
      </c>
      <c r="BH555" s="16">
        <f t="shared" si="619"/>
        <v>0</v>
      </c>
      <c r="BI555" s="16">
        <f t="shared" si="620"/>
        <v>0</v>
      </c>
      <c r="BJ555" s="16">
        <f t="shared" si="621"/>
        <v>0</v>
      </c>
    </row>
    <row r="556" spans="1:62" x14ac:dyDescent="0.2">
      <c r="A556" s="4" t="s">
        <v>476</v>
      </c>
      <c r="B556" s="4" t="s">
        <v>1022</v>
      </c>
      <c r="C556" s="131" t="s">
        <v>1604</v>
      </c>
      <c r="D556" s="132"/>
      <c r="E556" s="132"/>
      <c r="F556" s="4" t="s">
        <v>1665</v>
      </c>
      <c r="G556" s="68">
        <v>12</v>
      </c>
      <c r="H556" s="162">
        <v>0</v>
      </c>
      <c r="I556" s="16">
        <f t="shared" si="600"/>
        <v>0</v>
      </c>
      <c r="J556" s="16">
        <f t="shared" si="601"/>
        <v>0</v>
      </c>
      <c r="K556" s="16">
        <f t="shared" si="602"/>
        <v>0</v>
      </c>
      <c r="L556" s="27"/>
      <c r="Z556" s="33">
        <f t="shared" si="603"/>
        <v>0</v>
      </c>
      <c r="AB556" s="33">
        <f t="shared" si="604"/>
        <v>0</v>
      </c>
      <c r="AC556" s="33">
        <f t="shared" si="605"/>
        <v>0</v>
      </c>
      <c r="AD556" s="33">
        <f t="shared" si="606"/>
        <v>0</v>
      </c>
      <c r="AE556" s="33">
        <f t="shared" si="607"/>
        <v>0</v>
      </c>
      <c r="AF556" s="33">
        <f t="shared" si="608"/>
        <v>0</v>
      </c>
      <c r="AG556" s="33">
        <f t="shared" si="609"/>
        <v>0</v>
      </c>
      <c r="AH556" s="33">
        <f t="shared" si="610"/>
        <v>0</v>
      </c>
      <c r="AI556" s="28"/>
      <c r="AJ556" s="16">
        <f t="shared" si="611"/>
        <v>0</v>
      </c>
      <c r="AK556" s="16">
        <f t="shared" si="612"/>
        <v>0</v>
      </c>
      <c r="AL556" s="16">
        <f t="shared" si="613"/>
        <v>0</v>
      </c>
      <c r="AN556" s="33">
        <v>21</v>
      </c>
      <c r="AO556" s="33">
        <f t="shared" si="622"/>
        <v>0</v>
      </c>
      <c r="AP556" s="33">
        <f t="shared" si="623"/>
        <v>0</v>
      </c>
      <c r="AQ556" s="27" t="s">
        <v>7</v>
      </c>
      <c r="AV556" s="33">
        <f t="shared" si="614"/>
        <v>0</v>
      </c>
      <c r="AW556" s="33">
        <f t="shared" si="615"/>
        <v>0</v>
      </c>
      <c r="AX556" s="33">
        <f t="shared" si="616"/>
        <v>0</v>
      </c>
      <c r="AY556" s="34" t="s">
        <v>1738</v>
      </c>
      <c r="AZ556" s="34" t="s">
        <v>1745</v>
      </c>
      <c r="BA556" s="28" t="s">
        <v>1752</v>
      </c>
      <c r="BC556" s="33">
        <f t="shared" si="617"/>
        <v>0</v>
      </c>
      <c r="BD556" s="33">
        <f t="shared" si="618"/>
        <v>0</v>
      </c>
      <c r="BE556" s="33">
        <v>0</v>
      </c>
      <c r="BF556" s="33">
        <f>556</f>
        <v>556</v>
      </c>
      <c r="BH556" s="16">
        <f t="shared" si="619"/>
        <v>0</v>
      </c>
      <c r="BI556" s="16">
        <f t="shared" si="620"/>
        <v>0</v>
      </c>
      <c r="BJ556" s="16">
        <f t="shared" si="621"/>
        <v>0</v>
      </c>
    </row>
    <row r="557" spans="1:62" x14ac:dyDescent="0.2">
      <c r="A557" s="73" t="s">
        <v>477</v>
      </c>
      <c r="B557" s="73" t="s">
        <v>1023</v>
      </c>
      <c r="C557" s="138" t="s">
        <v>1605</v>
      </c>
      <c r="D557" s="132"/>
      <c r="E557" s="132"/>
      <c r="F557" s="73" t="s">
        <v>1665</v>
      </c>
      <c r="G557" s="74">
        <v>12</v>
      </c>
      <c r="H557" s="166">
        <v>0</v>
      </c>
      <c r="I557" s="75">
        <f t="shared" si="600"/>
        <v>0</v>
      </c>
      <c r="J557" s="75">
        <f t="shared" si="601"/>
        <v>0</v>
      </c>
      <c r="K557" s="75">
        <f t="shared" si="602"/>
        <v>0</v>
      </c>
      <c r="L557" s="80"/>
      <c r="Z557" s="33">
        <f t="shared" si="603"/>
        <v>0</v>
      </c>
      <c r="AB557" s="33">
        <f t="shared" si="604"/>
        <v>0</v>
      </c>
      <c r="AC557" s="33">
        <f t="shared" si="605"/>
        <v>0</v>
      </c>
      <c r="AD557" s="33">
        <f t="shared" si="606"/>
        <v>0</v>
      </c>
      <c r="AE557" s="33">
        <f t="shared" si="607"/>
        <v>0</v>
      </c>
      <c r="AF557" s="33">
        <f t="shared" si="608"/>
        <v>0</v>
      </c>
      <c r="AG557" s="33">
        <f t="shared" si="609"/>
        <v>0</v>
      </c>
      <c r="AH557" s="33">
        <f t="shared" si="610"/>
        <v>0</v>
      </c>
      <c r="AI557" s="28"/>
      <c r="AJ557" s="16">
        <f t="shared" si="611"/>
        <v>0</v>
      </c>
      <c r="AK557" s="16">
        <f t="shared" si="612"/>
        <v>0</v>
      </c>
      <c r="AL557" s="16">
        <f t="shared" si="613"/>
        <v>0</v>
      </c>
      <c r="AN557" s="33">
        <v>21</v>
      </c>
      <c r="AO557" s="33">
        <f t="shared" si="622"/>
        <v>0</v>
      </c>
      <c r="AP557" s="33">
        <f t="shared" si="623"/>
        <v>0</v>
      </c>
      <c r="AQ557" s="27" t="s">
        <v>7</v>
      </c>
      <c r="AV557" s="33">
        <f t="shared" si="614"/>
        <v>0</v>
      </c>
      <c r="AW557" s="33">
        <f t="shared" si="615"/>
        <v>0</v>
      </c>
      <c r="AX557" s="33">
        <f t="shared" si="616"/>
        <v>0</v>
      </c>
      <c r="AY557" s="34" t="s">
        <v>1738</v>
      </c>
      <c r="AZ557" s="34" t="s">
        <v>1745</v>
      </c>
      <c r="BA557" s="28" t="s">
        <v>1752</v>
      </c>
      <c r="BC557" s="33">
        <f t="shared" si="617"/>
        <v>0</v>
      </c>
      <c r="BD557" s="33">
        <f t="shared" si="618"/>
        <v>0</v>
      </c>
      <c r="BE557" s="33">
        <v>0</v>
      </c>
      <c r="BF557" s="33">
        <f>557</f>
        <v>557</v>
      </c>
      <c r="BH557" s="16">
        <f t="shared" si="619"/>
        <v>0</v>
      </c>
      <c r="BI557" s="16">
        <f t="shared" si="620"/>
        <v>0</v>
      </c>
      <c r="BJ557" s="16">
        <f t="shared" si="621"/>
        <v>0</v>
      </c>
    </row>
    <row r="558" spans="1:62" x14ac:dyDescent="0.2">
      <c r="A558" s="4" t="s">
        <v>478</v>
      </c>
      <c r="B558" s="4" t="s">
        <v>1024</v>
      </c>
      <c r="C558" s="131" t="s">
        <v>1606</v>
      </c>
      <c r="D558" s="132"/>
      <c r="E558" s="132"/>
      <c r="F558" s="4" t="s">
        <v>1665</v>
      </c>
      <c r="G558" s="68">
        <v>2</v>
      </c>
      <c r="H558" s="162">
        <v>0</v>
      </c>
      <c r="I558" s="16">
        <f t="shared" si="600"/>
        <v>0</v>
      </c>
      <c r="J558" s="16">
        <f t="shared" si="601"/>
        <v>0</v>
      </c>
      <c r="K558" s="16">
        <f t="shared" si="602"/>
        <v>0</v>
      </c>
      <c r="L558" s="27"/>
      <c r="Z558" s="33">
        <f t="shared" si="603"/>
        <v>0</v>
      </c>
      <c r="AB558" s="33">
        <f t="shared" si="604"/>
        <v>0</v>
      </c>
      <c r="AC558" s="33">
        <f t="shared" si="605"/>
        <v>0</v>
      </c>
      <c r="AD558" s="33">
        <f t="shared" si="606"/>
        <v>0</v>
      </c>
      <c r="AE558" s="33">
        <f t="shared" si="607"/>
        <v>0</v>
      </c>
      <c r="AF558" s="33">
        <f t="shared" si="608"/>
        <v>0</v>
      </c>
      <c r="AG558" s="33">
        <f t="shared" si="609"/>
        <v>0</v>
      </c>
      <c r="AH558" s="33">
        <f t="shared" si="610"/>
        <v>0</v>
      </c>
      <c r="AI558" s="28"/>
      <c r="AJ558" s="16">
        <f t="shared" si="611"/>
        <v>0</v>
      </c>
      <c r="AK558" s="16">
        <f t="shared" si="612"/>
        <v>0</v>
      </c>
      <c r="AL558" s="16">
        <f t="shared" si="613"/>
        <v>0</v>
      </c>
      <c r="AN558" s="33">
        <v>21</v>
      </c>
      <c r="AO558" s="33">
        <f t="shared" si="622"/>
        <v>0</v>
      </c>
      <c r="AP558" s="33">
        <f t="shared" si="623"/>
        <v>0</v>
      </c>
      <c r="AQ558" s="27" t="s">
        <v>7</v>
      </c>
      <c r="AV558" s="33">
        <f t="shared" si="614"/>
        <v>0</v>
      </c>
      <c r="AW558" s="33">
        <f t="shared" si="615"/>
        <v>0</v>
      </c>
      <c r="AX558" s="33">
        <f t="shared" si="616"/>
        <v>0</v>
      </c>
      <c r="AY558" s="34" t="s">
        <v>1738</v>
      </c>
      <c r="AZ558" s="34" t="s">
        <v>1745</v>
      </c>
      <c r="BA558" s="28" t="s">
        <v>1752</v>
      </c>
      <c r="BC558" s="33">
        <f t="shared" si="617"/>
        <v>0</v>
      </c>
      <c r="BD558" s="33">
        <f t="shared" si="618"/>
        <v>0</v>
      </c>
      <c r="BE558" s="33">
        <v>0</v>
      </c>
      <c r="BF558" s="33">
        <f>558</f>
        <v>558</v>
      </c>
      <c r="BH558" s="16">
        <f t="shared" si="619"/>
        <v>0</v>
      </c>
      <c r="BI558" s="16">
        <f t="shared" si="620"/>
        <v>0</v>
      </c>
      <c r="BJ558" s="16">
        <f t="shared" si="621"/>
        <v>0</v>
      </c>
    </row>
    <row r="559" spans="1:62" x14ac:dyDescent="0.2">
      <c r="A559" s="73" t="s">
        <v>479</v>
      </c>
      <c r="B559" s="73" t="s">
        <v>1025</v>
      </c>
      <c r="C559" s="138" t="s">
        <v>1607</v>
      </c>
      <c r="D559" s="132"/>
      <c r="E559" s="132"/>
      <c r="F559" s="73" t="s">
        <v>1665</v>
      </c>
      <c r="G559" s="74">
        <v>2</v>
      </c>
      <c r="H559" s="166">
        <v>0</v>
      </c>
      <c r="I559" s="75">
        <f t="shared" si="600"/>
        <v>0</v>
      </c>
      <c r="J559" s="75">
        <f t="shared" si="601"/>
        <v>0</v>
      </c>
      <c r="K559" s="75">
        <f t="shared" si="602"/>
        <v>0</v>
      </c>
      <c r="L559" s="80"/>
      <c r="Z559" s="33">
        <f t="shared" si="603"/>
        <v>0</v>
      </c>
      <c r="AB559" s="33">
        <f t="shared" si="604"/>
        <v>0</v>
      </c>
      <c r="AC559" s="33">
        <f t="shared" si="605"/>
        <v>0</v>
      </c>
      <c r="AD559" s="33">
        <f t="shared" si="606"/>
        <v>0</v>
      </c>
      <c r="AE559" s="33">
        <f t="shared" si="607"/>
        <v>0</v>
      </c>
      <c r="AF559" s="33">
        <f t="shared" si="608"/>
        <v>0</v>
      </c>
      <c r="AG559" s="33">
        <f t="shared" si="609"/>
        <v>0</v>
      </c>
      <c r="AH559" s="33">
        <f t="shared" si="610"/>
        <v>0</v>
      </c>
      <c r="AI559" s="28"/>
      <c r="AJ559" s="16">
        <f t="shared" si="611"/>
        <v>0</v>
      </c>
      <c r="AK559" s="16">
        <f t="shared" si="612"/>
        <v>0</v>
      </c>
      <c r="AL559" s="16">
        <f t="shared" si="613"/>
        <v>0</v>
      </c>
      <c r="AN559" s="33">
        <v>21</v>
      </c>
      <c r="AO559" s="33">
        <f t="shared" si="622"/>
        <v>0</v>
      </c>
      <c r="AP559" s="33">
        <f t="shared" si="623"/>
        <v>0</v>
      </c>
      <c r="AQ559" s="27" t="s">
        <v>7</v>
      </c>
      <c r="AV559" s="33">
        <f t="shared" si="614"/>
        <v>0</v>
      </c>
      <c r="AW559" s="33">
        <f t="shared" si="615"/>
        <v>0</v>
      </c>
      <c r="AX559" s="33">
        <f t="shared" si="616"/>
        <v>0</v>
      </c>
      <c r="AY559" s="34" t="s">
        <v>1738</v>
      </c>
      <c r="AZ559" s="34" t="s">
        <v>1745</v>
      </c>
      <c r="BA559" s="28" t="s">
        <v>1752</v>
      </c>
      <c r="BC559" s="33">
        <f t="shared" si="617"/>
        <v>0</v>
      </c>
      <c r="BD559" s="33">
        <f t="shared" si="618"/>
        <v>0</v>
      </c>
      <c r="BE559" s="33">
        <v>0</v>
      </c>
      <c r="BF559" s="33">
        <f>559</f>
        <v>559</v>
      </c>
      <c r="BH559" s="16">
        <f t="shared" si="619"/>
        <v>0</v>
      </c>
      <c r="BI559" s="16">
        <f t="shared" si="620"/>
        <v>0</v>
      </c>
      <c r="BJ559" s="16">
        <f t="shared" si="621"/>
        <v>0</v>
      </c>
    </row>
    <row r="560" spans="1:62" x14ac:dyDescent="0.2">
      <c r="A560" s="4" t="s">
        <v>480</v>
      </c>
      <c r="B560" s="4" t="s">
        <v>1026</v>
      </c>
      <c r="C560" s="131" t="s">
        <v>1608</v>
      </c>
      <c r="D560" s="132"/>
      <c r="E560" s="132"/>
      <c r="F560" s="4" t="s">
        <v>1665</v>
      </c>
      <c r="G560" s="68">
        <v>2</v>
      </c>
      <c r="H560" s="162">
        <v>0</v>
      </c>
      <c r="I560" s="16">
        <f t="shared" si="600"/>
        <v>0</v>
      </c>
      <c r="J560" s="16">
        <f t="shared" si="601"/>
        <v>0</v>
      </c>
      <c r="K560" s="16">
        <f t="shared" si="602"/>
        <v>0</v>
      </c>
      <c r="L560" s="27"/>
      <c r="Z560" s="33">
        <f t="shared" si="603"/>
        <v>0</v>
      </c>
      <c r="AB560" s="33">
        <f t="shared" si="604"/>
        <v>0</v>
      </c>
      <c r="AC560" s="33">
        <f t="shared" si="605"/>
        <v>0</v>
      </c>
      <c r="AD560" s="33">
        <f t="shared" si="606"/>
        <v>0</v>
      </c>
      <c r="AE560" s="33">
        <f t="shared" si="607"/>
        <v>0</v>
      </c>
      <c r="AF560" s="33">
        <f t="shared" si="608"/>
        <v>0</v>
      </c>
      <c r="AG560" s="33">
        <f t="shared" si="609"/>
        <v>0</v>
      </c>
      <c r="AH560" s="33">
        <f t="shared" si="610"/>
        <v>0</v>
      </c>
      <c r="AI560" s="28"/>
      <c r="AJ560" s="16">
        <f t="shared" si="611"/>
        <v>0</v>
      </c>
      <c r="AK560" s="16">
        <f t="shared" si="612"/>
        <v>0</v>
      </c>
      <c r="AL560" s="16">
        <f t="shared" si="613"/>
        <v>0</v>
      </c>
      <c r="AN560" s="33">
        <v>21</v>
      </c>
      <c r="AO560" s="33">
        <f t="shared" si="622"/>
        <v>0</v>
      </c>
      <c r="AP560" s="33">
        <f t="shared" si="623"/>
        <v>0</v>
      </c>
      <c r="AQ560" s="27" t="s">
        <v>7</v>
      </c>
      <c r="AV560" s="33">
        <f t="shared" si="614"/>
        <v>0</v>
      </c>
      <c r="AW560" s="33">
        <f t="shared" si="615"/>
        <v>0</v>
      </c>
      <c r="AX560" s="33">
        <f t="shared" si="616"/>
        <v>0</v>
      </c>
      <c r="AY560" s="34" t="s">
        <v>1738</v>
      </c>
      <c r="AZ560" s="34" t="s">
        <v>1745</v>
      </c>
      <c r="BA560" s="28" t="s">
        <v>1752</v>
      </c>
      <c r="BC560" s="33">
        <f t="shared" si="617"/>
        <v>0</v>
      </c>
      <c r="BD560" s="33">
        <f t="shared" si="618"/>
        <v>0</v>
      </c>
      <c r="BE560" s="33">
        <v>0</v>
      </c>
      <c r="BF560" s="33">
        <f>560</f>
        <v>560</v>
      </c>
      <c r="BH560" s="16">
        <f t="shared" si="619"/>
        <v>0</v>
      </c>
      <c r="BI560" s="16">
        <f t="shared" si="620"/>
        <v>0</v>
      </c>
      <c r="BJ560" s="16">
        <f t="shared" si="621"/>
        <v>0</v>
      </c>
    </row>
    <row r="561" spans="1:62" x14ac:dyDescent="0.2">
      <c r="A561" s="73" t="s">
        <v>481</v>
      </c>
      <c r="B561" s="73" t="s">
        <v>1027</v>
      </c>
      <c r="C561" s="138" t="s">
        <v>1609</v>
      </c>
      <c r="D561" s="132"/>
      <c r="E561" s="132"/>
      <c r="F561" s="73" t="s">
        <v>1665</v>
      </c>
      <c r="G561" s="74">
        <v>2</v>
      </c>
      <c r="H561" s="166">
        <v>0</v>
      </c>
      <c r="I561" s="75">
        <f t="shared" si="600"/>
        <v>0</v>
      </c>
      <c r="J561" s="75">
        <f t="shared" si="601"/>
        <v>0</v>
      </c>
      <c r="K561" s="75">
        <f t="shared" si="602"/>
        <v>0</v>
      </c>
      <c r="L561" s="80"/>
      <c r="Z561" s="33">
        <f t="shared" si="603"/>
        <v>0</v>
      </c>
      <c r="AB561" s="33">
        <f t="shared" si="604"/>
        <v>0</v>
      </c>
      <c r="AC561" s="33">
        <f t="shared" si="605"/>
        <v>0</v>
      </c>
      <c r="AD561" s="33">
        <f t="shared" si="606"/>
        <v>0</v>
      </c>
      <c r="AE561" s="33">
        <f t="shared" si="607"/>
        <v>0</v>
      </c>
      <c r="AF561" s="33">
        <f t="shared" si="608"/>
        <v>0</v>
      </c>
      <c r="AG561" s="33">
        <f t="shared" si="609"/>
        <v>0</v>
      </c>
      <c r="AH561" s="33">
        <f t="shared" si="610"/>
        <v>0</v>
      </c>
      <c r="AI561" s="28"/>
      <c r="AJ561" s="16">
        <f t="shared" si="611"/>
        <v>0</v>
      </c>
      <c r="AK561" s="16">
        <f t="shared" si="612"/>
        <v>0</v>
      </c>
      <c r="AL561" s="16">
        <f t="shared" si="613"/>
        <v>0</v>
      </c>
      <c r="AN561" s="33">
        <v>21</v>
      </c>
      <c r="AO561" s="33">
        <f t="shared" si="622"/>
        <v>0</v>
      </c>
      <c r="AP561" s="33">
        <f t="shared" si="623"/>
        <v>0</v>
      </c>
      <c r="AQ561" s="27" t="s">
        <v>7</v>
      </c>
      <c r="AV561" s="33">
        <f t="shared" si="614"/>
        <v>0</v>
      </c>
      <c r="AW561" s="33">
        <f t="shared" si="615"/>
        <v>0</v>
      </c>
      <c r="AX561" s="33">
        <f t="shared" si="616"/>
        <v>0</v>
      </c>
      <c r="AY561" s="34" t="s">
        <v>1738</v>
      </c>
      <c r="AZ561" s="34" t="s">
        <v>1745</v>
      </c>
      <c r="BA561" s="28" t="s">
        <v>1752</v>
      </c>
      <c r="BC561" s="33">
        <f t="shared" si="617"/>
        <v>0</v>
      </c>
      <c r="BD561" s="33">
        <f t="shared" si="618"/>
        <v>0</v>
      </c>
      <c r="BE561" s="33">
        <v>0</v>
      </c>
      <c r="BF561" s="33">
        <f>561</f>
        <v>561</v>
      </c>
      <c r="BH561" s="16">
        <f t="shared" si="619"/>
        <v>0</v>
      </c>
      <c r="BI561" s="16">
        <f t="shared" si="620"/>
        <v>0</v>
      </c>
      <c r="BJ561" s="16">
        <f t="shared" si="621"/>
        <v>0</v>
      </c>
    </row>
    <row r="562" spans="1:62" x14ac:dyDescent="0.2">
      <c r="A562" s="4" t="s">
        <v>482</v>
      </c>
      <c r="B562" s="4" t="s">
        <v>1026</v>
      </c>
      <c r="C562" s="131" t="s">
        <v>1610</v>
      </c>
      <c r="D562" s="132"/>
      <c r="E562" s="132"/>
      <c r="F562" s="4" t="s">
        <v>1665</v>
      </c>
      <c r="G562" s="68">
        <v>2</v>
      </c>
      <c r="H562" s="162">
        <v>0</v>
      </c>
      <c r="I562" s="16">
        <f t="shared" si="600"/>
        <v>0</v>
      </c>
      <c r="J562" s="16">
        <f t="shared" si="601"/>
        <v>0</v>
      </c>
      <c r="K562" s="16">
        <f t="shared" si="602"/>
        <v>0</v>
      </c>
      <c r="L562" s="27"/>
      <c r="Z562" s="33">
        <f t="shared" si="603"/>
        <v>0</v>
      </c>
      <c r="AB562" s="33">
        <f t="shared" si="604"/>
        <v>0</v>
      </c>
      <c r="AC562" s="33">
        <f t="shared" si="605"/>
        <v>0</v>
      </c>
      <c r="AD562" s="33">
        <f t="shared" si="606"/>
        <v>0</v>
      </c>
      <c r="AE562" s="33">
        <f t="shared" si="607"/>
        <v>0</v>
      </c>
      <c r="AF562" s="33">
        <f t="shared" si="608"/>
        <v>0</v>
      </c>
      <c r="AG562" s="33">
        <f t="shared" si="609"/>
        <v>0</v>
      </c>
      <c r="AH562" s="33">
        <f t="shared" si="610"/>
        <v>0</v>
      </c>
      <c r="AI562" s="28"/>
      <c r="AJ562" s="16">
        <f t="shared" si="611"/>
        <v>0</v>
      </c>
      <c r="AK562" s="16">
        <f t="shared" si="612"/>
        <v>0</v>
      </c>
      <c r="AL562" s="16">
        <f t="shared" si="613"/>
        <v>0</v>
      </c>
      <c r="AN562" s="33">
        <v>21</v>
      </c>
      <c r="AO562" s="33">
        <f t="shared" si="622"/>
        <v>0</v>
      </c>
      <c r="AP562" s="33">
        <f t="shared" si="623"/>
        <v>0</v>
      </c>
      <c r="AQ562" s="27" t="s">
        <v>7</v>
      </c>
      <c r="AV562" s="33">
        <f t="shared" si="614"/>
        <v>0</v>
      </c>
      <c r="AW562" s="33">
        <f t="shared" si="615"/>
        <v>0</v>
      </c>
      <c r="AX562" s="33">
        <f t="shared" si="616"/>
        <v>0</v>
      </c>
      <c r="AY562" s="34" t="s">
        <v>1738</v>
      </c>
      <c r="AZ562" s="34" t="s">
        <v>1745</v>
      </c>
      <c r="BA562" s="28" t="s">
        <v>1752</v>
      </c>
      <c r="BC562" s="33">
        <f t="shared" si="617"/>
        <v>0</v>
      </c>
      <c r="BD562" s="33">
        <f t="shared" si="618"/>
        <v>0</v>
      </c>
      <c r="BE562" s="33">
        <v>0</v>
      </c>
      <c r="BF562" s="33">
        <f>562</f>
        <v>562</v>
      </c>
      <c r="BH562" s="16">
        <f t="shared" si="619"/>
        <v>0</v>
      </c>
      <c r="BI562" s="16">
        <f t="shared" si="620"/>
        <v>0</v>
      </c>
      <c r="BJ562" s="16">
        <f t="shared" si="621"/>
        <v>0</v>
      </c>
    </row>
    <row r="563" spans="1:62" x14ac:dyDescent="0.2">
      <c r="A563" s="73" t="s">
        <v>483</v>
      </c>
      <c r="B563" s="73" t="s">
        <v>1027</v>
      </c>
      <c r="C563" s="138" t="s">
        <v>1610</v>
      </c>
      <c r="D563" s="132"/>
      <c r="E563" s="132"/>
      <c r="F563" s="73" t="s">
        <v>1665</v>
      </c>
      <c r="G563" s="74">
        <v>2</v>
      </c>
      <c r="H563" s="166">
        <v>0</v>
      </c>
      <c r="I563" s="75">
        <f t="shared" si="600"/>
        <v>0</v>
      </c>
      <c r="J563" s="75">
        <f t="shared" si="601"/>
        <v>0</v>
      </c>
      <c r="K563" s="75">
        <f t="shared" si="602"/>
        <v>0</v>
      </c>
      <c r="L563" s="80"/>
      <c r="Z563" s="33">
        <f t="shared" si="603"/>
        <v>0</v>
      </c>
      <c r="AB563" s="33">
        <f t="shared" si="604"/>
        <v>0</v>
      </c>
      <c r="AC563" s="33">
        <f t="shared" si="605"/>
        <v>0</v>
      </c>
      <c r="AD563" s="33">
        <f t="shared" si="606"/>
        <v>0</v>
      </c>
      <c r="AE563" s="33">
        <f t="shared" si="607"/>
        <v>0</v>
      </c>
      <c r="AF563" s="33">
        <f t="shared" si="608"/>
        <v>0</v>
      </c>
      <c r="AG563" s="33">
        <f t="shared" si="609"/>
        <v>0</v>
      </c>
      <c r="AH563" s="33">
        <f t="shared" si="610"/>
        <v>0</v>
      </c>
      <c r="AI563" s="28"/>
      <c r="AJ563" s="16">
        <f t="shared" si="611"/>
        <v>0</v>
      </c>
      <c r="AK563" s="16">
        <f t="shared" si="612"/>
        <v>0</v>
      </c>
      <c r="AL563" s="16">
        <f t="shared" si="613"/>
        <v>0</v>
      </c>
      <c r="AN563" s="33">
        <v>21</v>
      </c>
      <c r="AO563" s="33">
        <f t="shared" si="622"/>
        <v>0</v>
      </c>
      <c r="AP563" s="33">
        <f t="shared" si="623"/>
        <v>0</v>
      </c>
      <c r="AQ563" s="27" t="s">
        <v>7</v>
      </c>
      <c r="AV563" s="33">
        <f t="shared" si="614"/>
        <v>0</v>
      </c>
      <c r="AW563" s="33">
        <f t="shared" si="615"/>
        <v>0</v>
      </c>
      <c r="AX563" s="33">
        <f t="shared" si="616"/>
        <v>0</v>
      </c>
      <c r="AY563" s="34" t="s">
        <v>1738</v>
      </c>
      <c r="AZ563" s="34" t="s">
        <v>1745</v>
      </c>
      <c r="BA563" s="28" t="s">
        <v>1752</v>
      </c>
      <c r="BC563" s="33">
        <f t="shared" si="617"/>
        <v>0</v>
      </c>
      <c r="BD563" s="33">
        <f t="shared" si="618"/>
        <v>0</v>
      </c>
      <c r="BE563" s="33">
        <v>0</v>
      </c>
      <c r="BF563" s="33">
        <f>563</f>
        <v>563</v>
      </c>
      <c r="BH563" s="16">
        <f t="shared" si="619"/>
        <v>0</v>
      </c>
      <c r="BI563" s="16">
        <f t="shared" si="620"/>
        <v>0</v>
      </c>
      <c r="BJ563" s="16">
        <f t="shared" si="621"/>
        <v>0</v>
      </c>
    </row>
    <row r="564" spans="1:62" x14ac:dyDescent="0.2">
      <c r="A564" s="4" t="s">
        <v>484</v>
      </c>
      <c r="B564" s="4" t="s">
        <v>1028</v>
      </c>
      <c r="C564" s="131" t="s">
        <v>1611</v>
      </c>
      <c r="D564" s="132"/>
      <c r="E564" s="132"/>
      <c r="F564" s="4" t="s">
        <v>1665</v>
      </c>
      <c r="G564" s="68">
        <v>1</v>
      </c>
      <c r="H564" s="162">
        <v>0</v>
      </c>
      <c r="I564" s="16">
        <f t="shared" si="600"/>
        <v>0</v>
      </c>
      <c r="J564" s="16">
        <f t="shared" si="601"/>
        <v>0</v>
      </c>
      <c r="K564" s="16">
        <f t="shared" si="602"/>
        <v>0</v>
      </c>
      <c r="L564" s="27"/>
      <c r="Z564" s="33">
        <f t="shared" si="603"/>
        <v>0</v>
      </c>
      <c r="AB564" s="33">
        <f t="shared" si="604"/>
        <v>0</v>
      </c>
      <c r="AC564" s="33">
        <f t="shared" si="605"/>
        <v>0</v>
      </c>
      <c r="AD564" s="33">
        <f t="shared" si="606"/>
        <v>0</v>
      </c>
      <c r="AE564" s="33">
        <f t="shared" si="607"/>
        <v>0</v>
      </c>
      <c r="AF564" s="33">
        <f t="shared" si="608"/>
        <v>0</v>
      </c>
      <c r="AG564" s="33">
        <f t="shared" si="609"/>
        <v>0</v>
      </c>
      <c r="AH564" s="33">
        <f t="shared" si="610"/>
        <v>0</v>
      </c>
      <c r="AI564" s="28"/>
      <c r="AJ564" s="16">
        <f t="shared" si="611"/>
        <v>0</v>
      </c>
      <c r="AK564" s="16">
        <f t="shared" si="612"/>
        <v>0</v>
      </c>
      <c r="AL564" s="16">
        <f t="shared" si="613"/>
        <v>0</v>
      </c>
      <c r="AN564" s="33">
        <v>21</v>
      </c>
      <c r="AO564" s="33">
        <f t="shared" si="622"/>
        <v>0</v>
      </c>
      <c r="AP564" s="33">
        <f t="shared" si="623"/>
        <v>0</v>
      </c>
      <c r="AQ564" s="27" t="s">
        <v>7</v>
      </c>
      <c r="AV564" s="33">
        <f t="shared" si="614"/>
        <v>0</v>
      </c>
      <c r="AW564" s="33">
        <f t="shared" si="615"/>
        <v>0</v>
      </c>
      <c r="AX564" s="33">
        <f t="shared" si="616"/>
        <v>0</v>
      </c>
      <c r="AY564" s="34" t="s">
        <v>1738</v>
      </c>
      <c r="AZ564" s="34" t="s">
        <v>1745</v>
      </c>
      <c r="BA564" s="28" t="s">
        <v>1752</v>
      </c>
      <c r="BC564" s="33">
        <f t="shared" si="617"/>
        <v>0</v>
      </c>
      <c r="BD564" s="33">
        <f t="shared" si="618"/>
        <v>0</v>
      </c>
      <c r="BE564" s="33">
        <v>0</v>
      </c>
      <c r="BF564" s="33">
        <f>564</f>
        <v>564</v>
      </c>
      <c r="BH564" s="16">
        <f t="shared" si="619"/>
        <v>0</v>
      </c>
      <c r="BI564" s="16">
        <f t="shared" si="620"/>
        <v>0</v>
      </c>
      <c r="BJ564" s="16">
        <f t="shared" si="621"/>
        <v>0</v>
      </c>
    </row>
    <row r="565" spans="1:62" x14ac:dyDescent="0.2">
      <c r="A565" s="73" t="s">
        <v>485</v>
      </c>
      <c r="B565" s="73" t="s">
        <v>1029</v>
      </c>
      <c r="C565" s="138" t="s">
        <v>1612</v>
      </c>
      <c r="D565" s="132"/>
      <c r="E565" s="132"/>
      <c r="F565" s="73" t="s">
        <v>1665</v>
      </c>
      <c r="G565" s="74">
        <v>1</v>
      </c>
      <c r="H565" s="166">
        <v>0</v>
      </c>
      <c r="I565" s="75">
        <f t="shared" si="600"/>
        <v>0</v>
      </c>
      <c r="J565" s="75">
        <f t="shared" si="601"/>
        <v>0</v>
      </c>
      <c r="K565" s="75">
        <f t="shared" si="602"/>
        <v>0</v>
      </c>
      <c r="L565" s="80"/>
      <c r="Z565" s="33">
        <f t="shared" si="603"/>
        <v>0</v>
      </c>
      <c r="AB565" s="33">
        <f t="shared" si="604"/>
        <v>0</v>
      </c>
      <c r="AC565" s="33">
        <f t="shared" si="605"/>
        <v>0</v>
      </c>
      <c r="AD565" s="33">
        <f t="shared" si="606"/>
        <v>0</v>
      </c>
      <c r="AE565" s="33">
        <f t="shared" si="607"/>
        <v>0</v>
      </c>
      <c r="AF565" s="33">
        <f t="shared" si="608"/>
        <v>0</v>
      </c>
      <c r="AG565" s="33">
        <f t="shared" si="609"/>
        <v>0</v>
      </c>
      <c r="AH565" s="33">
        <f t="shared" si="610"/>
        <v>0</v>
      </c>
      <c r="AI565" s="28"/>
      <c r="AJ565" s="16">
        <f t="shared" si="611"/>
        <v>0</v>
      </c>
      <c r="AK565" s="16">
        <f t="shared" si="612"/>
        <v>0</v>
      </c>
      <c r="AL565" s="16">
        <f t="shared" si="613"/>
        <v>0</v>
      </c>
      <c r="AN565" s="33">
        <v>21</v>
      </c>
      <c r="AO565" s="33">
        <f t="shared" si="622"/>
        <v>0</v>
      </c>
      <c r="AP565" s="33">
        <f t="shared" si="623"/>
        <v>0</v>
      </c>
      <c r="AQ565" s="27" t="s">
        <v>7</v>
      </c>
      <c r="AV565" s="33">
        <f t="shared" si="614"/>
        <v>0</v>
      </c>
      <c r="AW565" s="33">
        <f t="shared" si="615"/>
        <v>0</v>
      </c>
      <c r="AX565" s="33">
        <f t="shared" si="616"/>
        <v>0</v>
      </c>
      <c r="AY565" s="34" t="s">
        <v>1738</v>
      </c>
      <c r="AZ565" s="34" t="s">
        <v>1745</v>
      </c>
      <c r="BA565" s="28" t="s">
        <v>1752</v>
      </c>
      <c r="BC565" s="33">
        <f t="shared" si="617"/>
        <v>0</v>
      </c>
      <c r="BD565" s="33">
        <f t="shared" si="618"/>
        <v>0</v>
      </c>
      <c r="BE565" s="33">
        <v>0</v>
      </c>
      <c r="BF565" s="33">
        <f>565</f>
        <v>565</v>
      </c>
      <c r="BH565" s="16">
        <f t="shared" si="619"/>
        <v>0</v>
      </c>
      <c r="BI565" s="16">
        <f t="shared" si="620"/>
        <v>0</v>
      </c>
      <c r="BJ565" s="16">
        <f t="shared" si="621"/>
        <v>0</v>
      </c>
    </row>
    <row r="566" spans="1:62" x14ac:dyDescent="0.2">
      <c r="A566" s="4" t="s">
        <v>486</v>
      </c>
      <c r="B566" s="4" t="s">
        <v>1030</v>
      </c>
      <c r="C566" s="131" t="s">
        <v>1613</v>
      </c>
      <c r="D566" s="132"/>
      <c r="E566" s="132"/>
      <c r="F566" s="4" t="s">
        <v>1665</v>
      </c>
      <c r="G566" s="68">
        <v>23</v>
      </c>
      <c r="H566" s="162">
        <v>0</v>
      </c>
      <c r="I566" s="16">
        <f t="shared" si="600"/>
        <v>0</v>
      </c>
      <c r="J566" s="16">
        <f t="shared" si="601"/>
        <v>0</v>
      </c>
      <c r="K566" s="16">
        <f t="shared" si="602"/>
        <v>0</v>
      </c>
      <c r="L566" s="27"/>
      <c r="Z566" s="33">
        <f t="shared" si="603"/>
        <v>0</v>
      </c>
      <c r="AB566" s="33">
        <f t="shared" si="604"/>
        <v>0</v>
      </c>
      <c r="AC566" s="33">
        <f t="shared" si="605"/>
        <v>0</v>
      </c>
      <c r="AD566" s="33">
        <f t="shared" si="606"/>
        <v>0</v>
      </c>
      <c r="AE566" s="33">
        <f t="shared" si="607"/>
        <v>0</v>
      </c>
      <c r="AF566" s="33">
        <f t="shared" si="608"/>
        <v>0</v>
      </c>
      <c r="AG566" s="33">
        <f t="shared" si="609"/>
        <v>0</v>
      </c>
      <c r="AH566" s="33">
        <f t="shared" si="610"/>
        <v>0</v>
      </c>
      <c r="AI566" s="28"/>
      <c r="AJ566" s="16">
        <f t="shared" si="611"/>
        <v>0</v>
      </c>
      <c r="AK566" s="16">
        <f t="shared" si="612"/>
        <v>0</v>
      </c>
      <c r="AL566" s="16">
        <f t="shared" si="613"/>
        <v>0</v>
      </c>
      <c r="AN566" s="33">
        <v>21</v>
      </c>
      <c r="AO566" s="33">
        <f t="shared" si="622"/>
        <v>0</v>
      </c>
      <c r="AP566" s="33">
        <f t="shared" si="623"/>
        <v>0</v>
      </c>
      <c r="AQ566" s="27" t="s">
        <v>7</v>
      </c>
      <c r="AV566" s="33">
        <f t="shared" si="614"/>
        <v>0</v>
      </c>
      <c r="AW566" s="33">
        <f t="shared" si="615"/>
        <v>0</v>
      </c>
      <c r="AX566" s="33">
        <f t="shared" si="616"/>
        <v>0</v>
      </c>
      <c r="AY566" s="34" t="s">
        <v>1738</v>
      </c>
      <c r="AZ566" s="34" t="s">
        <v>1745</v>
      </c>
      <c r="BA566" s="28" t="s">
        <v>1752</v>
      </c>
      <c r="BC566" s="33">
        <f t="shared" si="617"/>
        <v>0</v>
      </c>
      <c r="BD566" s="33">
        <f t="shared" si="618"/>
        <v>0</v>
      </c>
      <c r="BE566" s="33">
        <v>0</v>
      </c>
      <c r="BF566" s="33">
        <f>566</f>
        <v>566</v>
      </c>
      <c r="BH566" s="16">
        <f t="shared" si="619"/>
        <v>0</v>
      </c>
      <c r="BI566" s="16">
        <f t="shared" si="620"/>
        <v>0</v>
      </c>
      <c r="BJ566" s="16">
        <f t="shared" si="621"/>
        <v>0</v>
      </c>
    </row>
    <row r="567" spans="1:62" x14ac:dyDescent="0.2">
      <c r="A567" s="73" t="s">
        <v>487</v>
      </c>
      <c r="B567" s="73" t="s">
        <v>1031</v>
      </c>
      <c r="C567" s="138" t="s">
        <v>1613</v>
      </c>
      <c r="D567" s="132"/>
      <c r="E567" s="132"/>
      <c r="F567" s="73" t="s">
        <v>1665</v>
      </c>
      <c r="G567" s="74">
        <v>23</v>
      </c>
      <c r="H567" s="166">
        <v>0</v>
      </c>
      <c r="I567" s="75">
        <f t="shared" si="600"/>
        <v>0</v>
      </c>
      <c r="J567" s="75">
        <f t="shared" si="601"/>
        <v>0</v>
      </c>
      <c r="K567" s="75">
        <f t="shared" si="602"/>
        <v>0</v>
      </c>
      <c r="L567" s="80"/>
      <c r="Z567" s="33">
        <f t="shared" si="603"/>
        <v>0</v>
      </c>
      <c r="AB567" s="33">
        <f t="shared" si="604"/>
        <v>0</v>
      </c>
      <c r="AC567" s="33">
        <f t="shared" si="605"/>
        <v>0</v>
      </c>
      <c r="AD567" s="33">
        <f t="shared" si="606"/>
        <v>0</v>
      </c>
      <c r="AE567" s="33">
        <f t="shared" si="607"/>
        <v>0</v>
      </c>
      <c r="AF567" s="33">
        <f t="shared" si="608"/>
        <v>0</v>
      </c>
      <c r="AG567" s="33">
        <f t="shared" si="609"/>
        <v>0</v>
      </c>
      <c r="AH567" s="33">
        <f t="shared" si="610"/>
        <v>0</v>
      </c>
      <c r="AI567" s="28"/>
      <c r="AJ567" s="16">
        <f t="shared" si="611"/>
        <v>0</v>
      </c>
      <c r="AK567" s="16">
        <f t="shared" si="612"/>
        <v>0</v>
      </c>
      <c r="AL567" s="16">
        <f t="shared" si="613"/>
        <v>0</v>
      </c>
      <c r="AN567" s="33">
        <v>21</v>
      </c>
      <c r="AO567" s="33">
        <f t="shared" si="622"/>
        <v>0</v>
      </c>
      <c r="AP567" s="33">
        <f t="shared" si="623"/>
        <v>0</v>
      </c>
      <c r="AQ567" s="27" t="s">
        <v>7</v>
      </c>
      <c r="AV567" s="33">
        <f t="shared" si="614"/>
        <v>0</v>
      </c>
      <c r="AW567" s="33">
        <f t="shared" si="615"/>
        <v>0</v>
      </c>
      <c r="AX567" s="33">
        <f t="shared" si="616"/>
        <v>0</v>
      </c>
      <c r="AY567" s="34" t="s">
        <v>1738</v>
      </c>
      <c r="AZ567" s="34" t="s">
        <v>1745</v>
      </c>
      <c r="BA567" s="28" t="s">
        <v>1752</v>
      </c>
      <c r="BC567" s="33">
        <f t="shared" si="617"/>
        <v>0</v>
      </c>
      <c r="BD567" s="33">
        <f t="shared" si="618"/>
        <v>0</v>
      </c>
      <c r="BE567" s="33">
        <v>0</v>
      </c>
      <c r="BF567" s="33">
        <f>567</f>
        <v>567</v>
      </c>
      <c r="BH567" s="16">
        <f t="shared" si="619"/>
        <v>0</v>
      </c>
      <c r="BI567" s="16">
        <f t="shared" si="620"/>
        <v>0</v>
      </c>
      <c r="BJ567" s="16">
        <f t="shared" si="621"/>
        <v>0</v>
      </c>
    </row>
    <row r="568" spans="1:62" x14ac:dyDescent="0.2">
      <c r="A568" s="4" t="s">
        <v>488</v>
      </c>
      <c r="B568" s="4" t="s">
        <v>1032</v>
      </c>
      <c r="C568" s="131" t="s">
        <v>1614</v>
      </c>
      <c r="D568" s="132"/>
      <c r="E568" s="132"/>
      <c r="F568" s="4" t="s">
        <v>1665</v>
      </c>
      <c r="G568" s="68">
        <v>1</v>
      </c>
      <c r="H568" s="162">
        <v>0</v>
      </c>
      <c r="I568" s="16">
        <f t="shared" ref="I568:I599" si="624">G568*AO568</f>
        <v>0</v>
      </c>
      <c r="J568" s="16">
        <f t="shared" ref="J568:J599" si="625">G568*AP568</f>
        <v>0</v>
      </c>
      <c r="K568" s="16">
        <f t="shared" ref="K568:K599" si="626">G568*H568</f>
        <v>0</v>
      </c>
      <c r="L568" s="27"/>
      <c r="Z568" s="33">
        <f t="shared" ref="Z568:Z599" si="627">IF(AQ568="5",BJ568,0)</f>
        <v>0</v>
      </c>
      <c r="AB568" s="33">
        <f t="shared" ref="AB568:AB599" si="628">IF(AQ568="1",BH568,0)</f>
        <v>0</v>
      </c>
      <c r="AC568" s="33">
        <f t="shared" ref="AC568:AC599" si="629">IF(AQ568="1",BI568,0)</f>
        <v>0</v>
      </c>
      <c r="AD568" s="33">
        <f t="shared" ref="AD568:AD599" si="630">IF(AQ568="7",BH568,0)</f>
        <v>0</v>
      </c>
      <c r="AE568" s="33">
        <f t="shared" ref="AE568:AE599" si="631">IF(AQ568="7",BI568,0)</f>
        <v>0</v>
      </c>
      <c r="AF568" s="33">
        <f t="shared" ref="AF568:AF599" si="632">IF(AQ568="2",BH568,0)</f>
        <v>0</v>
      </c>
      <c r="AG568" s="33">
        <f t="shared" ref="AG568:AG599" si="633">IF(AQ568="2",BI568,0)</f>
        <v>0</v>
      </c>
      <c r="AH568" s="33">
        <f t="shared" ref="AH568:AH599" si="634">IF(AQ568="0",BJ568,0)</f>
        <v>0</v>
      </c>
      <c r="AI568" s="28"/>
      <c r="AJ568" s="16">
        <f t="shared" ref="AJ568:AJ599" si="635">IF(AN568=0,K568,0)</f>
        <v>0</v>
      </c>
      <c r="AK568" s="16">
        <f t="shared" ref="AK568:AK599" si="636">IF(AN568=15,K568,0)</f>
        <v>0</v>
      </c>
      <c r="AL568" s="16">
        <f t="shared" ref="AL568:AL599" si="637">IF(AN568=21,K568,0)</f>
        <v>0</v>
      </c>
      <c r="AN568" s="33">
        <v>21</v>
      </c>
      <c r="AO568" s="33">
        <f t="shared" si="622"/>
        <v>0</v>
      </c>
      <c r="AP568" s="33">
        <f t="shared" si="623"/>
        <v>0</v>
      </c>
      <c r="AQ568" s="27" t="s">
        <v>7</v>
      </c>
      <c r="AV568" s="33">
        <f t="shared" ref="AV568:AV599" si="638">AW568+AX568</f>
        <v>0</v>
      </c>
      <c r="AW568" s="33">
        <f t="shared" ref="AW568:AW599" si="639">G568*AO568</f>
        <v>0</v>
      </c>
      <c r="AX568" s="33">
        <f t="shared" ref="AX568:AX599" si="640">G568*AP568</f>
        <v>0</v>
      </c>
      <c r="AY568" s="34" t="s">
        <v>1738</v>
      </c>
      <c r="AZ568" s="34" t="s">
        <v>1745</v>
      </c>
      <c r="BA568" s="28" t="s">
        <v>1752</v>
      </c>
      <c r="BC568" s="33">
        <f t="shared" ref="BC568:BC599" si="641">AW568+AX568</f>
        <v>0</v>
      </c>
      <c r="BD568" s="33">
        <f t="shared" ref="BD568:BD599" si="642">H568/(100-BE568)*100</f>
        <v>0</v>
      </c>
      <c r="BE568" s="33">
        <v>0</v>
      </c>
      <c r="BF568" s="33">
        <f>568</f>
        <v>568</v>
      </c>
      <c r="BH568" s="16">
        <f t="shared" ref="BH568:BH599" si="643">G568*AO568</f>
        <v>0</v>
      </c>
      <c r="BI568" s="16">
        <f t="shared" ref="BI568:BI599" si="644">G568*AP568</f>
        <v>0</v>
      </c>
      <c r="BJ568" s="16">
        <f t="shared" ref="BJ568:BJ599" si="645">G568*H568</f>
        <v>0</v>
      </c>
    </row>
    <row r="569" spans="1:62" x14ac:dyDescent="0.2">
      <c r="A569" s="73" t="s">
        <v>489</v>
      </c>
      <c r="B569" s="73" t="s">
        <v>1031</v>
      </c>
      <c r="C569" s="138" t="s">
        <v>1614</v>
      </c>
      <c r="D569" s="132"/>
      <c r="E569" s="132"/>
      <c r="F569" s="73" t="s">
        <v>1665</v>
      </c>
      <c r="G569" s="74">
        <v>1</v>
      </c>
      <c r="H569" s="166">
        <v>0</v>
      </c>
      <c r="I569" s="75">
        <f t="shared" si="624"/>
        <v>0</v>
      </c>
      <c r="J569" s="75">
        <f t="shared" si="625"/>
        <v>0</v>
      </c>
      <c r="K569" s="75">
        <f t="shared" si="626"/>
        <v>0</v>
      </c>
      <c r="L569" s="80"/>
      <c r="Z569" s="33">
        <f t="shared" si="627"/>
        <v>0</v>
      </c>
      <c r="AB569" s="33">
        <f t="shared" si="628"/>
        <v>0</v>
      </c>
      <c r="AC569" s="33">
        <f t="shared" si="629"/>
        <v>0</v>
      </c>
      <c r="AD569" s="33">
        <f t="shared" si="630"/>
        <v>0</v>
      </c>
      <c r="AE569" s="33">
        <f t="shared" si="631"/>
        <v>0</v>
      </c>
      <c r="AF569" s="33">
        <f t="shared" si="632"/>
        <v>0</v>
      </c>
      <c r="AG569" s="33">
        <f t="shared" si="633"/>
        <v>0</v>
      </c>
      <c r="AH569" s="33">
        <f t="shared" si="634"/>
        <v>0</v>
      </c>
      <c r="AI569" s="28"/>
      <c r="AJ569" s="16">
        <f t="shared" si="635"/>
        <v>0</v>
      </c>
      <c r="AK569" s="16">
        <f t="shared" si="636"/>
        <v>0</v>
      </c>
      <c r="AL569" s="16">
        <f t="shared" si="637"/>
        <v>0</v>
      </c>
      <c r="AN569" s="33">
        <v>21</v>
      </c>
      <c r="AO569" s="33">
        <f t="shared" si="622"/>
        <v>0</v>
      </c>
      <c r="AP569" s="33">
        <f t="shared" si="623"/>
        <v>0</v>
      </c>
      <c r="AQ569" s="27" t="s">
        <v>7</v>
      </c>
      <c r="AV569" s="33">
        <f t="shared" si="638"/>
        <v>0</v>
      </c>
      <c r="AW569" s="33">
        <f t="shared" si="639"/>
        <v>0</v>
      </c>
      <c r="AX569" s="33">
        <f t="shared" si="640"/>
        <v>0</v>
      </c>
      <c r="AY569" s="34" t="s">
        <v>1738</v>
      </c>
      <c r="AZ569" s="34" t="s">
        <v>1745</v>
      </c>
      <c r="BA569" s="28" t="s">
        <v>1752</v>
      </c>
      <c r="BC569" s="33">
        <f t="shared" si="641"/>
        <v>0</v>
      </c>
      <c r="BD569" s="33">
        <f t="shared" si="642"/>
        <v>0</v>
      </c>
      <c r="BE569" s="33">
        <v>0</v>
      </c>
      <c r="BF569" s="33">
        <f>569</f>
        <v>569</v>
      </c>
      <c r="BH569" s="16">
        <f t="shared" si="643"/>
        <v>0</v>
      </c>
      <c r="BI569" s="16">
        <f t="shared" si="644"/>
        <v>0</v>
      </c>
      <c r="BJ569" s="16">
        <f t="shared" si="645"/>
        <v>0</v>
      </c>
    </row>
    <row r="570" spans="1:62" x14ac:dyDescent="0.2">
      <c r="A570" s="4" t="s">
        <v>490</v>
      </c>
      <c r="B570" s="4" t="s">
        <v>1033</v>
      </c>
      <c r="C570" s="131" t="s">
        <v>1615</v>
      </c>
      <c r="D570" s="132"/>
      <c r="E570" s="132"/>
      <c r="F570" s="4" t="s">
        <v>1665</v>
      </c>
      <c r="G570" s="68">
        <v>6</v>
      </c>
      <c r="H570" s="162">
        <v>0</v>
      </c>
      <c r="I570" s="16">
        <f t="shared" si="624"/>
        <v>0</v>
      </c>
      <c r="J570" s="16">
        <f t="shared" si="625"/>
        <v>0</v>
      </c>
      <c r="K570" s="16">
        <f t="shared" si="626"/>
        <v>0</v>
      </c>
      <c r="L570" s="27"/>
      <c r="Z570" s="33">
        <f t="shared" si="627"/>
        <v>0</v>
      </c>
      <c r="AB570" s="33">
        <f t="shared" si="628"/>
        <v>0</v>
      </c>
      <c r="AC570" s="33">
        <f t="shared" si="629"/>
        <v>0</v>
      </c>
      <c r="AD570" s="33">
        <f t="shared" si="630"/>
        <v>0</v>
      </c>
      <c r="AE570" s="33">
        <f t="shared" si="631"/>
        <v>0</v>
      </c>
      <c r="AF570" s="33">
        <f t="shared" si="632"/>
        <v>0</v>
      </c>
      <c r="AG570" s="33">
        <f t="shared" si="633"/>
        <v>0</v>
      </c>
      <c r="AH570" s="33">
        <f t="shared" si="634"/>
        <v>0</v>
      </c>
      <c r="AI570" s="28"/>
      <c r="AJ570" s="16">
        <f t="shared" si="635"/>
        <v>0</v>
      </c>
      <c r="AK570" s="16">
        <f t="shared" si="636"/>
        <v>0</v>
      </c>
      <c r="AL570" s="16">
        <f t="shared" si="637"/>
        <v>0</v>
      </c>
      <c r="AN570" s="33">
        <v>21</v>
      </c>
      <c r="AO570" s="33">
        <f t="shared" si="622"/>
        <v>0</v>
      </c>
      <c r="AP570" s="33">
        <f t="shared" si="623"/>
        <v>0</v>
      </c>
      <c r="AQ570" s="27" t="s">
        <v>7</v>
      </c>
      <c r="AV570" s="33">
        <f t="shared" si="638"/>
        <v>0</v>
      </c>
      <c r="AW570" s="33">
        <f t="shared" si="639"/>
        <v>0</v>
      </c>
      <c r="AX570" s="33">
        <f t="shared" si="640"/>
        <v>0</v>
      </c>
      <c r="AY570" s="34" t="s">
        <v>1738</v>
      </c>
      <c r="AZ570" s="34" t="s">
        <v>1745</v>
      </c>
      <c r="BA570" s="28" t="s">
        <v>1752</v>
      </c>
      <c r="BC570" s="33">
        <f t="shared" si="641"/>
        <v>0</v>
      </c>
      <c r="BD570" s="33">
        <f t="shared" si="642"/>
        <v>0</v>
      </c>
      <c r="BE570" s="33">
        <v>0</v>
      </c>
      <c r="BF570" s="33">
        <f>570</f>
        <v>570</v>
      </c>
      <c r="BH570" s="16">
        <f t="shared" si="643"/>
        <v>0</v>
      </c>
      <c r="BI570" s="16">
        <f t="shared" si="644"/>
        <v>0</v>
      </c>
      <c r="BJ570" s="16">
        <f t="shared" si="645"/>
        <v>0</v>
      </c>
    </row>
    <row r="571" spans="1:62" x14ac:dyDescent="0.2">
      <c r="A571" s="73" t="s">
        <v>491</v>
      </c>
      <c r="B571" s="73" t="s">
        <v>1034</v>
      </c>
      <c r="C571" s="138" t="s">
        <v>1616</v>
      </c>
      <c r="D571" s="132"/>
      <c r="E571" s="132"/>
      <c r="F571" s="73" t="s">
        <v>1665</v>
      </c>
      <c r="G571" s="74">
        <v>6</v>
      </c>
      <c r="H571" s="166">
        <v>0</v>
      </c>
      <c r="I571" s="75">
        <f t="shared" si="624"/>
        <v>0</v>
      </c>
      <c r="J571" s="75">
        <f t="shared" si="625"/>
        <v>0</v>
      </c>
      <c r="K571" s="75">
        <f t="shared" si="626"/>
        <v>0</v>
      </c>
      <c r="L571" s="80"/>
      <c r="Z571" s="33">
        <f t="shared" si="627"/>
        <v>0</v>
      </c>
      <c r="AB571" s="33">
        <f t="shared" si="628"/>
        <v>0</v>
      </c>
      <c r="AC571" s="33">
        <f t="shared" si="629"/>
        <v>0</v>
      </c>
      <c r="AD571" s="33">
        <f t="shared" si="630"/>
        <v>0</v>
      </c>
      <c r="AE571" s="33">
        <f t="shared" si="631"/>
        <v>0</v>
      </c>
      <c r="AF571" s="33">
        <f t="shared" si="632"/>
        <v>0</v>
      </c>
      <c r="AG571" s="33">
        <f t="shared" si="633"/>
        <v>0</v>
      </c>
      <c r="AH571" s="33">
        <f t="shared" si="634"/>
        <v>0</v>
      </c>
      <c r="AI571" s="28"/>
      <c r="AJ571" s="16">
        <f t="shared" si="635"/>
        <v>0</v>
      </c>
      <c r="AK571" s="16">
        <f t="shared" si="636"/>
        <v>0</v>
      </c>
      <c r="AL571" s="16">
        <f t="shared" si="637"/>
        <v>0</v>
      </c>
      <c r="AN571" s="33">
        <v>21</v>
      </c>
      <c r="AO571" s="33">
        <f t="shared" si="622"/>
        <v>0</v>
      </c>
      <c r="AP571" s="33">
        <f t="shared" si="623"/>
        <v>0</v>
      </c>
      <c r="AQ571" s="27" t="s">
        <v>7</v>
      </c>
      <c r="AV571" s="33">
        <f t="shared" si="638"/>
        <v>0</v>
      </c>
      <c r="AW571" s="33">
        <f t="shared" si="639"/>
        <v>0</v>
      </c>
      <c r="AX571" s="33">
        <f t="shared" si="640"/>
        <v>0</v>
      </c>
      <c r="AY571" s="34" t="s">
        <v>1738</v>
      </c>
      <c r="AZ571" s="34" t="s">
        <v>1745</v>
      </c>
      <c r="BA571" s="28" t="s">
        <v>1752</v>
      </c>
      <c r="BC571" s="33">
        <f t="shared" si="641"/>
        <v>0</v>
      </c>
      <c r="BD571" s="33">
        <f t="shared" si="642"/>
        <v>0</v>
      </c>
      <c r="BE571" s="33">
        <v>0</v>
      </c>
      <c r="BF571" s="33">
        <f>571</f>
        <v>571</v>
      </c>
      <c r="BH571" s="16">
        <f t="shared" si="643"/>
        <v>0</v>
      </c>
      <c r="BI571" s="16">
        <f t="shared" si="644"/>
        <v>0</v>
      </c>
      <c r="BJ571" s="16">
        <f t="shared" si="645"/>
        <v>0</v>
      </c>
    </row>
    <row r="572" spans="1:62" x14ac:dyDescent="0.2">
      <c r="A572" s="4" t="s">
        <v>492</v>
      </c>
      <c r="B572" s="4" t="s">
        <v>1035</v>
      </c>
      <c r="C572" s="131" t="s">
        <v>1617</v>
      </c>
      <c r="D572" s="132"/>
      <c r="E572" s="132"/>
      <c r="F572" s="4" t="s">
        <v>1674</v>
      </c>
      <c r="G572" s="68">
        <v>1</v>
      </c>
      <c r="H572" s="162">
        <v>0</v>
      </c>
      <c r="I572" s="16">
        <f t="shared" si="624"/>
        <v>0</v>
      </c>
      <c r="J572" s="16">
        <f t="shared" si="625"/>
        <v>0</v>
      </c>
      <c r="K572" s="16">
        <f t="shared" si="626"/>
        <v>0</v>
      </c>
      <c r="L572" s="27"/>
      <c r="Z572" s="33">
        <f t="shared" si="627"/>
        <v>0</v>
      </c>
      <c r="AB572" s="33">
        <f t="shared" si="628"/>
        <v>0</v>
      </c>
      <c r="AC572" s="33">
        <f t="shared" si="629"/>
        <v>0</v>
      </c>
      <c r="AD572" s="33">
        <f t="shared" si="630"/>
        <v>0</v>
      </c>
      <c r="AE572" s="33">
        <f t="shared" si="631"/>
        <v>0</v>
      </c>
      <c r="AF572" s="33">
        <f t="shared" si="632"/>
        <v>0</v>
      </c>
      <c r="AG572" s="33">
        <f t="shared" si="633"/>
        <v>0</v>
      </c>
      <c r="AH572" s="33">
        <f t="shared" si="634"/>
        <v>0</v>
      </c>
      <c r="AI572" s="28"/>
      <c r="AJ572" s="16">
        <f t="shared" si="635"/>
        <v>0</v>
      </c>
      <c r="AK572" s="16">
        <f t="shared" si="636"/>
        <v>0</v>
      </c>
      <c r="AL572" s="16">
        <f t="shared" si="637"/>
        <v>0</v>
      </c>
      <c r="AN572" s="33">
        <v>21</v>
      </c>
      <c r="AO572" s="33">
        <f t="shared" si="622"/>
        <v>0</v>
      </c>
      <c r="AP572" s="33">
        <f t="shared" si="623"/>
        <v>0</v>
      </c>
      <c r="AQ572" s="27" t="s">
        <v>7</v>
      </c>
      <c r="AV572" s="33">
        <f t="shared" si="638"/>
        <v>0</v>
      </c>
      <c r="AW572" s="33">
        <f t="shared" si="639"/>
        <v>0</v>
      </c>
      <c r="AX572" s="33">
        <f t="shared" si="640"/>
        <v>0</v>
      </c>
      <c r="AY572" s="34" t="s">
        <v>1738</v>
      </c>
      <c r="AZ572" s="34" t="s">
        <v>1745</v>
      </c>
      <c r="BA572" s="28" t="s">
        <v>1752</v>
      </c>
      <c r="BC572" s="33">
        <f t="shared" si="641"/>
        <v>0</v>
      </c>
      <c r="BD572" s="33">
        <f t="shared" si="642"/>
        <v>0</v>
      </c>
      <c r="BE572" s="33">
        <v>0</v>
      </c>
      <c r="BF572" s="33">
        <f>572</f>
        <v>572</v>
      </c>
      <c r="BH572" s="16">
        <f t="shared" si="643"/>
        <v>0</v>
      </c>
      <c r="BI572" s="16">
        <f t="shared" si="644"/>
        <v>0</v>
      </c>
      <c r="BJ572" s="16">
        <f t="shared" si="645"/>
        <v>0</v>
      </c>
    </row>
    <row r="573" spans="1:62" x14ac:dyDescent="0.2">
      <c r="A573" s="4" t="s">
        <v>493</v>
      </c>
      <c r="B573" s="4" t="s">
        <v>1036</v>
      </c>
      <c r="C573" s="131" t="s">
        <v>1618</v>
      </c>
      <c r="D573" s="132"/>
      <c r="E573" s="132"/>
      <c r="F573" s="4" t="s">
        <v>1665</v>
      </c>
      <c r="G573" s="68">
        <v>24</v>
      </c>
      <c r="H573" s="162">
        <v>0</v>
      </c>
      <c r="I573" s="16">
        <f t="shared" si="624"/>
        <v>0</v>
      </c>
      <c r="J573" s="16">
        <f t="shared" si="625"/>
        <v>0</v>
      </c>
      <c r="K573" s="16">
        <f t="shared" si="626"/>
        <v>0</v>
      </c>
      <c r="L573" s="27"/>
      <c r="Z573" s="33">
        <f t="shared" si="627"/>
        <v>0</v>
      </c>
      <c r="AB573" s="33">
        <f t="shared" si="628"/>
        <v>0</v>
      </c>
      <c r="AC573" s="33">
        <f t="shared" si="629"/>
        <v>0</v>
      </c>
      <c r="AD573" s="33">
        <f t="shared" si="630"/>
        <v>0</v>
      </c>
      <c r="AE573" s="33">
        <f t="shared" si="631"/>
        <v>0</v>
      </c>
      <c r="AF573" s="33">
        <f t="shared" si="632"/>
        <v>0</v>
      </c>
      <c r="AG573" s="33">
        <f t="shared" si="633"/>
        <v>0</v>
      </c>
      <c r="AH573" s="33">
        <f t="shared" si="634"/>
        <v>0</v>
      </c>
      <c r="AI573" s="28"/>
      <c r="AJ573" s="16">
        <f t="shared" si="635"/>
        <v>0</v>
      </c>
      <c r="AK573" s="16">
        <f t="shared" si="636"/>
        <v>0</v>
      </c>
      <c r="AL573" s="16">
        <f t="shared" si="637"/>
        <v>0</v>
      </c>
      <c r="AN573" s="33">
        <v>21</v>
      </c>
      <c r="AO573" s="33">
        <f t="shared" si="622"/>
        <v>0</v>
      </c>
      <c r="AP573" s="33">
        <f t="shared" si="623"/>
        <v>0</v>
      </c>
      <c r="AQ573" s="27" t="s">
        <v>7</v>
      </c>
      <c r="AV573" s="33">
        <f t="shared" si="638"/>
        <v>0</v>
      </c>
      <c r="AW573" s="33">
        <f t="shared" si="639"/>
        <v>0</v>
      </c>
      <c r="AX573" s="33">
        <f t="shared" si="640"/>
        <v>0</v>
      </c>
      <c r="AY573" s="34" t="s">
        <v>1738</v>
      </c>
      <c r="AZ573" s="34" t="s">
        <v>1745</v>
      </c>
      <c r="BA573" s="28" t="s">
        <v>1752</v>
      </c>
      <c r="BC573" s="33">
        <f t="shared" si="641"/>
        <v>0</v>
      </c>
      <c r="BD573" s="33">
        <f t="shared" si="642"/>
        <v>0</v>
      </c>
      <c r="BE573" s="33">
        <v>0</v>
      </c>
      <c r="BF573" s="33">
        <f>573</f>
        <v>573</v>
      </c>
      <c r="BH573" s="16">
        <f t="shared" si="643"/>
        <v>0</v>
      </c>
      <c r="BI573" s="16">
        <f t="shared" si="644"/>
        <v>0</v>
      </c>
      <c r="BJ573" s="16">
        <f t="shared" si="645"/>
        <v>0</v>
      </c>
    </row>
    <row r="574" spans="1:62" x14ac:dyDescent="0.2">
      <c r="A574" s="73" t="s">
        <v>494</v>
      </c>
      <c r="B574" s="73" t="s">
        <v>1037</v>
      </c>
      <c r="C574" s="138" t="s">
        <v>1619</v>
      </c>
      <c r="D574" s="132"/>
      <c r="E574" s="132"/>
      <c r="F574" s="73" t="s">
        <v>1665</v>
      </c>
      <c r="G574" s="74">
        <v>11</v>
      </c>
      <c r="H574" s="166">
        <v>0</v>
      </c>
      <c r="I574" s="75">
        <f t="shared" si="624"/>
        <v>0</v>
      </c>
      <c r="J574" s="75">
        <f t="shared" si="625"/>
        <v>0</v>
      </c>
      <c r="K574" s="75">
        <f t="shared" si="626"/>
        <v>0</v>
      </c>
      <c r="L574" s="80"/>
      <c r="Z574" s="33">
        <f t="shared" si="627"/>
        <v>0</v>
      </c>
      <c r="AB574" s="33">
        <f t="shared" si="628"/>
        <v>0</v>
      </c>
      <c r="AC574" s="33">
        <f t="shared" si="629"/>
        <v>0</v>
      </c>
      <c r="AD574" s="33">
        <f t="shared" si="630"/>
        <v>0</v>
      </c>
      <c r="AE574" s="33">
        <f t="shared" si="631"/>
        <v>0</v>
      </c>
      <c r="AF574" s="33">
        <f t="shared" si="632"/>
        <v>0</v>
      </c>
      <c r="AG574" s="33">
        <f t="shared" si="633"/>
        <v>0</v>
      </c>
      <c r="AH574" s="33">
        <f t="shared" si="634"/>
        <v>0</v>
      </c>
      <c r="AI574" s="28"/>
      <c r="AJ574" s="16">
        <f t="shared" si="635"/>
        <v>0</v>
      </c>
      <c r="AK574" s="16">
        <f t="shared" si="636"/>
        <v>0</v>
      </c>
      <c r="AL574" s="16">
        <f t="shared" si="637"/>
        <v>0</v>
      </c>
      <c r="AN574" s="33">
        <v>21</v>
      </c>
      <c r="AO574" s="33">
        <f t="shared" si="622"/>
        <v>0</v>
      </c>
      <c r="AP574" s="33">
        <f t="shared" si="623"/>
        <v>0</v>
      </c>
      <c r="AQ574" s="27" t="s">
        <v>7</v>
      </c>
      <c r="AV574" s="33">
        <f t="shared" si="638"/>
        <v>0</v>
      </c>
      <c r="AW574" s="33">
        <f t="shared" si="639"/>
        <v>0</v>
      </c>
      <c r="AX574" s="33">
        <f t="shared" si="640"/>
        <v>0</v>
      </c>
      <c r="AY574" s="34" t="s">
        <v>1738</v>
      </c>
      <c r="AZ574" s="34" t="s">
        <v>1745</v>
      </c>
      <c r="BA574" s="28" t="s">
        <v>1752</v>
      </c>
      <c r="BC574" s="33">
        <f t="shared" si="641"/>
        <v>0</v>
      </c>
      <c r="BD574" s="33">
        <f t="shared" si="642"/>
        <v>0</v>
      </c>
      <c r="BE574" s="33">
        <v>0</v>
      </c>
      <c r="BF574" s="33">
        <f>574</f>
        <v>574</v>
      </c>
      <c r="BH574" s="16">
        <f t="shared" si="643"/>
        <v>0</v>
      </c>
      <c r="BI574" s="16">
        <f t="shared" si="644"/>
        <v>0</v>
      </c>
      <c r="BJ574" s="16">
        <f t="shared" si="645"/>
        <v>0</v>
      </c>
    </row>
    <row r="575" spans="1:62" x14ac:dyDescent="0.2">
      <c r="A575" s="73" t="s">
        <v>495</v>
      </c>
      <c r="B575" s="73" t="s">
        <v>1038</v>
      </c>
      <c r="C575" s="138" t="s">
        <v>1620</v>
      </c>
      <c r="D575" s="132"/>
      <c r="E575" s="132"/>
      <c r="F575" s="73" t="s">
        <v>1665</v>
      </c>
      <c r="G575" s="74">
        <v>7</v>
      </c>
      <c r="H575" s="166">
        <v>0</v>
      </c>
      <c r="I575" s="75">
        <f t="shared" si="624"/>
        <v>0</v>
      </c>
      <c r="J575" s="75">
        <f t="shared" si="625"/>
        <v>0</v>
      </c>
      <c r="K575" s="75">
        <f t="shared" si="626"/>
        <v>0</v>
      </c>
      <c r="L575" s="80"/>
      <c r="Z575" s="33">
        <f t="shared" si="627"/>
        <v>0</v>
      </c>
      <c r="AB575" s="33">
        <f t="shared" si="628"/>
        <v>0</v>
      </c>
      <c r="AC575" s="33">
        <f t="shared" si="629"/>
        <v>0</v>
      </c>
      <c r="AD575" s="33">
        <f t="shared" si="630"/>
        <v>0</v>
      </c>
      <c r="AE575" s="33">
        <f t="shared" si="631"/>
        <v>0</v>
      </c>
      <c r="AF575" s="33">
        <f t="shared" si="632"/>
        <v>0</v>
      </c>
      <c r="AG575" s="33">
        <f t="shared" si="633"/>
        <v>0</v>
      </c>
      <c r="AH575" s="33">
        <f t="shared" si="634"/>
        <v>0</v>
      </c>
      <c r="AI575" s="28"/>
      <c r="AJ575" s="16">
        <f t="shared" si="635"/>
        <v>0</v>
      </c>
      <c r="AK575" s="16">
        <f t="shared" si="636"/>
        <v>0</v>
      </c>
      <c r="AL575" s="16">
        <f t="shared" si="637"/>
        <v>0</v>
      </c>
      <c r="AN575" s="33">
        <v>21</v>
      </c>
      <c r="AO575" s="33">
        <f t="shared" si="622"/>
        <v>0</v>
      </c>
      <c r="AP575" s="33">
        <f t="shared" si="623"/>
        <v>0</v>
      </c>
      <c r="AQ575" s="27" t="s">
        <v>7</v>
      </c>
      <c r="AV575" s="33">
        <f t="shared" si="638"/>
        <v>0</v>
      </c>
      <c r="AW575" s="33">
        <f t="shared" si="639"/>
        <v>0</v>
      </c>
      <c r="AX575" s="33">
        <f t="shared" si="640"/>
        <v>0</v>
      </c>
      <c r="AY575" s="34" t="s">
        <v>1738</v>
      </c>
      <c r="AZ575" s="34" t="s">
        <v>1745</v>
      </c>
      <c r="BA575" s="28" t="s">
        <v>1752</v>
      </c>
      <c r="BC575" s="33">
        <f t="shared" si="641"/>
        <v>0</v>
      </c>
      <c r="BD575" s="33">
        <f t="shared" si="642"/>
        <v>0</v>
      </c>
      <c r="BE575" s="33">
        <v>0</v>
      </c>
      <c r="BF575" s="33">
        <f>575</f>
        <v>575</v>
      </c>
      <c r="BH575" s="16">
        <f t="shared" si="643"/>
        <v>0</v>
      </c>
      <c r="BI575" s="16">
        <f t="shared" si="644"/>
        <v>0</v>
      </c>
      <c r="BJ575" s="16">
        <f t="shared" si="645"/>
        <v>0</v>
      </c>
    </row>
    <row r="576" spans="1:62" x14ac:dyDescent="0.2">
      <c r="A576" s="73" t="s">
        <v>496</v>
      </c>
      <c r="B576" s="73" t="s">
        <v>1039</v>
      </c>
      <c r="C576" s="138" t="s">
        <v>1621</v>
      </c>
      <c r="D576" s="132"/>
      <c r="E576" s="132"/>
      <c r="F576" s="73" t="s">
        <v>1665</v>
      </c>
      <c r="G576" s="74">
        <v>6</v>
      </c>
      <c r="H576" s="166">
        <v>0</v>
      </c>
      <c r="I576" s="75">
        <f t="shared" si="624"/>
        <v>0</v>
      </c>
      <c r="J576" s="75">
        <f t="shared" si="625"/>
        <v>0</v>
      </c>
      <c r="K576" s="75">
        <f t="shared" si="626"/>
        <v>0</v>
      </c>
      <c r="L576" s="80"/>
      <c r="Z576" s="33">
        <f t="shared" si="627"/>
        <v>0</v>
      </c>
      <c r="AB576" s="33">
        <f t="shared" si="628"/>
        <v>0</v>
      </c>
      <c r="AC576" s="33">
        <f t="shared" si="629"/>
        <v>0</v>
      </c>
      <c r="AD576" s="33">
        <f t="shared" si="630"/>
        <v>0</v>
      </c>
      <c r="AE576" s="33">
        <f t="shared" si="631"/>
        <v>0</v>
      </c>
      <c r="AF576" s="33">
        <f t="shared" si="632"/>
        <v>0</v>
      </c>
      <c r="AG576" s="33">
        <f t="shared" si="633"/>
        <v>0</v>
      </c>
      <c r="AH576" s="33">
        <f t="shared" si="634"/>
        <v>0</v>
      </c>
      <c r="AI576" s="28"/>
      <c r="AJ576" s="16">
        <f t="shared" si="635"/>
        <v>0</v>
      </c>
      <c r="AK576" s="16">
        <f t="shared" si="636"/>
        <v>0</v>
      </c>
      <c r="AL576" s="16">
        <f t="shared" si="637"/>
        <v>0</v>
      </c>
      <c r="AN576" s="33">
        <v>21</v>
      </c>
      <c r="AO576" s="33">
        <f t="shared" si="622"/>
        <v>0</v>
      </c>
      <c r="AP576" s="33">
        <f t="shared" si="623"/>
        <v>0</v>
      </c>
      <c r="AQ576" s="27" t="s">
        <v>7</v>
      </c>
      <c r="AV576" s="33">
        <f t="shared" si="638"/>
        <v>0</v>
      </c>
      <c r="AW576" s="33">
        <f t="shared" si="639"/>
        <v>0</v>
      </c>
      <c r="AX576" s="33">
        <f t="shared" si="640"/>
        <v>0</v>
      </c>
      <c r="AY576" s="34" t="s">
        <v>1738</v>
      </c>
      <c r="AZ576" s="34" t="s">
        <v>1745</v>
      </c>
      <c r="BA576" s="28" t="s">
        <v>1752</v>
      </c>
      <c r="BC576" s="33">
        <f t="shared" si="641"/>
        <v>0</v>
      </c>
      <c r="BD576" s="33">
        <f t="shared" si="642"/>
        <v>0</v>
      </c>
      <c r="BE576" s="33">
        <v>0</v>
      </c>
      <c r="BF576" s="33">
        <f>576</f>
        <v>576</v>
      </c>
      <c r="BH576" s="16">
        <f t="shared" si="643"/>
        <v>0</v>
      </c>
      <c r="BI576" s="16">
        <f t="shared" si="644"/>
        <v>0</v>
      </c>
      <c r="BJ576" s="16">
        <f t="shared" si="645"/>
        <v>0</v>
      </c>
    </row>
    <row r="577" spans="1:62" x14ac:dyDescent="0.2">
      <c r="A577" s="4" t="s">
        <v>497</v>
      </c>
      <c r="B577" s="4" t="s">
        <v>1040</v>
      </c>
      <c r="C577" s="131" t="s">
        <v>1622</v>
      </c>
      <c r="D577" s="132"/>
      <c r="E577" s="132"/>
      <c r="F577" s="4" t="s">
        <v>1665</v>
      </c>
      <c r="G577" s="68">
        <v>5</v>
      </c>
      <c r="H577" s="162">
        <v>0</v>
      </c>
      <c r="I577" s="16">
        <f t="shared" si="624"/>
        <v>0</v>
      </c>
      <c r="J577" s="16">
        <f t="shared" si="625"/>
        <v>0</v>
      </c>
      <c r="K577" s="16">
        <f t="shared" si="626"/>
        <v>0</v>
      </c>
      <c r="L577" s="27"/>
      <c r="Z577" s="33">
        <f t="shared" si="627"/>
        <v>0</v>
      </c>
      <c r="AB577" s="33">
        <f t="shared" si="628"/>
        <v>0</v>
      </c>
      <c r="AC577" s="33">
        <f t="shared" si="629"/>
        <v>0</v>
      </c>
      <c r="AD577" s="33">
        <f t="shared" si="630"/>
        <v>0</v>
      </c>
      <c r="AE577" s="33">
        <f t="shared" si="631"/>
        <v>0</v>
      </c>
      <c r="AF577" s="33">
        <f t="shared" si="632"/>
        <v>0</v>
      </c>
      <c r="AG577" s="33">
        <f t="shared" si="633"/>
        <v>0</v>
      </c>
      <c r="AH577" s="33">
        <f t="shared" si="634"/>
        <v>0</v>
      </c>
      <c r="AI577" s="28"/>
      <c r="AJ577" s="16">
        <f t="shared" si="635"/>
        <v>0</v>
      </c>
      <c r="AK577" s="16">
        <f t="shared" si="636"/>
        <v>0</v>
      </c>
      <c r="AL577" s="16">
        <f t="shared" si="637"/>
        <v>0</v>
      </c>
      <c r="AN577" s="33">
        <v>21</v>
      </c>
      <c r="AO577" s="33">
        <f t="shared" si="622"/>
        <v>0</v>
      </c>
      <c r="AP577" s="33">
        <f t="shared" si="623"/>
        <v>0</v>
      </c>
      <c r="AQ577" s="27" t="s">
        <v>7</v>
      </c>
      <c r="AV577" s="33">
        <f t="shared" si="638"/>
        <v>0</v>
      </c>
      <c r="AW577" s="33">
        <f t="shared" si="639"/>
        <v>0</v>
      </c>
      <c r="AX577" s="33">
        <f t="shared" si="640"/>
        <v>0</v>
      </c>
      <c r="AY577" s="34" t="s">
        <v>1738</v>
      </c>
      <c r="AZ577" s="34" t="s">
        <v>1745</v>
      </c>
      <c r="BA577" s="28" t="s">
        <v>1752</v>
      </c>
      <c r="BC577" s="33">
        <f t="shared" si="641"/>
        <v>0</v>
      </c>
      <c r="BD577" s="33">
        <f t="shared" si="642"/>
        <v>0</v>
      </c>
      <c r="BE577" s="33">
        <v>0</v>
      </c>
      <c r="BF577" s="33">
        <f>577</f>
        <v>577</v>
      </c>
      <c r="BH577" s="16">
        <f t="shared" si="643"/>
        <v>0</v>
      </c>
      <c r="BI577" s="16">
        <f t="shared" si="644"/>
        <v>0</v>
      </c>
      <c r="BJ577" s="16">
        <f t="shared" si="645"/>
        <v>0</v>
      </c>
    </row>
    <row r="578" spans="1:62" x14ac:dyDescent="0.2">
      <c r="A578" s="73" t="s">
        <v>498</v>
      </c>
      <c r="B578" s="73" t="s">
        <v>1041</v>
      </c>
      <c r="C578" s="138" t="s">
        <v>1623</v>
      </c>
      <c r="D578" s="132"/>
      <c r="E578" s="132"/>
      <c r="F578" s="73" t="s">
        <v>1665</v>
      </c>
      <c r="G578" s="74">
        <v>5</v>
      </c>
      <c r="H578" s="166">
        <v>0</v>
      </c>
      <c r="I578" s="75">
        <f t="shared" si="624"/>
        <v>0</v>
      </c>
      <c r="J578" s="75">
        <f t="shared" si="625"/>
        <v>0</v>
      </c>
      <c r="K578" s="75">
        <f t="shared" si="626"/>
        <v>0</v>
      </c>
      <c r="L578" s="80"/>
      <c r="Z578" s="33">
        <f t="shared" si="627"/>
        <v>0</v>
      </c>
      <c r="AB578" s="33">
        <f t="shared" si="628"/>
        <v>0</v>
      </c>
      <c r="AC578" s="33">
        <f t="shared" si="629"/>
        <v>0</v>
      </c>
      <c r="AD578" s="33">
        <f t="shared" si="630"/>
        <v>0</v>
      </c>
      <c r="AE578" s="33">
        <f t="shared" si="631"/>
        <v>0</v>
      </c>
      <c r="AF578" s="33">
        <f t="shared" si="632"/>
        <v>0</v>
      </c>
      <c r="AG578" s="33">
        <f t="shared" si="633"/>
        <v>0</v>
      </c>
      <c r="AH578" s="33">
        <f t="shared" si="634"/>
        <v>0</v>
      </c>
      <c r="AI578" s="28"/>
      <c r="AJ578" s="16">
        <f t="shared" si="635"/>
        <v>0</v>
      </c>
      <c r="AK578" s="16">
        <f t="shared" si="636"/>
        <v>0</v>
      </c>
      <c r="AL578" s="16">
        <f t="shared" si="637"/>
        <v>0</v>
      </c>
      <c r="AN578" s="33">
        <v>21</v>
      </c>
      <c r="AO578" s="33">
        <f t="shared" si="622"/>
        <v>0</v>
      </c>
      <c r="AP578" s="33">
        <f t="shared" si="623"/>
        <v>0</v>
      </c>
      <c r="AQ578" s="27" t="s">
        <v>7</v>
      </c>
      <c r="AV578" s="33">
        <f t="shared" si="638"/>
        <v>0</v>
      </c>
      <c r="AW578" s="33">
        <f t="shared" si="639"/>
        <v>0</v>
      </c>
      <c r="AX578" s="33">
        <f t="shared" si="640"/>
        <v>0</v>
      </c>
      <c r="AY578" s="34" t="s">
        <v>1738</v>
      </c>
      <c r="AZ578" s="34" t="s">
        <v>1745</v>
      </c>
      <c r="BA578" s="28" t="s">
        <v>1752</v>
      </c>
      <c r="BC578" s="33">
        <f t="shared" si="641"/>
        <v>0</v>
      </c>
      <c r="BD578" s="33">
        <f t="shared" si="642"/>
        <v>0</v>
      </c>
      <c r="BE578" s="33">
        <v>0</v>
      </c>
      <c r="BF578" s="33">
        <f>578</f>
        <v>578</v>
      </c>
      <c r="BH578" s="16">
        <f t="shared" si="643"/>
        <v>0</v>
      </c>
      <c r="BI578" s="16">
        <f t="shared" si="644"/>
        <v>0</v>
      </c>
      <c r="BJ578" s="16">
        <f t="shared" si="645"/>
        <v>0</v>
      </c>
    </row>
    <row r="579" spans="1:62" x14ac:dyDescent="0.2">
      <c r="A579" s="4" t="s">
        <v>499</v>
      </c>
      <c r="B579" s="4" t="s">
        <v>1042</v>
      </c>
      <c r="C579" s="131" t="s">
        <v>1624</v>
      </c>
      <c r="D579" s="132"/>
      <c r="E579" s="132"/>
      <c r="F579" s="4" t="s">
        <v>1675</v>
      </c>
      <c r="G579" s="68">
        <v>1</v>
      </c>
      <c r="H579" s="162">
        <v>0</v>
      </c>
      <c r="I579" s="16">
        <f t="shared" si="624"/>
        <v>0</v>
      </c>
      <c r="J579" s="16">
        <f t="shared" si="625"/>
        <v>0</v>
      </c>
      <c r="K579" s="16">
        <f t="shared" si="626"/>
        <v>0</v>
      </c>
      <c r="L579" s="27"/>
      <c r="Z579" s="33">
        <f t="shared" si="627"/>
        <v>0</v>
      </c>
      <c r="AB579" s="33">
        <f t="shared" si="628"/>
        <v>0</v>
      </c>
      <c r="AC579" s="33">
        <f t="shared" si="629"/>
        <v>0</v>
      </c>
      <c r="AD579" s="33">
        <f t="shared" si="630"/>
        <v>0</v>
      </c>
      <c r="AE579" s="33">
        <f t="shared" si="631"/>
        <v>0</v>
      </c>
      <c r="AF579" s="33">
        <f t="shared" si="632"/>
        <v>0</v>
      </c>
      <c r="AG579" s="33">
        <f t="shared" si="633"/>
        <v>0</v>
      </c>
      <c r="AH579" s="33">
        <f t="shared" si="634"/>
        <v>0</v>
      </c>
      <c r="AI579" s="28"/>
      <c r="AJ579" s="16">
        <f t="shared" si="635"/>
        <v>0</v>
      </c>
      <c r="AK579" s="16">
        <f t="shared" si="636"/>
        <v>0</v>
      </c>
      <c r="AL579" s="16">
        <f t="shared" si="637"/>
        <v>0</v>
      </c>
      <c r="AN579" s="33">
        <v>21</v>
      </c>
      <c r="AO579" s="33">
        <f t="shared" si="622"/>
        <v>0</v>
      </c>
      <c r="AP579" s="33">
        <f t="shared" si="623"/>
        <v>0</v>
      </c>
      <c r="AQ579" s="27" t="s">
        <v>7</v>
      </c>
      <c r="AV579" s="33">
        <f t="shared" si="638"/>
        <v>0</v>
      </c>
      <c r="AW579" s="33">
        <f t="shared" si="639"/>
        <v>0</v>
      </c>
      <c r="AX579" s="33">
        <f t="shared" si="640"/>
        <v>0</v>
      </c>
      <c r="AY579" s="34" t="s">
        <v>1738</v>
      </c>
      <c r="AZ579" s="34" t="s">
        <v>1745</v>
      </c>
      <c r="BA579" s="28" t="s">
        <v>1752</v>
      </c>
      <c r="BC579" s="33">
        <f t="shared" si="641"/>
        <v>0</v>
      </c>
      <c r="BD579" s="33">
        <f t="shared" si="642"/>
        <v>0</v>
      </c>
      <c r="BE579" s="33">
        <v>0</v>
      </c>
      <c r="BF579" s="33">
        <f>579</f>
        <v>579</v>
      </c>
      <c r="BH579" s="16">
        <f t="shared" si="643"/>
        <v>0</v>
      </c>
      <c r="BI579" s="16">
        <f t="shared" si="644"/>
        <v>0</v>
      </c>
      <c r="BJ579" s="16">
        <f t="shared" si="645"/>
        <v>0</v>
      </c>
    </row>
    <row r="580" spans="1:62" x14ac:dyDescent="0.2">
      <c r="A580" s="4" t="s">
        <v>500</v>
      </c>
      <c r="B580" s="4" t="s">
        <v>1043</v>
      </c>
      <c r="C580" s="131" t="s">
        <v>1625</v>
      </c>
      <c r="D580" s="132"/>
      <c r="E580" s="132"/>
      <c r="F580" s="4" t="s">
        <v>1675</v>
      </c>
      <c r="G580" s="68">
        <v>1</v>
      </c>
      <c r="H580" s="162">
        <v>0</v>
      </c>
      <c r="I580" s="16">
        <f t="shared" si="624"/>
        <v>0</v>
      </c>
      <c r="J580" s="16">
        <f t="shared" si="625"/>
        <v>0</v>
      </c>
      <c r="K580" s="16">
        <f t="shared" si="626"/>
        <v>0</v>
      </c>
      <c r="L580" s="27"/>
      <c r="Z580" s="33">
        <f t="shared" si="627"/>
        <v>0</v>
      </c>
      <c r="AB580" s="33">
        <f t="shared" si="628"/>
        <v>0</v>
      </c>
      <c r="AC580" s="33">
        <f t="shared" si="629"/>
        <v>0</v>
      </c>
      <c r="AD580" s="33">
        <f t="shared" si="630"/>
        <v>0</v>
      </c>
      <c r="AE580" s="33">
        <f t="shared" si="631"/>
        <v>0</v>
      </c>
      <c r="AF580" s="33">
        <f t="shared" si="632"/>
        <v>0</v>
      </c>
      <c r="AG580" s="33">
        <f t="shared" si="633"/>
        <v>0</v>
      </c>
      <c r="AH580" s="33">
        <f t="shared" si="634"/>
        <v>0</v>
      </c>
      <c r="AI580" s="28"/>
      <c r="AJ580" s="16">
        <f t="shared" si="635"/>
        <v>0</v>
      </c>
      <c r="AK580" s="16">
        <f t="shared" si="636"/>
        <v>0</v>
      </c>
      <c r="AL580" s="16">
        <f t="shared" si="637"/>
        <v>0</v>
      </c>
      <c r="AN580" s="33">
        <v>21</v>
      </c>
      <c r="AO580" s="33">
        <f t="shared" ref="AO580:AO616" si="646">H580*0</f>
        <v>0</v>
      </c>
      <c r="AP580" s="33">
        <f t="shared" ref="AP580:AP616" si="647">H580*(1-0)</f>
        <v>0</v>
      </c>
      <c r="AQ580" s="27" t="s">
        <v>7</v>
      </c>
      <c r="AV580" s="33">
        <f t="shared" si="638"/>
        <v>0</v>
      </c>
      <c r="AW580" s="33">
        <f t="shared" si="639"/>
        <v>0</v>
      </c>
      <c r="AX580" s="33">
        <f t="shared" si="640"/>
        <v>0</v>
      </c>
      <c r="AY580" s="34" t="s">
        <v>1738</v>
      </c>
      <c r="AZ580" s="34" t="s">
        <v>1745</v>
      </c>
      <c r="BA580" s="28" t="s">
        <v>1752</v>
      </c>
      <c r="BC580" s="33">
        <f t="shared" si="641"/>
        <v>0</v>
      </c>
      <c r="BD580" s="33">
        <f t="shared" si="642"/>
        <v>0</v>
      </c>
      <c r="BE580" s="33">
        <v>0</v>
      </c>
      <c r="BF580" s="33">
        <f>580</f>
        <v>580</v>
      </c>
      <c r="BH580" s="16">
        <f t="shared" si="643"/>
        <v>0</v>
      </c>
      <c r="BI580" s="16">
        <f t="shared" si="644"/>
        <v>0</v>
      </c>
      <c r="BJ580" s="16">
        <f t="shared" si="645"/>
        <v>0</v>
      </c>
    </row>
    <row r="581" spans="1:62" x14ac:dyDescent="0.2">
      <c r="A581" s="4" t="s">
        <v>501</v>
      </c>
      <c r="B581" s="4" t="s">
        <v>1044</v>
      </c>
      <c r="C581" s="131" t="s">
        <v>1626</v>
      </c>
      <c r="D581" s="132"/>
      <c r="E581" s="132"/>
      <c r="F581" s="4" t="s">
        <v>1666</v>
      </c>
      <c r="G581" s="68">
        <v>30</v>
      </c>
      <c r="H581" s="162">
        <v>0</v>
      </c>
      <c r="I581" s="16">
        <f t="shared" si="624"/>
        <v>0</v>
      </c>
      <c r="J581" s="16">
        <f t="shared" si="625"/>
        <v>0</v>
      </c>
      <c r="K581" s="16">
        <f t="shared" si="626"/>
        <v>0</v>
      </c>
      <c r="L581" s="27"/>
      <c r="Z581" s="33">
        <f t="shared" si="627"/>
        <v>0</v>
      </c>
      <c r="AB581" s="33">
        <f t="shared" si="628"/>
        <v>0</v>
      </c>
      <c r="AC581" s="33">
        <f t="shared" si="629"/>
        <v>0</v>
      </c>
      <c r="AD581" s="33">
        <f t="shared" si="630"/>
        <v>0</v>
      </c>
      <c r="AE581" s="33">
        <f t="shared" si="631"/>
        <v>0</v>
      </c>
      <c r="AF581" s="33">
        <f t="shared" si="632"/>
        <v>0</v>
      </c>
      <c r="AG581" s="33">
        <f t="shared" si="633"/>
        <v>0</v>
      </c>
      <c r="AH581" s="33">
        <f t="shared" si="634"/>
        <v>0</v>
      </c>
      <c r="AI581" s="28"/>
      <c r="AJ581" s="16">
        <f t="shared" si="635"/>
        <v>0</v>
      </c>
      <c r="AK581" s="16">
        <f t="shared" si="636"/>
        <v>0</v>
      </c>
      <c r="AL581" s="16">
        <f t="shared" si="637"/>
        <v>0</v>
      </c>
      <c r="AN581" s="33">
        <v>21</v>
      </c>
      <c r="AO581" s="33">
        <f t="shared" si="646"/>
        <v>0</v>
      </c>
      <c r="AP581" s="33">
        <f t="shared" si="647"/>
        <v>0</v>
      </c>
      <c r="AQ581" s="27" t="s">
        <v>7</v>
      </c>
      <c r="AV581" s="33">
        <f t="shared" si="638"/>
        <v>0</v>
      </c>
      <c r="AW581" s="33">
        <f t="shared" si="639"/>
        <v>0</v>
      </c>
      <c r="AX581" s="33">
        <f t="shared" si="640"/>
        <v>0</v>
      </c>
      <c r="AY581" s="34" t="s">
        <v>1738</v>
      </c>
      <c r="AZ581" s="34" t="s">
        <v>1745</v>
      </c>
      <c r="BA581" s="28" t="s">
        <v>1752</v>
      </c>
      <c r="BC581" s="33">
        <f t="shared" si="641"/>
        <v>0</v>
      </c>
      <c r="BD581" s="33">
        <f t="shared" si="642"/>
        <v>0</v>
      </c>
      <c r="BE581" s="33">
        <v>0</v>
      </c>
      <c r="BF581" s="33">
        <f>581</f>
        <v>581</v>
      </c>
      <c r="BH581" s="16">
        <f t="shared" si="643"/>
        <v>0</v>
      </c>
      <c r="BI581" s="16">
        <f t="shared" si="644"/>
        <v>0</v>
      </c>
      <c r="BJ581" s="16">
        <f t="shared" si="645"/>
        <v>0</v>
      </c>
    </row>
    <row r="582" spans="1:62" x14ac:dyDescent="0.2">
      <c r="A582" s="73" t="s">
        <v>502</v>
      </c>
      <c r="B582" s="73" t="s">
        <v>1045</v>
      </c>
      <c r="C582" s="138" t="s">
        <v>1626</v>
      </c>
      <c r="D582" s="132"/>
      <c r="E582" s="132"/>
      <c r="F582" s="73" t="s">
        <v>1666</v>
      </c>
      <c r="G582" s="74">
        <v>30</v>
      </c>
      <c r="H582" s="166">
        <v>0</v>
      </c>
      <c r="I582" s="75">
        <f t="shared" si="624"/>
        <v>0</v>
      </c>
      <c r="J582" s="75">
        <f t="shared" si="625"/>
        <v>0</v>
      </c>
      <c r="K582" s="75">
        <f t="shared" si="626"/>
        <v>0</v>
      </c>
      <c r="L582" s="80"/>
      <c r="Z582" s="33">
        <f t="shared" si="627"/>
        <v>0</v>
      </c>
      <c r="AB582" s="33">
        <f t="shared" si="628"/>
        <v>0</v>
      </c>
      <c r="AC582" s="33">
        <f t="shared" si="629"/>
        <v>0</v>
      </c>
      <c r="AD582" s="33">
        <f t="shared" si="630"/>
        <v>0</v>
      </c>
      <c r="AE582" s="33">
        <f t="shared" si="631"/>
        <v>0</v>
      </c>
      <c r="AF582" s="33">
        <f t="shared" si="632"/>
        <v>0</v>
      </c>
      <c r="AG582" s="33">
        <f t="shared" si="633"/>
        <v>0</v>
      </c>
      <c r="AH582" s="33">
        <f t="shared" si="634"/>
        <v>0</v>
      </c>
      <c r="AI582" s="28"/>
      <c r="AJ582" s="16">
        <f t="shared" si="635"/>
        <v>0</v>
      </c>
      <c r="AK582" s="16">
        <f t="shared" si="636"/>
        <v>0</v>
      </c>
      <c r="AL582" s="16">
        <f t="shared" si="637"/>
        <v>0</v>
      </c>
      <c r="AN582" s="33">
        <v>21</v>
      </c>
      <c r="AO582" s="33">
        <f t="shared" si="646"/>
        <v>0</v>
      </c>
      <c r="AP582" s="33">
        <f t="shared" si="647"/>
        <v>0</v>
      </c>
      <c r="AQ582" s="27" t="s">
        <v>7</v>
      </c>
      <c r="AV582" s="33">
        <f t="shared" si="638"/>
        <v>0</v>
      </c>
      <c r="AW582" s="33">
        <f t="shared" si="639"/>
        <v>0</v>
      </c>
      <c r="AX582" s="33">
        <f t="shared" si="640"/>
        <v>0</v>
      </c>
      <c r="AY582" s="34" t="s">
        <v>1738</v>
      </c>
      <c r="AZ582" s="34" t="s">
        <v>1745</v>
      </c>
      <c r="BA582" s="28" t="s">
        <v>1752</v>
      </c>
      <c r="BC582" s="33">
        <f t="shared" si="641"/>
        <v>0</v>
      </c>
      <c r="BD582" s="33">
        <f t="shared" si="642"/>
        <v>0</v>
      </c>
      <c r="BE582" s="33">
        <v>0</v>
      </c>
      <c r="BF582" s="33">
        <f>582</f>
        <v>582</v>
      </c>
      <c r="BH582" s="16">
        <f t="shared" si="643"/>
        <v>0</v>
      </c>
      <c r="BI582" s="16">
        <f t="shared" si="644"/>
        <v>0</v>
      </c>
      <c r="BJ582" s="16">
        <f t="shared" si="645"/>
        <v>0</v>
      </c>
    </row>
    <row r="583" spans="1:62" x14ac:dyDescent="0.2">
      <c r="A583" s="4" t="s">
        <v>503</v>
      </c>
      <c r="B583" s="4" t="s">
        <v>1046</v>
      </c>
      <c r="C583" s="131" t="s">
        <v>1627</v>
      </c>
      <c r="D583" s="132"/>
      <c r="E583" s="132"/>
      <c r="F583" s="4" t="s">
        <v>1665</v>
      </c>
      <c r="G583" s="68">
        <v>36</v>
      </c>
      <c r="H583" s="162">
        <v>0</v>
      </c>
      <c r="I583" s="16">
        <f t="shared" si="624"/>
        <v>0</v>
      </c>
      <c r="J583" s="16">
        <f t="shared" si="625"/>
        <v>0</v>
      </c>
      <c r="K583" s="16">
        <f t="shared" si="626"/>
        <v>0</v>
      </c>
      <c r="L583" s="27"/>
      <c r="Z583" s="33">
        <f t="shared" si="627"/>
        <v>0</v>
      </c>
      <c r="AB583" s="33">
        <f t="shared" si="628"/>
        <v>0</v>
      </c>
      <c r="AC583" s="33">
        <f t="shared" si="629"/>
        <v>0</v>
      </c>
      <c r="AD583" s="33">
        <f t="shared" si="630"/>
        <v>0</v>
      </c>
      <c r="AE583" s="33">
        <f t="shared" si="631"/>
        <v>0</v>
      </c>
      <c r="AF583" s="33">
        <f t="shared" si="632"/>
        <v>0</v>
      </c>
      <c r="AG583" s="33">
        <f t="shared" si="633"/>
        <v>0</v>
      </c>
      <c r="AH583" s="33">
        <f t="shared" si="634"/>
        <v>0</v>
      </c>
      <c r="AI583" s="28"/>
      <c r="AJ583" s="16">
        <f t="shared" si="635"/>
        <v>0</v>
      </c>
      <c r="AK583" s="16">
        <f t="shared" si="636"/>
        <v>0</v>
      </c>
      <c r="AL583" s="16">
        <f t="shared" si="637"/>
        <v>0</v>
      </c>
      <c r="AN583" s="33">
        <v>21</v>
      </c>
      <c r="AO583" s="33">
        <f t="shared" si="646"/>
        <v>0</v>
      </c>
      <c r="AP583" s="33">
        <f t="shared" si="647"/>
        <v>0</v>
      </c>
      <c r="AQ583" s="27" t="s">
        <v>7</v>
      </c>
      <c r="AV583" s="33">
        <f t="shared" si="638"/>
        <v>0</v>
      </c>
      <c r="AW583" s="33">
        <f t="shared" si="639"/>
        <v>0</v>
      </c>
      <c r="AX583" s="33">
        <f t="shared" si="640"/>
        <v>0</v>
      </c>
      <c r="AY583" s="34" t="s">
        <v>1738</v>
      </c>
      <c r="AZ583" s="34" t="s">
        <v>1745</v>
      </c>
      <c r="BA583" s="28" t="s">
        <v>1752</v>
      </c>
      <c r="BC583" s="33">
        <f t="shared" si="641"/>
        <v>0</v>
      </c>
      <c r="BD583" s="33">
        <f t="shared" si="642"/>
        <v>0</v>
      </c>
      <c r="BE583" s="33">
        <v>0</v>
      </c>
      <c r="BF583" s="33">
        <f>583</f>
        <v>583</v>
      </c>
      <c r="BH583" s="16">
        <f t="shared" si="643"/>
        <v>0</v>
      </c>
      <c r="BI583" s="16">
        <f t="shared" si="644"/>
        <v>0</v>
      </c>
      <c r="BJ583" s="16">
        <f t="shared" si="645"/>
        <v>0</v>
      </c>
    </row>
    <row r="584" spans="1:62" x14ac:dyDescent="0.2">
      <c r="A584" s="73" t="s">
        <v>504</v>
      </c>
      <c r="B584" s="73" t="s">
        <v>1047</v>
      </c>
      <c r="C584" s="138" t="s">
        <v>1627</v>
      </c>
      <c r="D584" s="132"/>
      <c r="E584" s="132"/>
      <c r="F584" s="73" t="s">
        <v>1676</v>
      </c>
      <c r="G584" s="74">
        <v>36</v>
      </c>
      <c r="H584" s="166">
        <v>0</v>
      </c>
      <c r="I584" s="75">
        <f t="shared" si="624"/>
        <v>0</v>
      </c>
      <c r="J584" s="75">
        <f t="shared" si="625"/>
        <v>0</v>
      </c>
      <c r="K584" s="75">
        <f t="shared" si="626"/>
        <v>0</v>
      </c>
      <c r="L584" s="80"/>
      <c r="Z584" s="33">
        <f t="shared" si="627"/>
        <v>0</v>
      </c>
      <c r="AB584" s="33">
        <f t="shared" si="628"/>
        <v>0</v>
      </c>
      <c r="AC584" s="33">
        <f t="shared" si="629"/>
        <v>0</v>
      </c>
      <c r="AD584" s="33">
        <f t="shared" si="630"/>
        <v>0</v>
      </c>
      <c r="AE584" s="33">
        <f t="shared" si="631"/>
        <v>0</v>
      </c>
      <c r="AF584" s="33">
        <f t="shared" si="632"/>
        <v>0</v>
      </c>
      <c r="AG584" s="33">
        <f t="shared" si="633"/>
        <v>0</v>
      </c>
      <c r="AH584" s="33">
        <f t="shared" si="634"/>
        <v>0</v>
      </c>
      <c r="AI584" s="28"/>
      <c r="AJ584" s="16">
        <f t="shared" si="635"/>
        <v>0</v>
      </c>
      <c r="AK584" s="16">
        <f t="shared" si="636"/>
        <v>0</v>
      </c>
      <c r="AL584" s="16">
        <f t="shared" si="637"/>
        <v>0</v>
      </c>
      <c r="AN584" s="33">
        <v>21</v>
      </c>
      <c r="AO584" s="33">
        <f t="shared" si="646"/>
        <v>0</v>
      </c>
      <c r="AP584" s="33">
        <f t="shared" si="647"/>
        <v>0</v>
      </c>
      <c r="AQ584" s="27" t="s">
        <v>7</v>
      </c>
      <c r="AV584" s="33">
        <f t="shared" si="638"/>
        <v>0</v>
      </c>
      <c r="AW584" s="33">
        <f t="shared" si="639"/>
        <v>0</v>
      </c>
      <c r="AX584" s="33">
        <f t="shared" si="640"/>
        <v>0</v>
      </c>
      <c r="AY584" s="34" t="s">
        <v>1738</v>
      </c>
      <c r="AZ584" s="34" t="s">
        <v>1745</v>
      </c>
      <c r="BA584" s="28" t="s">
        <v>1752</v>
      </c>
      <c r="BC584" s="33">
        <f t="shared" si="641"/>
        <v>0</v>
      </c>
      <c r="BD584" s="33">
        <f t="shared" si="642"/>
        <v>0</v>
      </c>
      <c r="BE584" s="33">
        <v>0</v>
      </c>
      <c r="BF584" s="33">
        <f>584</f>
        <v>584</v>
      </c>
      <c r="BH584" s="16">
        <f t="shared" si="643"/>
        <v>0</v>
      </c>
      <c r="BI584" s="16">
        <f t="shared" si="644"/>
        <v>0</v>
      </c>
      <c r="BJ584" s="16">
        <f t="shared" si="645"/>
        <v>0</v>
      </c>
    </row>
    <row r="585" spans="1:62" x14ac:dyDescent="0.2">
      <c r="A585" s="4" t="s">
        <v>505</v>
      </c>
      <c r="B585" s="4" t="s">
        <v>1048</v>
      </c>
      <c r="C585" s="131" t="s">
        <v>1628</v>
      </c>
      <c r="D585" s="132"/>
      <c r="E585" s="132"/>
      <c r="F585" s="4" t="s">
        <v>1676</v>
      </c>
      <c r="G585" s="68">
        <v>4</v>
      </c>
      <c r="H585" s="162">
        <v>0</v>
      </c>
      <c r="I585" s="16">
        <f t="shared" si="624"/>
        <v>0</v>
      </c>
      <c r="J585" s="16">
        <f t="shared" si="625"/>
        <v>0</v>
      </c>
      <c r="K585" s="16">
        <f t="shared" si="626"/>
        <v>0</v>
      </c>
      <c r="L585" s="27"/>
      <c r="Z585" s="33">
        <f t="shared" si="627"/>
        <v>0</v>
      </c>
      <c r="AB585" s="33">
        <f t="shared" si="628"/>
        <v>0</v>
      </c>
      <c r="AC585" s="33">
        <f t="shared" si="629"/>
        <v>0</v>
      </c>
      <c r="AD585" s="33">
        <f t="shared" si="630"/>
        <v>0</v>
      </c>
      <c r="AE585" s="33">
        <f t="shared" si="631"/>
        <v>0</v>
      </c>
      <c r="AF585" s="33">
        <f t="shared" si="632"/>
        <v>0</v>
      </c>
      <c r="AG585" s="33">
        <f t="shared" si="633"/>
        <v>0</v>
      </c>
      <c r="AH585" s="33">
        <f t="shared" si="634"/>
        <v>0</v>
      </c>
      <c r="AI585" s="28"/>
      <c r="AJ585" s="16">
        <f t="shared" si="635"/>
        <v>0</v>
      </c>
      <c r="AK585" s="16">
        <f t="shared" si="636"/>
        <v>0</v>
      </c>
      <c r="AL585" s="16">
        <f t="shared" si="637"/>
        <v>0</v>
      </c>
      <c r="AN585" s="33">
        <v>21</v>
      </c>
      <c r="AO585" s="33">
        <f t="shared" si="646"/>
        <v>0</v>
      </c>
      <c r="AP585" s="33">
        <f t="shared" si="647"/>
        <v>0</v>
      </c>
      <c r="AQ585" s="27" t="s">
        <v>7</v>
      </c>
      <c r="AV585" s="33">
        <f t="shared" si="638"/>
        <v>0</v>
      </c>
      <c r="AW585" s="33">
        <f t="shared" si="639"/>
        <v>0</v>
      </c>
      <c r="AX585" s="33">
        <f t="shared" si="640"/>
        <v>0</v>
      </c>
      <c r="AY585" s="34" t="s">
        <v>1738</v>
      </c>
      <c r="AZ585" s="34" t="s">
        <v>1745</v>
      </c>
      <c r="BA585" s="28" t="s">
        <v>1752</v>
      </c>
      <c r="BC585" s="33">
        <f t="shared" si="641"/>
        <v>0</v>
      </c>
      <c r="BD585" s="33">
        <f t="shared" si="642"/>
        <v>0</v>
      </c>
      <c r="BE585" s="33">
        <v>0</v>
      </c>
      <c r="BF585" s="33">
        <f>585</f>
        <v>585</v>
      </c>
      <c r="BH585" s="16">
        <f t="shared" si="643"/>
        <v>0</v>
      </c>
      <c r="BI585" s="16">
        <f t="shared" si="644"/>
        <v>0</v>
      </c>
      <c r="BJ585" s="16">
        <f t="shared" si="645"/>
        <v>0</v>
      </c>
    </row>
    <row r="586" spans="1:62" x14ac:dyDescent="0.2">
      <c r="A586" s="73" t="s">
        <v>506</v>
      </c>
      <c r="B586" s="73" t="s">
        <v>1049</v>
      </c>
      <c r="C586" s="138" t="s">
        <v>1628</v>
      </c>
      <c r="D586" s="132"/>
      <c r="E586" s="132"/>
      <c r="F586" s="73" t="s">
        <v>1676</v>
      </c>
      <c r="G586" s="74">
        <v>4</v>
      </c>
      <c r="H586" s="166">
        <v>0</v>
      </c>
      <c r="I586" s="75">
        <f t="shared" si="624"/>
        <v>0</v>
      </c>
      <c r="J586" s="75">
        <f t="shared" si="625"/>
        <v>0</v>
      </c>
      <c r="K586" s="75">
        <f t="shared" si="626"/>
        <v>0</v>
      </c>
      <c r="L586" s="80"/>
      <c r="Z586" s="33">
        <f t="shared" si="627"/>
        <v>0</v>
      </c>
      <c r="AB586" s="33">
        <f t="shared" si="628"/>
        <v>0</v>
      </c>
      <c r="AC586" s="33">
        <f t="shared" si="629"/>
        <v>0</v>
      </c>
      <c r="AD586" s="33">
        <f t="shared" si="630"/>
        <v>0</v>
      </c>
      <c r="AE586" s="33">
        <f t="shared" si="631"/>
        <v>0</v>
      </c>
      <c r="AF586" s="33">
        <f t="shared" si="632"/>
        <v>0</v>
      </c>
      <c r="AG586" s="33">
        <f t="shared" si="633"/>
        <v>0</v>
      </c>
      <c r="AH586" s="33">
        <f t="shared" si="634"/>
        <v>0</v>
      </c>
      <c r="AI586" s="28"/>
      <c r="AJ586" s="16">
        <f t="shared" si="635"/>
        <v>0</v>
      </c>
      <c r="AK586" s="16">
        <f t="shared" si="636"/>
        <v>0</v>
      </c>
      <c r="AL586" s="16">
        <f t="shared" si="637"/>
        <v>0</v>
      </c>
      <c r="AN586" s="33">
        <v>21</v>
      </c>
      <c r="AO586" s="33">
        <f t="shared" si="646"/>
        <v>0</v>
      </c>
      <c r="AP586" s="33">
        <f t="shared" si="647"/>
        <v>0</v>
      </c>
      <c r="AQ586" s="27" t="s">
        <v>7</v>
      </c>
      <c r="AV586" s="33">
        <f t="shared" si="638"/>
        <v>0</v>
      </c>
      <c r="AW586" s="33">
        <f t="shared" si="639"/>
        <v>0</v>
      </c>
      <c r="AX586" s="33">
        <f t="shared" si="640"/>
        <v>0</v>
      </c>
      <c r="AY586" s="34" t="s">
        <v>1738</v>
      </c>
      <c r="AZ586" s="34" t="s">
        <v>1745</v>
      </c>
      <c r="BA586" s="28" t="s">
        <v>1752</v>
      </c>
      <c r="BC586" s="33">
        <f t="shared" si="641"/>
        <v>0</v>
      </c>
      <c r="BD586" s="33">
        <f t="shared" si="642"/>
        <v>0</v>
      </c>
      <c r="BE586" s="33">
        <v>0</v>
      </c>
      <c r="BF586" s="33">
        <f>586</f>
        <v>586</v>
      </c>
      <c r="BH586" s="16">
        <f t="shared" si="643"/>
        <v>0</v>
      </c>
      <c r="BI586" s="16">
        <f t="shared" si="644"/>
        <v>0</v>
      </c>
      <c r="BJ586" s="16">
        <f t="shared" si="645"/>
        <v>0</v>
      </c>
    </row>
    <row r="587" spans="1:62" x14ac:dyDescent="0.2">
      <c r="A587" s="4" t="s">
        <v>507</v>
      </c>
      <c r="B587" s="4" t="s">
        <v>1050</v>
      </c>
      <c r="C587" s="131" t="s">
        <v>1629</v>
      </c>
      <c r="D587" s="132"/>
      <c r="E587" s="132"/>
      <c r="F587" s="4" t="s">
        <v>1666</v>
      </c>
      <c r="G587" s="68">
        <v>310</v>
      </c>
      <c r="H587" s="162">
        <v>0</v>
      </c>
      <c r="I587" s="16">
        <f t="shared" si="624"/>
        <v>0</v>
      </c>
      <c r="J587" s="16">
        <f t="shared" si="625"/>
        <v>0</v>
      </c>
      <c r="K587" s="16">
        <f t="shared" si="626"/>
        <v>0</v>
      </c>
      <c r="L587" s="27"/>
      <c r="Z587" s="33">
        <f t="shared" si="627"/>
        <v>0</v>
      </c>
      <c r="AB587" s="33">
        <f t="shared" si="628"/>
        <v>0</v>
      </c>
      <c r="AC587" s="33">
        <f t="shared" si="629"/>
        <v>0</v>
      </c>
      <c r="AD587" s="33">
        <f t="shared" si="630"/>
        <v>0</v>
      </c>
      <c r="AE587" s="33">
        <f t="shared" si="631"/>
        <v>0</v>
      </c>
      <c r="AF587" s="33">
        <f t="shared" si="632"/>
        <v>0</v>
      </c>
      <c r="AG587" s="33">
        <f t="shared" si="633"/>
        <v>0</v>
      </c>
      <c r="AH587" s="33">
        <f t="shared" si="634"/>
        <v>0</v>
      </c>
      <c r="AI587" s="28"/>
      <c r="AJ587" s="16">
        <f t="shared" si="635"/>
        <v>0</v>
      </c>
      <c r="AK587" s="16">
        <f t="shared" si="636"/>
        <v>0</v>
      </c>
      <c r="AL587" s="16">
        <f t="shared" si="637"/>
        <v>0</v>
      </c>
      <c r="AN587" s="33">
        <v>21</v>
      </c>
      <c r="AO587" s="33">
        <f t="shared" si="646"/>
        <v>0</v>
      </c>
      <c r="AP587" s="33">
        <f t="shared" si="647"/>
        <v>0</v>
      </c>
      <c r="AQ587" s="27" t="s">
        <v>7</v>
      </c>
      <c r="AV587" s="33">
        <f t="shared" si="638"/>
        <v>0</v>
      </c>
      <c r="AW587" s="33">
        <f t="shared" si="639"/>
        <v>0</v>
      </c>
      <c r="AX587" s="33">
        <f t="shared" si="640"/>
        <v>0</v>
      </c>
      <c r="AY587" s="34" t="s">
        <v>1738</v>
      </c>
      <c r="AZ587" s="34" t="s">
        <v>1745</v>
      </c>
      <c r="BA587" s="28" t="s">
        <v>1752</v>
      </c>
      <c r="BC587" s="33">
        <f t="shared" si="641"/>
        <v>0</v>
      </c>
      <c r="BD587" s="33">
        <f t="shared" si="642"/>
        <v>0</v>
      </c>
      <c r="BE587" s="33">
        <v>0</v>
      </c>
      <c r="BF587" s="33">
        <f>587</f>
        <v>587</v>
      </c>
      <c r="BH587" s="16">
        <f t="shared" si="643"/>
        <v>0</v>
      </c>
      <c r="BI587" s="16">
        <f t="shared" si="644"/>
        <v>0</v>
      </c>
      <c r="BJ587" s="16">
        <f t="shared" si="645"/>
        <v>0</v>
      </c>
    </row>
    <row r="588" spans="1:62" x14ac:dyDescent="0.2">
      <c r="A588" s="73" t="s">
        <v>508</v>
      </c>
      <c r="B588" s="73" t="s">
        <v>1051</v>
      </c>
      <c r="C588" s="138" t="s">
        <v>1629</v>
      </c>
      <c r="D588" s="132"/>
      <c r="E588" s="132"/>
      <c r="F588" s="73" t="s">
        <v>1666</v>
      </c>
      <c r="G588" s="74">
        <v>310</v>
      </c>
      <c r="H588" s="166">
        <v>0</v>
      </c>
      <c r="I588" s="75">
        <f t="shared" si="624"/>
        <v>0</v>
      </c>
      <c r="J588" s="75">
        <f t="shared" si="625"/>
        <v>0</v>
      </c>
      <c r="K588" s="75">
        <f t="shared" si="626"/>
        <v>0</v>
      </c>
      <c r="L588" s="80"/>
      <c r="Z588" s="33">
        <f t="shared" si="627"/>
        <v>0</v>
      </c>
      <c r="AB588" s="33">
        <f t="shared" si="628"/>
        <v>0</v>
      </c>
      <c r="AC588" s="33">
        <f t="shared" si="629"/>
        <v>0</v>
      </c>
      <c r="AD588" s="33">
        <f t="shared" si="630"/>
        <v>0</v>
      </c>
      <c r="AE588" s="33">
        <f t="shared" si="631"/>
        <v>0</v>
      </c>
      <c r="AF588" s="33">
        <f t="shared" si="632"/>
        <v>0</v>
      </c>
      <c r="AG588" s="33">
        <f t="shared" si="633"/>
        <v>0</v>
      </c>
      <c r="AH588" s="33">
        <f t="shared" si="634"/>
        <v>0</v>
      </c>
      <c r="AI588" s="28"/>
      <c r="AJ588" s="16">
        <f t="shared" si="635"/>
        <v>0</v>
      </c>
      <c r="AK588" s="16">
        <f t="shared" si="636"/>
        <v>0</v>
      </c>
      <c r="AL588" s="16">
        <f t="shared" si="637"/>
        <v>0</v>
      </c>
      <c r="AN588" s="33">
        <v>21</v>
      </c>
      <c r="AO588" s="33">
        <f t="shared" si="646"/>
        <v>0</v>
      </c>
      <c r="AP588" s="33">
        <f t="shared" si="647"/>
        <v>0</v>
      </c>
      <c r="AQ588" s="27" t="s">
        <v>7</v>
      </c>
      <c r="AV588" s="33">
        <f t="shared" si="638"/>
        <v>0</v>
      </c>
      <c r="AW588" s="33">
        <f t="shared" si="639"/>
        <v>0</v>
      </c>
      <c r="AX588" s="33">
        <f t="shared" si="640"/>
        <v>0</v>
      </c>
      <c r="AY588" s="34" t="s">
        <v>1738</v>
      </c>
      <c r="AZ588" s="34" t="s">
        <v>1745</v>
      </c>
      <c r="BA588" s="28" t="s">
        <v>1752</v>
      </c>
      <c r="BC588" s="33">
        <f t="shared" si="641"/>
        <v>0</v>
      </c>
      <c r="BD588" s="33">
        <f t="shared" si="642"/>
        <v>0</v>
      </c>
      <c r="BE588" s="33">
        <v>0</v>
      </c>
      <c r="BF588" s="33">
        <f>588</f>
        <v>588</v>
      </c>
      <c r="BH588" s="16">
        <f t="shared" si="643"/>
        <v>0</v>
      </c>
      <c r="BI588" s="16">
        <f t="shared" si="644"/>
        <v>0</v>
      </c>
      <c r="BJ588" s="16">
        <f t="shared" si="645"/>
        <v>0</v>
      </c>
    </row>
    <row r="589" spans="1:62" x14ac:dyDescent="0.2">
      <c r="A589" s="4" t="s">
        <v>509</v>
      </c>
      <c r="B589" s="4" t="s">
        <v>1052</v>
      </c>
      <c r="C589" s="131" t="s">
        <v>1630</v>
      </c>
      <c r="D589" s="132"/>
      <c r="E589" s="132"/>
      <c r="F589" s="4" t="s">
        <v>1666</v>
      </c>
      <c r="G589" s="68">
        <v>180</v>
      </c>
      <c r="H589" s="162">
        <v>0</v>
      </c>
      <c r="I589" s="16">
        <f t="shared" si="624"/>
        <v>0</v>
      </c>
      <c r="J589" s="16">
        <f t="shared" si="625"/>
        <v>0</v>
      </c>
      <c r="K589" s="16">
        <f t="shared" si="626"/>
        <v>0</v>
      </c>
      <c r="L589" s="27"/>
      <c r="Z589" s="33">
        <f t="shared" si="627"/>
        <v>0</v>
      </c>
      <c r="AB589" s="33">
        <f t="shared" si="628"/>
        <v>0</v>
      </c>
      <c r="AC589" s="33">
        <f t="shared" si="629"/>
        <v>0</v>
      </c>
      <c r="AD589" s="33">
        <f t="shared" si="630"/>
        <v>0</v>
      </c>
      <c r="AE589" s="33">
        <f t="shared" si="631"/>
        <v>0</v>
      </c>
      <c r="AF589" s="33">
        <f t="shared" si="632"/>
        <v>0</v>
      </c>
      <c r="AG589" s="33">
        <f t="shared" si="633"/>
        <v>0</v>
      </c>
      <c r="AH589" s="33">
        <f t="shared" si="634"/>
        <v>0</v>
      </c>
      <c r="AI589" s="28"/>
      <c r="AJ589" s="16">
        <f t="shared" si="635"/>
        <v>0</v>
      </c>
      <c r="AK589" s="16">
        <f t="shared" si="636"/>
        <v>0</v>
      </c>
      <c r="AL589" s="16">
        <f t="shared" si="637"/>
        <v>0</v>
      </c>
      <c r="AN589" s="33">
        <v>21</v>
      </c>
      <c r="AO589" s="33">
        <f t="shared" si="646"/>
        <v>0</v>
      </c>
      <c r="AP589" s="33">
        <f t="shared" si="647"/>
        <v>0</v>
      </c>
      <c r="AQ589" s="27" t="s">
        <v>7</v>
      </c>
      <c r="AV589" s="33">
        <f t="shared" si="638"/>
        <v>0</v>
      </c>
      <c r="AW589" s="33">
        <f t="shared" si="639"/>
        <v>0</v>
      </c>
      <c r="AX589" s="33">
        <f t="shared" si="640"/>
        <v>0</v>
      </c>
      <c r="AY589" s="34" t="s">
        <v>1738</v>
      </c>
      <c r="AZ589" s="34" t="s">
        <v>1745</v>
      </c>
      <c r="BA589" s="28" t="s">
        <v>1752</v>
      </c>
      <c r="BC589" s="33">
        <f t="shared" si="641"/>
        <v>0</v>
      </c>
      <c r="BD589" s="33">
        <f t="shared" si="642"/>
        <v>0</v>
      </c>
      <c r="BE589" s="33">
        <v>0</v>
      </c>
      <c r="BF589" s="33">
        <f>589</f>
        <v>589</v>
      </c>
      <c r="BH589" s="16">
        <f t="shared" si="643"/>
        <v>0</v>
      </c>
      <c r="BI589" s="16">
        <f t="shared" si="644"/>
        <v>0</v>
      </c>
      <c r="BJ589" s="16">
        <f t="shared" si="645"/>
        <v>0</v>
      </c>
    </row>
    <row r="590" spans="1:62" x14ac:dyDescent="0.2">
      <c r="A590" s="73" t="s">
        <v>510</v>
      </c>
      <c r="B590" s="73" t="s">
        <v>1053</v>
      </c>
      <c r="C590" s="138" t="s">
        <v>1631</v>
      </c>
      <c r="D590" s="132"/>
      <c r="E590" s="132"/>
      <c r="F590" s="73" t="s">
        <v>1666</v>
      </c>
      <c r="G590" s="74">
        <v>180</v>
      </c>
      <c r="H590" s="166">
        <v>0</v>
      </c>
      <c r="I590" s="75">
        <f t="shared" si="624"/>
        <v>0</v>
      </c>
      <c r="J590" s="75">
        <f t="shared" si="625"/>
        <v>0</v>
      </c>
      <c r="K590" s="75">
        <f t="shared" si="626"/>
        <v>0</v>
      </c>
      <c r="L590" s="80"/>
      <c r="Z590" s="33">
        <f t="shared" si="627"/>
        <v>0</v>
      </c>
      <c r="AB590" s="33">
        <f t="shared" si="628"/>
        <v>0</v>
      </c>
      <c r="AC590" s="33">
        <f t="shared" si="629"/>
        <v>0</v>
      </c>
      <c r="AD590" s="33">
        <f t="shared" si="630"/>
        <v>0</v>
      </c>
      <c r="AE590" s="33">
        <f t="shared" si="631"/>
        <v>0</v>
      </c>
      <c r="AF590" s="33">
        <f t="shared" si="632"/>
        <v>0</v>
      </c>
      <c r="AG590" s="33">
        <f t="shared" si="633"/>
        <v>0</v>
      </c>
      <c r="AH590" s="33">
        <f t="shared" si="634"/>
        <v>0</v>
      </c>
      <c r="AI590" s="28"/>
      <c r="AJ590" s="16">
        <f t="shared" si="635"/>
        <v>0</v>
      </c>
      <c r="AK590" s="16">
        <f t="shared" si="636"/>
        <v>0</v>
      </c>
      <c r="AL590" s="16">
        <f t="shared" si="637"/>
        <v>0</v>
      </c>
      <c r="AN590" s="33">
        <v>21</v>
      </c>
      <c r="AO590" s="33">
        <f t="shared" si="646"/>
        <v>0</v>
      </c>
      <c r="AP590" s="33">
        <f t="shared" si="647"/>
        <v>0</v>
      </c>
      <c r="AQ590" s="27" t="s">
        <v>7</v>
      </c>
      <c r="AV590" s="33">
        <f t="shared" si="638"/>
        <v>0</v>
      </c>
      <c r="AW590" s="33">
        <f t="shared" si="639"/>
        <v>0</v>
      </c>
      <c r="AX590" s="33">
        <f t="shared" si="640"/>
        <v>0</v>
      </c>
      <c r="AY590" s="34" t="s">
        <v>1738</v>
      </c>
      <c r="AZ590" s="34" t="s">
        <v>1745</v>
      </c>
      <c r="BA590" s="28" t="s">
        <v>1752</v>
      </c>
      <c r="BC590" s="33">
        <f t="shared" si="641"/>
        <v>0</v>
      </c>
      <c r="BD590" s="33">
        <f t="shared" si="642"/>
        <v>0</v>
      </c>
      <c r="BE590" s="33">
        <v>0</v>
      </c>
      <c r="BF590" s="33">
        <f>590</f>
        <v>590</v>
      </c>
      <c r="BH590" s="16">
        <f t="shared" si="643"/>
        <v>0</v>
      </c>
      <c r="BI590" s="16">
        <f t="shared" si="644"/>
        <v>0</v>
      </c>
      <c r="BJ590" s="16">
        <f t="shared" si="645"/>
        <v>0</v>
      </c>
    </row>
    <row r="591" spans="1:62" x14ac:dyDescent="0.2">
      <c r="A591" s="4" t="s">
        <v>511</v>
      </c>
      <c r="B591" s="4" t="s">
        <v>1054</v>
      </c>
      <c r="C591" s="131" t="s">
        <v>1632</v>
      </c>
      <c r="D591" s="132"/>
      <c r="E591" s="132"/>
      <c r="F591" s="4" t="s">
        <v>1676</v>
      </c>
      <c r="G591" s="68">
        <v>10</v>
      </c>
      <c r="H591" s="162">
        <v>0</v>
      </c>
      <c r="I591" s="16">
        <f t="shared" si="624"/>
        <v>0</v>
      </c>
      <c r="J591" s="16">
        <f t="shared" si="625"/>
        <v>0</v>
      </c>
      <c r="K591" s="16">
        <f t="shared" si="626"/>
        <v>0</v>
      </c>
      <c r="L591" s="27"/>
      <c r="Z591" s="33">
        <f t="shared" si="627"/>
        <v>0</v>
      </c>
      <c r="AB591" s="33">
        <f t="shared" si="628"/>
        <v>0</v>
      </c>
      <c r="AC591" s="33">
        <f t="shared" si="629"/>
        <v>0</v>
      </c>
      <c r="AD591" s="33">
        <f t="shared" si="630"/>
        <v>0</v>
      </c>
      <c r="AE591" s="33">
        <f t="shared" si="631"/>
        <v>0</v>
      </c>
      <c r="AF591" s="33">
        <f t="shared" si="632"/>
        <v>0</v>
      </c>
      <c r="AG591" s="33">
        <f t="shared" si="633"/>
        <v>0</v>
      </c>
      <c r="AH591" s="33">
        <f t="shared" si="634"/>
        <v>0</v>
      </c>
      <c r="AI591" s="28"/>
      <c r="AJ591" s="16">
        <f t="shared" si="635"/>
        <v>0</v>
      </c>
      <c r="AK591" s="16">
        <f t="shared" si="636"/>
        <v>0</v>
      </c>
      <c r="AL591" s="16">
        <f t="shared" si="637"/>
        <v>0</v>
      </c>
      <c r="AN591" s="33">
        <v>21</v>
      </c>
      <c r="AO591" s="33">
        <f t="shared" si="646"/>
        <v>0</v>
      </c>
      <c r="AP591" s="33">
        <f t="shared" si="647"/>
        <v>0</v>
      </c>
      <c r="AQ591" s="27" t="s">
        <v>7</v>
      </c>
      <c r="AV591" s="33">
        <f t="shared" si="638"/>
        <v>0</v>
      </c>
      <c r="AW591" s="33">
        <f t="shared" si="639"/>
        <v>0</v>
      </c>
      <c r="AX591" s="33">
        <f t="shared" si="640"/>
        <v>0</v>
      </c>
      <c r="AY591" s="34" t="s">
        <v>1738</v>
      </c>
      <c r="AZ591" s="34" t="s">
        <v>1745</v>
      </c>
      <c r="BA591" s="28" t="s">
        <v>1752</v>
      </c>
      <c r="BC591" s="33">
        <f t="shared" si="641"/>
        <v>0</v>
      </c>
      <c r="BD591" s="33">
        <f t="shared" si="642"/>
        <v>0</v>
      </c>
      <c r="BE591" s="33">
        <v>0</v>
      </c>
      <c r="BF591" s="33">
        <f>591</f>
        <v>591</v>
      </c>
      <c r="BH591" s="16">
        <f t="shared" si="643"/>
        <v>0</v>
      </c>
      <c r="BI591" s="16">
        <f t="shared" si="644"/>
        <v>0</v>
      </c>
      <c r="BJ591" s="16">
        <f t="shared" si="645"/>
        <v>0</v>
      </c>
    </row>
    <row r="592" spans="1:62" x14ac:dyDescent="0.2">
      <c r="A592" s="73" t="s">
        <v>512</v>
      </c>
      <c r="B592" s="73" t="s">
        <v>1055</v>
      </c>
      <c r="C592" s="138" t="s">
        <v>1632</v>
      </c>
      <c r="D592" s="132"/>
      <c r="E592" s="132"/>
      <c r="F592" s="73" t="s">
        <v>1676</v>
      </c>
      <c r="G592" s="74">
        <v>10</v>
      </c>
      <c r="H592" s="166">
        <v>0</v>
      </c>
      <c r="I592" s="75">
        <f t="shared" si="624"/>
        <v>0</v>
      </c>
      <c r="J592" s="75">
        <f t="shared" si="625"/>
        <v>0</v>
      </c>
      <c r="K592" s="75">
        <f t="shared" si="626"/>
        <v>0</v>
      </c>
      <c r="L592" s="80"/>
      <c r="Z592" s="33">
        <f t="shared" si="627"/>
        <v>0</v>
      </c>
      <c r="AB592" s="33">
        <f t="shared" si="628"/>
        <v>0</v>
      </c>
      <c r="AC592" s="33">
        <f t="shared" si="629"/>
        <v>0</v>
      </c>
      <c r="AD592" s="33">
        <f t="shared" si="630"/>
        <v>0</v>
      </c>
      <c r="AE592" s="33">
        <f t="shared" si="631"/>
        <v>0</v>
      </c>
      <c r="AF592" s="33">
        <f t="shared" si="632"/>
        <v>0</v>
      </c>
      <c r="AG592" s="33">
        <f t="shared" si="633"/>
        <v>0</v>
      </c>
      <c r="AH592" s="33">
        <f t="shared" si="634"/>
        <v>0</v>
      </c>
      <c r="AI592" s="28"/>
      <c r="AJ592" s="16">
        <f t="shared" si="635"/>
        <v>0</v>
      </c>
      <c r="AK592" s="16">
        <f t="shared" si="636"/>
        <v>0</v>
      </c>
      <c r="AL592" s="16">
        <f t="shared" si="637"/>
        <v>0</v>
      </c>
      <c r="AN592" s="33">
        <v>21</v>
      </c>
      <c r="AO592" s="33">
        <f t="shared" si="646"/>
        <v>0</v>
      </c>
      <c r="AP592" s="33">
        <f t="shared" si="647"/>
        <v>0</v>
      </c>
      <c r="AQ592" s="27" t="s">
        <v>7</v>
      </c>
      <c r="AV592" s="33">
        <f t="shared" si="638"/>
        <v>0</v>
      </c>
      <c r="AW592" s="33">
        <f t="shared" si="639"/>
        <v>0</v>
      </c>
      <c r="AX592" s="33">
        <f t="shared" si="640"/>
        <v>0</v>
      </c>
      <c r="AY592" s="34" t="s">
        <v>1738</v>
      </c>
      <c r="AZ592" s="34" t="s">
        <v>1745</v>
      </c>
      <c r="BA592" s="28" t="s">
        <v>1752</v>
      </c>
      <c r="BC592" s="33">
        <f t="shared" si="641"/>
        <v>0</v>
      </c>
      <c r="BD592" s="33">
        <f t="shared" si="642"/>
        <v>0</v>
      </c>
      <c r="BE592" s="33">
        <v>0</v>
      </c>
      <c r="BF592" s="33">
        <f>592</f>
        <v>592</v>
      </c>
      <c r="BH592" s="16">
        <f t="shared" si="643"/>
        <v>0</v>
      </c>
      <c r="BI592" s="16">
        <f t="shared" si="644"/>
        <v>0</v>
      </c>
      <c r="BJ592" s="16">
        <f t="shared" si="645"/>
        <v>0</v>
      </c>
    </row>
    <row r="593" spans="1:62" x14ac:dyDescent="0.2">
      <c r="A593" s="4" t="s">
        <v>513</v>
      </c>
      <c r="B593" s="4" t="s">
        <v>1056</v>
      </c>
      <c r="C593" s="131" t="s">
        <v>1633</v>
      </c>
      <c r="D593" s="132"/>
      <c r="E593" s="132"/>
      <c r="F593" s="4" t="s">
        <v>1676</v>
      </c>
      <c r="G593" s="68">
        <v>10</v>
      </c>
      <c r="H593" s="162">
        <v>0</v>
      </c>
      <c r="I593" s="16">
        <f t="shared" si="624"/>
        <v>0</v>
      </c>
      <c r="J593" s="16">
        <f t="shared" si="625"/>
        <v>0</v>
      </c>
      <c r="K593" s="16">
        <f t="shared" si="626"/>
        <v>0</v>
      </c>
      <c r="L593" s="27"/>
      <c r="Z593" s="33">
        <f t="shared" si="627"/>
        <v>0</v>
      </c>
      <c r="AB593" s="33">
        <f t="shared" si="628"/>
        <v>0</v>
      </c>
      <c r="AC593" s="33">
        <f t="shared" si="629"/>
        <v>0</v>
      </c>
      <c r="AD593" s="33">
        <f t="shared" si="630"/>
        <v>0</v>
      </c>
      <c r="AE593" s="33">
        <f t="shared" si="631"/>
        <v>0</v>
      </c>
      <c r="AF593" s="33">
        <f t="shared" si="632"/>
        <v>0</v>
      </c>
      <c r="AG593" s="33">
        <f t="shared" si="633"/>
        <v>0</v>
      </c>
      <c r="AH593" s="33">
        <f t="shared" si="634"/>
        <v>0</v>
      </c>
      <c r="AI593" s="28"/>
      <c r="AJ593" s="16">
        <f t="shared" si="635"/>
        <v>0</v>
      </c>
      <c r="AK593" s="16">
        <f t="shared" si="636"/>
        <v>0</v>
      </c>
      <c r="AL593" s="16">
        <f t="shared" si="637"/>
        <v>0</v>
      </c>
      <c r="AN593" s="33">
        <v>21</v>
      </c>
      <c r="AO593" s="33">
        <f t="shared" si="646"/>
        <v>0</v>
      </c>
      <c r="AP593" s="33">
        <f t="shared" si="647"/>
        <v>0</v>
      </c>
      <c r="AQ593" s="27" t="s">
        <v>7</v>
      </c>
      <c r="AV593" s="33">
        <f t="shared" si="638"/>
        <v>0</v>
      </c>
      <c r="AW593" s="33">
        <f t="shared" si="639"/>
        <v>0</v>
      </c>
      <c r="AX593" s="33">
        <f t="shared" si="640"/>
        <v>0</v>
      </c>
      <c r="AY593" s="34" t="s">
        <v>1738</v>
      </c>
      <c r="AZ593" s="34" t="s">
        <v>1745</v>
      </c>
      <c r="BA593" s="28" t="s">
        <v>1752</v>
      </c>
      <c r="BC593" s="33">
        <f t="shared" si="641"/>
        <v>0</v>
      </c>
      <c r="BD593" s="33">
        <f t="shared" si="642"/>
        <v>0</v>
      </c>
      <c r="BE593" s="33">
        <v>0</v>
      </c>
      <c r="BF593" s="33">
        <f>593</f>
        <v>593</v>
      </c>
      <c r="BH593" s="16">
        <f t="shared" si="643"/>
        <v>0</v>
      </c>
      <c r="BI593" s="16">
        <f t="shared" si="644"/>
        <v>0</v>
      </c>
      <c r="BJ593" s="16">
        <f t="shared" si="645"/>
        <v>0</v>
      </c>
    </row>
    <row r="594" spans="1:62" x14ac:dyDescent="0.2">
      <c r="A594" s="73" t="s">
        <v>514</v>
      </c>
      <c r="B594" s="73" t="s">
        <v>1057</v>
      </c>
      <c r="C594" s="138" t="s">
        <v>1633</v>
      </c>
      <c r="D594" s="132"/>
      <c r="E594" s="132"/>
      <c r="F594" s="73" t="s">
        <v>1676</v>
      </c>
      <c r="G594" s="74">
        <v>10</v>
      </c>
      <c r="H594" s="166">
        <v>0</v>
      </c>
      <c r="I594" s="75">
        <f t="shared" si="624"/>
        <v>0</v>
      </c>
      <c r="J594" s="75">
        <f t="shared" si="625"/>
        <v>0</v>
      </c>
      <c r="K594" s="75">
        <f t="shared" si="626"/>
        <v>0</v>
      </c>
      <c r="L594" s="80"/>
      <c r="Z594" s="33">
        <f t="shared" si="627"/>
        <v>0</v>
      </c>
      <c r="AB594" s="33">
        <f t="shared" si="628"/>
        <v>0</v>
      </c>
      <c r="AC594" s="33">
        <f t="shared" si="629"/>
        <v>0</v>
      </c>
      <c r="AD594" s="33">
        <f t="shared" si="630"/>
        <v>0</v>
      </c>
      <c r="AE594" s="33">
        <f t="shared" si="631"/>
        <v>0</v>
      </c>
      <c r="AF594" s="33">
        <f t="shared" si="632"/>
        <v>0</v>
      </c>
      <c r="AG594" s="33">
        <f t="shared" si="633"/>
        <v>0</v>
      </c>
      <c r="AH594" s="33">
        <f t="shared" si="634"/>
        <v>0</v>
      </c>
      <c r="AI594" s="28"/>
      <c r="AJ594" s="16">
        <f t="shared" si="635"/>
        <v>0</v>
      </c>
      <c r="AK594" s="16">
        <f t="shared" si="636"/>
        <v>0</v>
      </c>
      <c r="AL594" s="16">
        <f t="shared" si="637"/>
        <v>0</v>
      </c>
      <c r="AN594" s="33">
        <v>21</v>
      </c>
      <c r="AO594" s="33">
        <f t="shared" si="646"/>
        <v>0</v>
      </c>
      <c r="AP594" s="33">
        <f t="shared" si="647"/>
        <v>0</v>
      </c>
      <c r="AQ594" s="27" t="s">
        <v>7</v>
      </c>
      <c r="AV594" s="33">
        <f t="shared" si="638"/>
        <v>0</v>
      </c>
      <c r="AW594" s="33">
        <f t="shared" si="639"/>
        <v>0</v>
      </c>
      <c r="AX594" s="33">
        <f t="shared" si="640"/>
        <v>0</v>
      </c>
      <c r="AY594" s="34" t="s">
        <v>1738</v>
      </c>
      <c r="AZ594" s="34" t="s">
        <v>1745</v>
      </c>
      <c r="BA594" s="28" t="s">
        <v>1752</v>
      </c>
      <c r="BC594" s="33">
        <f t="shared" si="641"/>
        <v>0</v>
      </c>
      <c r="BD594" s="33">
        <f t="shared" si="642"/>
        <v>0</v>
      </c>
      <c r="BE594" s="33">
        <v>0</v>
      </c>
      <c r="BF594" s="33">
        <f>594</f>
        <v>594</v>
      </c>
      <c r="BH594" s="16">
        <f t="shared" si="643"/>
        <v>0</v>
      </c>
      <c r="BI594" s="16">
        <f t="shared" si="644"/>
        <v>0</v>
      </c>
      <c r="BJ594" s="16">
        <f t="shared" si="645"/>
        <v>0</v>
      </c>
    </row>
    <row r="595" spans="1:62" x14ac:dyDescent="0.2">
      <c r="A595" s="4" t="s">
        <v>515</v>
      </c>
      <c r="B595" s="4" t="s">
        <v>1054</v>
      </c>
      <c r="C595" s="131" t="s">
        <v>1634</v>
      </c>
      <c r="D595" s="132"/>
      <c r="E595" s="132"/>
      <c r="F595" s="4" t="s">
        <v>1676</v>
      </c>
      <c r="G595" s="68">
        <v>160</v>
      </c>
      <c r="H595" s="162">
        <v>0</v>
      </c>
      <c r="I595" s="16">
        <f t="shared" si="624"/>
        <v>0</v>
      </c>
      <c r="J595" s="16">
        <f t="shared" si="625"/>
        <v>0</v>
      </c>
      <c r="K595" s="16">
        <f t="shared" si="626"/>
        <v>0</v>
      </c>
      <c r="L595" s="27"/>
      <c r="Z595" s="33">
        <f t="shared" si="627"/>
        <v>0</v>
      </c>
      <c r="AB595" s="33">
        <f t="shared" si="628"/>
        <v>0</v>
      </c>
      <c r="AC595" s="33">
        <f t="shared" si="629"/>
        <v>0</v>
      </c>
      <c r="AD595" s="33">
        <f t="shared" si="630"/>
        <v>0</v>
      </c>
      <c r="AE595" s="33">
        <f t="shared" si="631"/>
        <v>0</v>
      </c>
      <c r="AF595" s="33">
        <f t="shared" si="632"/>
        <v>0</v>
      </c>
      <c r="AG595" s="33">
        <f t="shared" si="633"/>
        <v>0</v>
      </c>
      <c r="AH595" s="33">
        <f t="shared" si="634"/>
        <v>0</v>
      </c>
      <c r="AI595" s="28"/>
      <c r="AJ595" s="16">
        <f t="shared" si="635"/>
        <v>0</v>
      </c>
      <c r="AK595" s="16">
        <f t="shared" si="636"/>
        <v>0</v>
      </c>
      <c r="AL595" s="16">
        <f t="shared" si="637"/>
        <v>0</v>
      </c>
      <c r="AN595" s="33">
        <v>21</v>
      </c>
      <c r="AO595" s="33">
        <f t="shared" si="646"/>
        <v>0</v>
      </c>
      <c r="AP595" s="33">
        <f t="shared" si="647"/>
        <v>0</v>
      </c>
      <c r="AQ595" s="27" t="s">
        <v>7</v>
      </c>
      <c r="AV595" s="33">
        <f t="shared" si="638"/>
        <v>0</v>
      </c>
      <c r="AW595" s="33">
        <f t="shared" si="639"/>
        <v>0</v>
      </c>
      <c r="AX595" s="33">
        <f t="shared" si="640"/>
        <v>0</v>
      </c>
      <c r="AY595" s="34" t="s">
        <v>1738</v>
      </c>
      <c r="AZ595" s="34" t="s">
        <v>1745</v>
      </c>
      <c r="BA595" s="28" t="s">
        <v>1752</v>
      </c>
      <c r="BC595" s="33">
        <f t="shared" si="641"/>
        <v>0</v>
      </c>
      <c r="BD595" s="33">
        <f t="shared" si="642"/>
        <v>0</v>
      </c>
      <c r="BE595" s="33">
        <v>0</v>
      </c>
      <c r="BF595" s="33">
        <f>595</f>
        <v>595</v>
      </c>
      <c r="BH595" s="16">
        <f t="shared" si="643"/>
        <v>0</v>
      </c>
      <c r="BI595" s="16">
        <f t="shared" si="644"/>
        <v>0</v>
      </c>
      <c r="BJ595" s="16">
        <f t="shared" si="645"/>
        <v>0</v>
      </c>
    </row>
    <row r="596" spans="1:62" x14ac:dyDescent="0.2">
      <c r="A596" s="73" t="s">
        <v>516</v>
      </c>
      <c r="B596" s="73" t="s">
        <v>1058</v>
      </c>
      <c r="C596" s="138" t="s">
        <v>1634</v>
      </c>
      <c r="D596" s="132"/>
      <c r="E596" s="132"/>
      <c r="F596" s="73" t="s">
        <v>1676</v>
      </c>
      <c r="G596" s="74">
        <v>160</v>
      </c>
      <c r="H596" s="166">
        <v>0</v>
      </c>
      <c r="I596" s="75">
        <f t="shared" si="624"/>
        <v>0</v>
      </c>
      <c r="J596" s="75">
        <f t="shared" si="625"/>
        <v>0</v>
      </c>
      <c r="K596" s="75">
        <f t="shared" si="626"/>
        <v>0</v>
      </c>
      <c r="L596" s="80"/>
      <c r="Z596" s="33">
        <f t="shared" si="627"/>
        <v>0</v>
      </c>
      <c r="AB596" s="33">
        <f t="shared" si="628"/>
        <v>0</v>
      </c>
      <c r="AC596" s="33">
        <f t="shared" si="629"/>
        <v>0</v>
      </c>
      <c r="AD596" s="33">
        <f t="shared" si="630"/>
        <v>0</v>
      </c>
      <c r="AE596" s="33">
        <f t="shared" si="631"/>
        <v>0</v>
      </c>
      <c r="AF596" s="33">
        <f t="shared" si="632"/>
        <v>0</v>
      </c>
      <c r="AG596" s="33">
        <f t="shared" si="633"/>
        <v>0</v>
      </c>
      <c r="AH596" s="33">
        <f t="shared" si="634"/>
        <v>0</v>
      </c>
      <c r="AI596" s="28"/>
      <c r="AJ596" s="16">
        <f t="shared" si="635"/>
        <v>0</v>
      </c>
      <c r="AK596" s="16">
        <f t="shared" si="636"/>
        <v>0</v>
      </c>
      <c r="AL596" s="16">
        <f t="shared" si="637"/>
        <v>0</v>
      </c>
      <c r="AN596" s="33">
        <v>21</v>
      </c>
      <c r="AO596" s="33">
        <f t="shared" si="646"/>
        <v>0</v>
      </c>
      <c r="AP596" s="33">
        <f t="shared" si="647"/>
        <v>0</v>
      </c>
      <c r="AQ596" s="27" t="s">
        <v>7</v>
      </c>
      <c r="AV596" s="33">
        <f t="shared" si="638"/>
        <v>0</v>
      </c>
      <c r="AW596" s="33">
        <f t="shared" si="639"/>
        <v>0</v>
      </c>
      <c r="AX596" s="33">
        <f t="shared" si="640"/>
        <v>0</v>
      </c>
      <c r="AY596" s="34" t="s">
        <v>1738</v>
      </c>
      <c r="AZ596" s="34" t="s">
        <v>1745</v>
      </c>
      <c r="BA596" s="28" t="s">
        <v>1752</v>
      </c>
      <c r="BC596" s="33">
        <f t="shared" si="641"/>
        <v>0</v>
      </c>
      <c r="BD596" s="33">
        <f t="shared" si="642"/>
        <v>0</v>
      </c>
      <c r="BE596" s="33">
        <v>0</v>
      </c>
      <c r="BF596" s="33">
        <f>596</f>
        <v>596</v>
      </c>
      <c r="BH596" s="16">
        <f t="shared" si="643"/>
        <v>0</v>
      </c>
      <c r="BI596" s="16">
        <f t="shared" si="644"/>
        <v>0</v>
      </c>
      <c r="BJ596" s="16">
        <f t="shared" si="645"/>
        <v>0</v>
      </c>
    </row>
    <row r="597" spans="1:62" x14ac:dyDescent="0.2">
      <c r="A597" s="4" t="s">
        <v>517</v>
      </c>
      <c r="B597" s="4" t="s">
        <v>1056</v>
      </c>
      <c r="C597" s="131" t="s">
        <v>1635</v>
      </c>
      <c r="D597" s="132"/>
      <c r="E597" s="132"/>
      <c r="F597" s="4" t="s">
        <v>1676</v>
      </c>
      <c r="G597" s="68">
        <v>30</v>
      </c>
      <c r="H597" s="162">
        <v>0</v>
      </c>
      <c r="I597" s="16">
        <f t="shared" si="624"/>
        <v>0</v>
      </c>
      <c r="J597" s="16">
        <f t="shared" si="625"/>
        <v>0</v>
      </c>
      <c r="K597" s="16">
        <f t="shared" si="626"/>
        <v>0</v>
      </c>
      <c r="L597" s="27"/>
      <c r="Z597" s="33">
        <f t="shared" si="627"/>
        <v>0</v>
      </c>
      <c r="AB597" s="33">
        <f t="shared" si="628"/>
        <v>0</v>
      </c>
      <c r="AC597" s="33">
        <f t="shared" si="629"/>
        <v>0</v>
      </c>
      <c r="AD597" s="33">
        <f t="shared" si="630"/>
        <v>0</v>
      </c>
      <c r="AE597" s="33">
        <f t="shared" si="631"/>
        <v>0</v>
      </c>
      <c r="AF597" s="33">
        <f t="shared" si="632"/>
        <v>0</v>
      </c>
      <c r="AG597" s="33">
        <f t="shared" si="633"/>
        <v>0</v>
      </c>
      <c r="AH597" s="33">
        <f t="shared" si="634"/>
        <v>0</v>
      </c>
      <c r="AI597" s="28"/>
      <c r="AJ597" s="16">
        <f t="shared" si="635"/>
        <v>0</v>
      </c>
      <c r="AK597" s="16">
        <f t="shared" si="636"/>
        <v>0</v>
      </c>
      <c r="AL597" s="16">
        <f t="shared" si="637"/>
        <v>0</v>
      </c>
      <c r="AN597" s="33">
        <v>21</v>
      </c>
      <c r="AO597" s="33">
        <f t="shared" si="646"/>
        <v>0</v>
      </c>
      <c r="AP597" s="33">
        <f t="shared" si="647"/>
        <v>0</v>
      </c>
      <c r="AQ597" s="27" t="s">
        <v>7</v>
      </c>
      <c r="AV597" s="33">
        <f t="shared" si="638"/>
        <v>0</v>
      </c>
      <c r="AW597" s="33">
        <f t="shared" si="639"/>
        <v>0</v>
      </c>
      <c r="AX597" s="33">
        <f t="shared" si="640"/>
        <v>0</v>
      </c>
      <c r="AY597" s="34" t="s">
        <v>1738</v>
      </c>
      <c r="AZ597" s="34" t="s">
        <v>1745</v>
      </c>
      <c r="BA597" s="28" t="s">
        <v>1752</v>
      </c>
      <c r="BC597" s="33">
        <f t="shared" si="641"/>
        <v>0</v>
      </c>
      <c r="BD597" s="33">
        <f t="shared" si="642"/>
        <v>0</v>
      </c>
      <c r="BE597" s="33">
        <v>0</v>
      </c>
      <c r="BF597" s="33">
        <f>597</f>
        <v>597</v>
      </c>
      <c r="BH597" s="16">
        <f t="shared" si="643"/>
        <v>0</v>
      </c>
      <c r="BI597" s="16">
        <f t="shared" si="644"/>
        <v>0</v>
      </c>
      <c r="BJ597" s="16">
        <f t="shared" si="645"/>
        <v>0</v>
      </c>
    </row>
    <row r="598" spans="1:62" x14ac:dyDescent="0.2">
      <c r="A598" s="73" t="s">
        <v>518</v>
      </c>
      <c r="B598" s="73" t="s">
        <v>1059</v>
      </c>
      <c r="C598" s="138" t="s">
        <v>1635</v>
      </c>
      <c r="D598" s="132"/>
      <c r="E598" s="132"/>
      <c r="F598" s="73" t="s">
        <v>1676</v>
      </c>
      <c r="G598" s="74">
        <v>30</v>
      </c>
      <c r="H598" s="166">
        <v>0</v>
      </c>
      <c r="I598" s="75">
        <f t="shared" si="624"/>
        <v>0</v>
      </c>
      <c r="J598" s="75">
        <f t="shared" si="625"/>
        <v>0</v>
      </c>
      <c r="K598" s="75">
        <f t="shared" si="626"/>
        <v>0</v>
      </c>
      <c r="L598" s="80"/>
      <c r="Z598" s="33">
        <f t="shared" si="627"/>
        <v>0</v>
      </c>
      <c r="AB598" s="33">
        <f t="shared" si="628"/>
        <v>0</v>
      </c>
      <c r="AC598" s="33">
        <f t="shared" si="629"/>
        <v>0</v>
      </c>
      <c r="AD598" s="33">
        <f t="shared" si="630"/>
        <v>0</v>
      </c>
      <c r="AE598" s="33">
        <f t="shared" si="631"/>
        <v>0</v>
      </c>
      <c r="AF598" s="33">
        <f t="shared" si="632"/>
        <v>0</v>
      </c>
      <c r="AG598" s="33">
        <f t="shared" si="633"/>
        <v>0</v>
      </c>
      <c r="AH598" s="33">
        <f t="shared" si="634"/>
        <v>0</v>
      </c>
      <c r="AI598" s="28"/>
      <c r="AJ598" s="16">
        <f t="shared" si="635"/>
        <v>0</v>
      </c>
      <c r="AK598" s="16">
        <f t="shared" si="636"/>
        <v>0</v>
      </c>
      <c r="AL598" s="16">
        <f t="shared" si="637"/>
        <v>0</v>
      </c>
      <c r="AN598" s="33">
        <v>21</v>
      </c>
      <c r="AO598" s="33">
        <f t="shared" si="646"/>
        <v>0</v>
      </c>
      <c r="AP598" s="33">
        <f t="shared" si="647"/>
        <v>0</v>
      </c>
      <c r="AQ598" s="27" t="s">
        <v>7</v>
      </c>
      <c r="AV598" s="33">
        <f t="shared" si="638"/>
        <v>0</v>
      </c>
      <c r="AW598" s="33">
        <f t="shared" si="639"/>
        <v>0</v>
      </c>
      <c r="AX598" s="33">
        <f t="shared" si="640"/>
        <v>0</v>
      </c>
      <c r="AY598" s="34" t="s">
        <v>1738</v>
      </c>
      <c r="AZ598" s="34" t="s">
        <v>1745</v>
      </c>
      <c r="BA598" s="28" t="s">
        <v>1752</v>
      </c>
      <c r="BC598" s="33">
        <f t="shared" si="641"/>
        <v>0</v>
      </c>
      <c r="BD598" s="33">
        <f t="shared" si="642"/>
        <v>0</v>
      </c>
      <c r="BE598" s="33">
        <v>0</v>
      </c>
      <c r="BF598" s="33">
        <f>598</f>
        <v>598</v>
      </c>
      <c r="BH598" s="16">
        <f t="shared" si="643"/>
        <v>0</v>
      </c>
      <c r="BI598" s="16">
        <f t="shared" si="644"/>
        <v>0</v>
      </c>
      <c r="BJ598" s="16">
        <f t="shared" si="645"/>
        <v>0</v>
      </c>
    </row>
    <row r="599" spans="1:62" x14ac:dyDescent="0.2">
      <c r="A599" s="4" t="s">
        <v>519</v>
      </c>
      <c r="B599" s="4" t="s">
        <v>1060</v>
      </c>
      <c r="C599" s="131" t="s">
        <v>1636</v>
      </c>
      <c r="D599" s="132"/>
      <c r="E599" s="132"/>
      <c r="F599" s="4" t="s">
        <v>1676</v>
      </c>
      <c r="G599" s="68">
        <v>2</v>
      </c>
      <c r="H599" s="162">
        <v>0</v>
      </c>
      <c r="I599" s="16">
        <f t="shared" si="624"/>
        <v>0</v>
      </c>
      <c r="J599" s="16">
        <f t="shared" si="625"/>
        <v>0</v>
      </c>
      <c r="K599" s="16">
        <f t="shared" si="626"/>
        <v>0</v>
      </c>
      <c r="L599" s="27"/>
      <c r="Z599" s="33">
        <f t="shared" si="627"/>
        <v>0</v>
      </c>
      <c r="AB599" s="33">
        <f t="shared" si="628"/>
        <v>0</v>
      </c>
      <c r="AC599" s="33">
        <f t="shared" si="629"/>
        <v>0</v>
      </c>
      <c r="AD599" s="33">
        <f t="shared" si="630"/>
        <v>0</v>
      </c>
      <c r="AE599" s="33">
        <f t="shared" si="631"/>
        <v>0</v>
      </c>
      <c r="AF599" s="33">
        <f t="shared" si="632"/>
        <v>0</v>
      </c>
      <c r="AG599" s="33">
        <f t="shared" si="633"/>
        <v>0</v>
      </c>
      <c r="AH599" s="33">
        <f t="shared" si="634"/>
        <v>0</v>
      </c>
      <c r="AI599" s="28"/>
      <c r="AJ599" s="16">
        <f t="shared" si="635"/>
        <v>0</v>
      </c>
      <c r="AK599" s="16">
        <f t="shared" si="636"/>
        <v>0</v>
      </c>
      <c r="AL599" s="16">
        <f t="shared" si="637"/>
        <v>0</v>
      </c>
      <c r="AN599" s="33">
        <v>21</v>
      </c>
      <c r="AO599" s="33">
        <f t="shared" si="646"/>
        <v>0</v>
      </c>
      <c r="AP599" s="33">
        <f t="shared" si="647"/>
        <v>0</v>
      </c>
      <c r="AQ599" s="27" t="s">
        <v>7</v>
      </c>
      <c r="AV599" s="33">
        <f t="shared" si="638"/>
        <v>0</v>
      </c>
      <c r="AW599" s="33">
        <f t="shared" si="639"/>
        <v>0</v>
      </c>
      <c r="AX599" s="33">
        <f t="shared" si="640"/>
        <v>0</v>
      </c>
      <c r="AY599" s="34" t="s">
        <v>1738</v>
      </c>
      <c r="AZ599" s="34" t="s">
        <v>1745</v>
      </c>
      <c r="BA599" s="28" t="s">
        <v>1752</v>
      </c>
      <c r="BC599" s="33">
        <f t="shared" si="641"/>
        <v>0</v>
      </c>
      <c r="BD599" s="33">
        <f t="shared" si="642"/>
        <v>0</v>
      </c>
      <c r="BE599" s="33">
        <v>0</v>
      </c>
      <c r="BF599" s="33">
        <f>599</f>
        <v>599</v>
      </c>
      <c r="BH599" s="16">
        <f t="shared" si="643"/>
        <v>0</v>
      </c>
      <c r="BI599" s="16">
        <f t="shared" si="644"/>
        <v>0</v>
      </c>
      <c r="BJ599" s="16">
        <f t="shared" si="645"/>
        <v>0</v>
      </c>
    </row>
    <row r="600" spans="1:62" x14ac:dyDescent="0.2">
      <c r="A600" s="73" t="s">
        <v>520</v>
      </c>
      <c r="B600" s="73" t="s">
        <v>1061</v>
      </c>
      <c r="C600" s="138" t="s">
        <v>1636</v>
      </c>
      <c r="D600" s="132"/>
      <c r="E600" s="132"/>
      <c r="F600" s="73" t="s">
        <v>1676</v>
      </c>
      <c r="G600" s="74">
        <v>2</v>
      </c>
      <c r="H600" s="166">
        <v>0</v>
      </c>
      <c r="I600" s="75">
        <f t="shared" ref="I600:I616" si="648">G600*AO600</f>
        <v>0</v>
      </c>
      <c r="J600" s="75">
        <f t="shared" ref="J600:J616" si="649">G600*AP600</f>
        <v>0</v>
      </c>
      <c r="K600" s="75">
        <f t="shared" ref="K600:K616" si="650">G600*H600</f>
        <v>0</v>
      </c>
      <c r="L600" s="80"/>
      <c r="Z600" s="33">
        <f t="shared" ref="Z600:Z616" si="651">IF(AQ600="5",BJ600,0)</f>
        <v>0</v>
      </c>
      <c r="AB600" s="33">
        <f t="shared" ref="AB600:AB616" si="652">IF(AQ600="1",BH600,0)</f>
        <v>0</v>
      </c>
      <c r="AC600" s="33">
        <f t="shared" ref="AC600:AC616" si="653">IF(AQ600="1",BI600,0)</f>
        <v>0</v>
      </c>
      <c r="AD600" s="33">
        <f t="shared" ref="AD600:AD616" si="654">IF(AQ600="7",BH600,0)</f>
        <v>0</v>
      </c>
      <c r="AE600" s="33">
        <f t="shared" ref="AE600:AE616" si="655">IF(AQ600="7",BI600,0)</f>
        <v>0</v>
      </c>
      <c r="AF600" s="33">
        <f t="shared" ref="AF600:AF616" si="656">IF(AQ600="2",BH600,0)</f>
        <v>0</v>
      </c>
      <c r="AG600" s="33">
        <f t="shared" ref="AG600:AG616" si="657">IF(AQ600="2",BI600,0)</f>
        <v>0</v>
      </c>
      <c r="AH600" s="33">
        <f t="shared" ref="AH600:AH616" si="658">IF(AQ600="0",BJ600,0)</f>
        <v>0</v>
      </c>
      <c r="AI600" s="28"/>
      <c r="AJ600" s="16">
        <f t="shared" ref="AJ600:AJ616" si="659">IF(AN600=0,K600,0)</f>
        <v>0</v>
      </c>
      <c r="AK600" s="16">
        <f t="shared" ref="AK600:AK616" si="660">IF(AN600=15,K600,0)</f>
        <v>0</v>
      </c>
      <c r="AL600" s="16">
        <f t="shared" ref="AL600:AL616" si="661">IF(AN600=21,K600,0)</f>
        <v>0</v>
      </c>
      <c r="AN600" s="33">
        <v>21</v>
      </c>
      <c r="AO600" s="33">
        <f t="shared" si="646"/>
        <v>0</v>
      </c>
      <c r="AP600" s="33">
        <f t="shared" si="647"/>
        <v>0</v>
      </c>
      <c r="AQ600" s="27" t="s">
        <v>7</v>
      </c>
      <c r="AV600" s="33">
        <f t="shared" ref="AV600:AV616" si="662">AW600+AX600</f>
        <v>0</v>
      </c>
      <c r="AW600" s="33">
        <f t="shared" ref="AW600:AW616" si="663">G600*AO600</f>
        <v>0</v>
      </c>
      <c r="AX600" s="33">
        <f t="shared" ref="AX600:AX616" si="664">G600*AP600</f>
        <v>0</v>
      </c>
      <c r="AY600" s="34" t="s">
        <v>1738</v>
      </c>
      <c r="AZ600" s="34" t="s">
        <v>1745</v>
      </c>
      <c r="BA600" s="28" t="s">
        <v>1752</v>
      </c>
      <c r="BC600" s="33">
        <f t="shared" ref="BC600:BC616" si="665">AW600+AX600</f>
        <v>0</v>
      </c>
      <c r="BD600" s="33">
        <f t="shared" ref="BD600:BD616" si="666">H600/(100-BE600)*100</f>
        <v>0</v>
      </c>
      <c r="BE600" s="33">
        <v>0</v>
      </c>
      <c r="BF600" s="33">
        <f>600</f>
        <v>600</v>
      </c>
      <c r="BH600" s="16">
        <f t="shared" ref="BH600:BH616" si="667">G600*AO600</f>
        <v>0</v>
      </c>
      <c r="BI600" s="16">
        <f t="shared" ref="BI600:BI616" si="668">G600*AP600</f>
        <v>0</v>
      </c>
      <c r="BJ600" s="16">
        <f t="shared" ref="BJ600:BJ616" si="669">G600*H600</f>
        <v>0</v>
      </c>
    </row>
    <row r="601" spans="1:62" x14ac:dyDescent="0.2">
      <c r="A601" s="4" t="s">
        <v>521</v>
      </c>
      <c r="B601" s="4" t="s">
        <v>1062</v>
      </c>
      <c r="C601" s="131" t="s">
        <v>1637</v>
      </c>
      <c r="D601" s="132"/>
      <c r="E601" s="132"/>
      <c r="F601" s="4" t="s">
        <v>1676</v>
      </c>
      <c r="G601" s="68">
        <v>4</v>
      </c>
      <c r="H601" s="162">
        <v>0</v>
      </c>
      <c r="I601" s="16">
        <f t="shared" si="648"/>
        <v>0</v>
      </c>
      <c r="J601" s="16">
        <f t="shared" si="649"/>
        <v>0</v>
      </c>
      <c r="K601" s="16">
        <f t="shared" si="650"/>
        <v>0</v>
      </c>
      <c r="L601" s="27"/>
      <c r="Z601" s="33">
        <f t="shared" si="651"/>
        <v>0</v>
      </c>
      <c r="AB601" s="33">
        <f t="shared" si="652"/>
        <v>0</v>
      </c>
      <c r="AC601" s="33">
        <f t="shared" si="653"/>
        <v>0</v>
      </c>
      <c r="AD601" s="33">
        <f t="shared" si="654"/>
        <v>0</v>
      </c>
      <c r="AE601" s="33">
        <f t="shared" si="655"/>
        <v>0</v>
      </c>
      <c r="AF601" s="33">
        <f t="shared" si="656"/>
        <v>0</v>
      </c>
      <c r="AG601" s="33">
        <f t="shared" si="657"/>
        <v>0</v>
      </c>
      <c r="AH601" s="33">
        <f t="shared" si="658"/>
        <v>0</v>
      </c>
      <c r="AI601" s="28"/>
      <c r="AJ601" s="16">
        <f t="shared" si="659"/>
        <v>0</v>
      </c>
      <c r="AK601" s="16">
        <f t="shared" si="660"/>
        <v>0</v>
      </c>
      <c r="AL601" s="16">
        <f t="shared" si="661"/>
        <v>0</v>
      </c>
      <c r="AN601" s="33">
        <v>21</v>
      </c>
      <c r="AO601" s="33">
        <f t="shared" si="646"/>
        <v>0</v>
      </c>
      <c r="AP601" s="33">
        <f t="shared" si="647"/>
        <v>0</v>
      </c>
      <c r="AQ601" s="27" t="s">
        <v>7</v>
      </c>
      <c r="AV601" s="33">
        <f t="shared" si="662"/>
        <v>0</v>
      </c>
      <c r="AW601" s="33">
        <f t="shared" si="663"/>
        <v>0</v>
      </c>
      <c r="AX601" s="33">
        <f t="shared" si="664"/>
        <v>0</v>
      </c>
      <c r="AY601" s="34" t="s">
        <v>1738</v>
      </c>
      <c r="AZ601" s="34" t="s">
        <v>1745</v>
      </c>
      <c r="BA601" s="28" t="s">
        <v>1752</v>
      </c>
      <c r="BC601" s="33">
        <f t="shared" si="665"/>
        <v>0</v>
      </c>
      <c r="BD601" s="33">
        <f t="shared" si="666"/>
        <v>0</v>
      </c>
      <c r="BE601" s="33">
        <v>0</v>
      </c>
      <c r="BF601" s="33">
        <f>601</f>
        <v>601</v>
      </c>
      <c r="BH601" s="16">
        <f t="shared" si="667"/>
        <v>0</v>
      </c>
      <c r="BI601" s="16">
        <f t="shared" si="668"/>
        <v>0</v>
      </c>
      <c r="BJ601" s="16">
        <f t="shared" si="669"/>
        <v>0</v>
      </c>
    </row>
    <row r="602" spans="1:62" x14ac:dyDescent="0.2">
      <c r="A602" s="73" t="s">
        <v>522</v>
      </c>
      <c r="B602" s="73" t="s">
        <v>1063</v>
      </c>
      <c r="C602" s="138" t="s">
        <v>1637</v>
      </c>
      <c r="D602" s="132"/>
      <c r="E602" s="132"/>
      <c r="F602" s="73" t="s">
        <v>1676</v>
      </c>
      <c r="G602" s="74">
        <v>4</v>
      </c>
      <c r="H602" s="166">
        <v>0</v>
      </c>
      <c r="I602" s="75">
        <f t="shared" si="648"/>
        <v>0</v>
      </c>
      <c r="J602" s="75">
        <f t="shared" si="649"/>
        <v>0</v>
      </c>
      <c r="K602" s="75">
        <f t="shared" si="650"/>
        <v>0</v>
      </c>
      <c r="L602" s="80"/>
      <c r="Z602" s="33">
        <f t="shared" si="651"/>
        <v>0</v>
      </c>
      <c r="AB602" s="33">
        <f t="shared" si="652"/>
        <v>0</v>
      </c>
      <c r="AC602" s="33">
        <f t="shared" si="653"/>
        <v>0</v>
      </c>
      <c r="AD602" s="33">
        <f t="shared" si="654"/>
        <v>0</v>
      </c>
      <c r="AE602" s="33">
        <f t="shared" si="655"/>
        <v>0</v>
      </c>
      <c r="AF602" s="33">
        <f t="shared" si="656"/>
        <v>0</v>
      </c>
      <c r="AG602" s="33">
        <f t="shared" si="657"/>
        <v>0</v>
      </c>
      <c r="AH602" s="33">
        <f t="shared" si="658"/>
        <v>0</v>
      </c>
      <c r="AI602" s="28"/>
      <c r="AJ602" s="16">
        <f t="shared" si="659"/>
        <v>0</v>
      </c>
      <c r="AK602" s="16">
        <f t="shared" si="660"/>
        <v>0</v>
      </c>
      <c r="AL602" s="16">
        <f t="shared" si="661"/>
        <v>0</v>
      </c>
      <c r="AN602" s="33">
        <v>21</v>
      </c>
      <c r="AO602" s="33">
        <f t="shared" si="646"/>
        <v>0</v>
      </c>
      <c r="AP602" s="33">
        <f t="shared" si="647"/>
        <v>0</v>
      </c>
      <c r="AQ602" s="27" t="s">
        <v>7</v>
      </c>
      <c r="AV602" s="33">
        <f t="shared" si="662"/>
        <v>0</v>
      </c>
      <c r="AW602" s="33">
        <f t="shared" si="663"/>
        <v>0</v>
      </c>
      <c r="AX602" s="33">
        <f t="shared" si="664"/>
        <v>0</v>
      </c>
      <c r="AY602" s="34" t="s">
        <v>1738</v>
      </c>
      <c r="AZ602" s="34" t="s">
        <v>1745</v>
      </c>
      <c r="BA602" s="28" t="s">
        <v>1752</v>
      </c>
      <c r="BC602" s="33">
        <f t="shared" si="665"/>
        <v>0</v>
      </c>
      <c r="BD602" s="33">
        <f t="shared" si="666"/>
        <v>0</v>
      </c>
      <c r="BE602" s="33">
        <v>0</v>
      </c>
      <c r="BF602" s="33">
        <f>602</f>
        <v>602</v>
      </c>
      <c r="BH602" s="16">
        <f t="shared" si="667"/>
        <v>0</v>
      </c>
      <c r="BI602" s="16">
        <f t="shared" si="668"/>
        <v>0</v>
      </c>
      <c r="BJ602" s="16">
        <f t="shared" si="669"/>
        <v>0</v>
      </c>
    </row>
    <row r="603" spans="1:62" x14ac:dyDescent="0.2">
      <c r="A603" s="4" t="s">
        <v>523</v>
      </c>
      <c r="B603" s="4" t="s">
        <v>1064</v>
      </c>
      <c r="C603" s="131" t="s">
        <v>1638</v>
      </c>
      <c r="D603" s="132"/>
      <c r="E603" s="132"/>
      <c r="F603" s="4" t="s">
        <v>1665</v>
      </c>
      <c r="G603" s="68">
        <v>1</v>
      </c>
      <c r="H603" s="162">
        <v>0</v>
      </c>
      <c r="I603" s="16">
        <f t="shared" si="648"/>
        <v>0</v>
      </c>
      <c r="J603" s="16">
        <f t="shared" si="649"/>
        <v>0</v>
      </c>
      <c r="K603" s="16">
        <f t="shared" si="650"/>
        <v>0</v>
      </c>
      <c r="L603" s="27"/>
      <c r="Z603" s="33">
        <f t="shared" si="651"/>
        <v>0</v>
      </c>
      <c r="AB603" s="33">
        <f t="shared" si="652"/>
        <v>0</v>
      </c>
      <c r="AC603" s="33">
        <f t="shared" si="653"/>
        <v>0</v>
      </c>
      <c r="AD603" s="33">
        <f t="shared" si="654"/>
        <v>0</v>
      </c>
      <c r="AE603" s="33">
        <f t="shared" si="655"/>
        <v>0</v>
      </c>
      <c r="AF603" s="33">
        <f t="shared" si="656"/>
        <v>0</v>
      </c>
      <c r="AG603" s="33">
        <f t="shared" si="657"/>
        <v>0</v>
      </c>
      <c r="AH603" s="33">
        <f t="shared" si="658"/>
        <v>0</v>
      </c>
      <c r="AI603" s="28"/>
      <c r="AJ603" s="16">
        <f t="shared" si="659"/>
        <v>0</v>
      </c>
      <c r="AK603" s="16">
        <f t="shared" si="660"/>
        <v>0</v>
      </c>
      <c r="AL603" s="16">
        <f t="shared" si="661"/>
        <v>0</v>
      </c>
      <c r="AN603" s="33">
        <v>21</v>
      </c>
      <c r="AO603" s="33">
        <f t="shared" si="646"/>
        <v>0</v>
      </c>
      <c r="AP603" s="33">
        <f t="shared" si="647"/>
        <v>0</v>
      </c>
      <c r="AQ603" s="27" t="s">
        <v>7</v>
      </c>
      <c r="AV603" s="33">
        <f t="shared" si="662"/>
        <v>0</v>
      </c>
      <c r="AW603" s="33">
        <f t="shared" si="663"/>
        <v>0</v>
      </c>
      <c r="AX603" s="33">
        <f t="shared" si="664"/>
        <v>0</v>
      </c>
      <c r="AY603" s="34" t="s">
        <v>1738</v>
      </c>
      <c r="AZ603" s="34" t="s">
        <v>1745</v>
      </c>
      <c r="BA603" s="28" t="s">
        <v>1752</v>
      </c>
      <c r="BC603" s="33">
        <f t="shared" si="665"/>
        <v>0</v>
      </c>
      <c r="BD603" s="33">
        <f t="shared" si="666"/>
        <v>0</v>
      </c>
      <c r="BE603" s="33">
        <v>0</v>
      </c>
      <c r="BF603" s="33">
        <f>603</f>
        <v>603</v>
      </c>
      <c r="BH603" s="16">
        <f t="shared" si="667"/>
        <v>0</v>
      </c>
      <c r="BI603" s="16">
        <f t="shared" si="668"/>
        <v>0</v>
      </c>
      <c r="BJ603" s="16">
        <f t="shared" si="669"/>
        <v>0</v>
      </c>
    </row>
    <row r="604" spans="1:62" x14ac:dyDescent="0.2">
      <c r="A604" s="73" t="s">
        <v>524</v>
      </c>
      <c r="B604" s="73" t="s">
        <v>1065</v>
      </c>
      <c r="C604" s="138" t="s">
        <v>1638</v>
      </c>
      <c r="D604" s="132"/>
      <c r="E604" s="132"/>
      <c r="F604" s="73" t="s">
        <v>1676</v>
      </c>
      <c r="G604" s="74">
        <v>1</v>
      </c>
      <c r="H604" s="166">
        <v>0</v>
      </c>
      <c r="I604" s="75">
        <f t="shared" si="648"/>
        <v>0</v>
      </c>
      <c r="J604" s="75">
        <f t="shared" si="649"/>
        <v>0</v>
      </c>
      <c r="K604" s="75">
        <f t="shared" si="650"/>
        <v>0</v>
      </c>
      <c r="L604" s="80"/>
      <c r="Z604" s="33">
        <f t="shared" si="651"/>
        <v>0</v>
      </c>
      <c r="AB604" s="33">
        <f t="shared" si="652"/>
        <v>0</v>
      </c>
      <c r="AC604" s="33">
        <f t="shared" si="653"/>
        <v>0</v>
      </c>
      <c r="AD604" s="33">
        <f t="shared" si="654"/>
        <v>0</v>
      </c>
      <c r="AE604" s="33">
        <f t="shared" si="655"/>
        <v>0</v>
      </c>
      <c r="AF604" s="33">
        <f t="shared" si="656"/>
        <v>0</v>
      </c>
      <c r="AG604" s="33">
        <f t="shared" si="657"/>
        <v>0</v>
      </c>
      <c r="AH604" s="33">
        <f t="shared" si="658"/>
        <v>0</v>
      </c>
      <c r="AI604" s="28"/>
      <c r="AJ604" s="16">
        <f t="shared" si="659"/>
        <v>0</v>
      </c>
      <c r="AK604" s="16">
        <f t="shared" si="660"/>
        <v>0</v>
      </c>
      <c r="AL604" s="16">
        <f t="shared" si="661"/>
        <v>0</v>
      </c>
      <c r="AN604" s="33">
        <v>21</v>
      </c>
      <c r="AO604" s="33">
        <f t="shared" si="646"/>
        <v>0</v>
      </c>
      <c r="AP604" s="33">
        <f t="shared" si="647"/>
        <v>0</v>
      </c>
      <c r="AQ604" s="27" t="s">
        <v>7</v>
      </c>
      <c r="AV604" s="33">
        <f t="shared" si="662"/>
        <v>0</v>
      </c>
      <c r="AW604" s="33">
        <f t="shared" si="663"/>
        <v>0</v>
      </c>
      <c r="AX604" s="33">
        <f t="shared" si="664"/>
        <v>0</v>
      </c>
      <c r="AY604" s="34" t="s">
        <v>1738</v>
      </c>
      <c r="AZ604" s="34" t="s">
        <v>1745</v>
      </c>
      <c r="BA604" s="28" t="s">
        <v>1752</v>
      </c>
      <c r="BC604" s="33">
        <f t="shared" si="665"/>
        <v>0</v>
      </c>
      <c r="BD604" s="33">
        <f t="shared" si="666"/>
        <v>0</v>
      </c>
      <c r="BE604" s="33">
        <v>0</v>
      </c>
      <c r="BF604" s="33">
        <f>604</f>
        <v>604</v>
      </c>
      <c r="BH604" s="16">
        <f t="shared" si="667"/>
        <v>0</v>
      </c>
      <c r="BI604" s="16">
        <f t="shared" si="668"/>
        <v>0</v>
      </c>
      <c r="BJ604" s="16">
        <f t="shared" si="669"/>
        <v>0</v>
      </c>
    </row>
    <row r="605" spans="1:62" x14ac:dyDescent="0.2">
      <c r="A605" s="4" t="s">
        <v>525</v>
      </c>
      <c r="B605" s="4" t="s">
        <v>1066</v>
      </c>
      <c r="C605" s="131" t="s">
        <v>1639</v>
      </c>
      <c r="D605" s="132"/>
      <c r="E605" s="132"/>
      <c r="F605" s="4" t="s">
        <v>1675</v>
      </c>
      <c r="G605" s="68">
        <v>1</v>
      </c>
      <c r="H605" s="162">
        <v>0</v>
      </c>
      <c r="I605" s="16">
        <f t="shared" si="648"/>
        <v>0</v>
      </c>
      <c r="J605" s="16">
        <f t="shared" si="649"/>
        <v>0</v>
      </c>
      <c r="K605" s="16">
        <f t="shared" si="650"/>
        <v>0</v>
      </c>
      <c r="L605" s="27"/>
      <c r="Z605" s="33">
        <f t="shared" si="651"/>
        <v>0</v>
      </c>
      <c r="AB605" s="33">
        <f t="shared" si="652"/>
        <v>0</v>
      </c>
      <c r="AC605" s="33">
        <f t="shared" si="653"/>
        <v>0</v>
      </c>
      <c r="AD605" s="33">
        <f t="shared" si="654"/>
        <v>0</v>
      </c>
      <c r="AE605" s="33">
        <f t="shared" si="655"/>
        <v>0</v>
      </c>
      <c r="AF605" s="33">
        <f t="shared" si="656"/>
        <v>0</v>
      </c>
      <c r="AG605" s="33">
        <f t="shared" si="657"/>
        <v>0</v>
      </c>
      <c r="AH605" s="33">
        <f t="shared" si="658"/>
        <v>0</v>
      </c>
      <c r="AI605" s="28"/>
      <c r="AJ605" s="16">
        <f t="shared" si="659"/>
        <v>0</v>
      </c>
      <c r="AK605" s="16">
        <f t="shared" si="660"/>
        <v>0</v>
      </c>
      <c r="AL605" s="16">
        <f t="shared" si="661"/>
        <v>0</v>
      </c>
      <c r="AN605" s="33">
        <v>21</v>
      </c>
      <c r="AO605" s="33">
        <f t="shared" si="646"/>
        <v>0</v>
      </c>
      <c r="AP605" s="33">
        <f t="shared" si="647"/>
        <v>0</v>
      </c>
      <c r="AQ605" s="27" t="s">
        <v>7</v>
      </c>
      <c r="AV605" s="33">
        <f t="shared" si="662"/>
        <v>0</v>
      </c>
      <c r="AW605" s="33">
        <f t="shared" si="663"/>
        <v>0</v>
      </c>
      <c r="AX605" s="33">
        <f t="shared" si="664"/>
        <v>0</v>
      </c>
      <c r="AY605" s="34" t="s">
        <v>1738</v>
      </c>
      <c r="AZ605" s="34" t="s">
        <v>1745</v>
      </c>
      <c r="BA605" s="28" t="s">
        <v>1752</v>
      </c>
      <c r="BC605" s="33">
        <f t="shared" si="665"/>
        <v>0</v>
      </c>
      <c r="BD605" s="33">
        <f t="shared" si="666"/>
        <v>0</v>
      </c>
      <c r="BE605" s="33">
        <v>0</v>
      </c>
      <c r="BF605" s="33">
        <f>605</f>
        <v>605</v>
      </c>
      <c r="BH605" s="16">
        <f t="shared" si="667"/>
        <v>0</v>
      </c>
      <c r="BI605" s="16">
        <f t="shared" si="668"/>
        <v>0</v>
      </c>
      <c r="BJ605" s="16">
        <f t="shared" si="669"/>
        <v>0</v>
      </c>
    </row>
    <row r="606" spans="1:62" x14ac:dyDescent="0.2">
      <c r="A606" s="4" t="s">
        <v>526</v>
      </c>
      <c r="B606" s="4" t="s">
        <v>1067</v>
      </c>
      <c r="C606" s="131" t="s">
        <v>1640</v>
      </c>
      <c r="D606" s="132"/>
      <c r="E606" s="132"/>
      <c r="F606" s="4" t="s">
        <v>1676</v>
      </c>
      <c r="G606" s="68">
        <v>10</v>
      </c>
      <c r="H606" s="162">
        <v>0</v>
      </c>
      <c r="I606" s="16">
        <f t="shared" si="648"/>
        <v>0</v>
      </c>
      <c r="J606" s="16">
        <f t="shared" si="649"/>
        <v>0</v>
      </c>
      <c r="K606" s="16">
        <f t="shared" si="650"/>
        <v>0</v>
      </c>
      <c r="L606" s="27"/>
      <c r="Z606" s="33">
        <f t="shared" si="651"/>
        <v>0</v>
      </c>
      <c r="AB606" s="33">
        <f t="shared" si="652"/>
        <v>0</v>
      </c>
      <c r="AC606" s="33">
        <f t="shared" si="653"/>
        <v>0</v>
      </c>
      <c r="AD606" s="33">
        <f t="shared" si="654"/>
        <v>0</v>
      </c>
      <c r="AE606" s="33">
        <f t="shared" si="655"/>
        <v>0</v>
      </c>
      <c r="AF606" s="33">
        <f t="shared" si="656"/>
        <v>0</v>
      </c>
      <c r="AG606" s="33">
        <f t="shared" si="657"/>
        <v>0</v>
      </c>
      <c r="AH606" s="33">
        <f t="shared" si="658"/>
        <v>0</v>
      </c>
      <c r="AI606" s="28"/>
      <c r="AJ606" s="16">
        <f t="shared" si="659"/>
        <v>0</v>
      </c>
      <c r="AK606" s="16">
        <f t="shared" si="660"/>
        <v>0</v>
      </c>
      <c r="AL606" s="16">
        <f t="shared" si="661"/>
        <v>0</v>
      </c>
      <c r="AN606" s="33">
        <v>21</v>
      </c>
      <c r="AO606" s="33">
        <f t="shared" si="646"/>
        <v>0</v>
      </c>
      <c r="AP606" s="33">
        <f t="shared" si="647"/>
        <v>0</v>
      </c>
      <c r="AQ606" s="27" t="s">
        <v>7</v>
      </c>
      <c r="AV606" s="33">
        <f t="shared" si="662"/>
        <v>0</v>
      </c>
      <c r="AW606" s="33">
        <f t="shared" si="663"/>
        <v>0</v>
      </c>
      <c r="AX606" s="33">
        <f t="shared" si="664"/>
        <v>0</v>
      </c>
      <c r="AY606" s="34" t="s">
        <v>1738</v>
      </c>
      <c r="AZ606" s="34" t="s">
        <v>1745</v>
      </c>
      <c r="BA606" s="28" t="s">
        <v>1752</v>
      </c>
      <c r="BC606" s="33">
        <f t="shared" si="665"/>
        <v>0</v>
      </c>
      <c r="BD606" s="33">
        <f t="shared" si="666"/>
        <v>0</v>
      </c>
      <c r="BE606" s="33">
        <v>0</v>
      </c>
      <c r="BF606" s="33">
        <f>606</f>
        <v>606</v>
      </c>
      <c r="BH606" s="16">
        <f t="shared" si="667"/>
        <v>0</v>
      </c>
      <c r="BI606" s="16">
        <f t="shared" si="668"/>
        <v>0</v>
      </c>
      <c r="BJ606" s="16">
        <f t="shared" si="669"/>
        <v>0</v>
      </c>
    </row>
    <row r="607" spans="1:62" x14ac:dyDescent="0.2">
      <c r="A607" s="4" t="s">
        <v>527</v>
      </c>
      <c r="B607" s="4" t="s">
        <v>1068</v>
      </c>
      <c r="C607" s="131" t="s">
        <v>1641</v>
      </c>
      <c r="D607" s="132"/>
      <c r="E607" s="132"/>
      <c r="F607" s="4" t="s">
        <v>1675</v>
      </c>
      <c r="G607" s="68">
        <v>1</v>
      </c>
      <c r="H607" s="162">
        <v>0</v>
      </c>
      <c r="I607" s="16">
        <f t="shared" si="648"/>
        <v>0</v>
      </c>
      <c r="J607" s="16">
        <f t="shared" si="649"/>
        <v>0</v>
      </c>
      <c r="K607" s="16">
        <f t="shared" si="650"/>
        <v>0</v>
      </c>
      <c r="L607" s="27"/>
      <c r="Z607" s="33">
        <f t="shared" si="651"/>
        <v>0</v>
      </c>
      <c r="AB607" s="33">
        <f t="shared" si="652"/>
        <v>0</v>
      </c>
      <c r="AC607" s="33">
        <f t="shared" si="653"/>
        <v>0</v>
      </c>
      <c r="AD607" s="33">
        <f t="shared" si="654"/>
        <v>0</v>
      </c>
      <c r="AE607" s="33">
        <f t="shared" si="655"/>
        <v>0</v>
      </c>
      <c r="AF607" s="33">
        <f t="shared" si="656"/>
        <v>0</v>
      </c>
      <c r="AG607" s="33">
        <f t="shared" si="657"/>
        <v>0</v>
      </c>
      <c r="AH607" s="33">
        <f t="shared" si="658"/>
        <v>0</v>
      </c>
      <c r="AI607" s="28"/>
      <c r="AJ607" s="16">
        <f t="shared" si="659"/>
        <v>0</v>
      </c>
      <c r="AK607" s="16">
        <f t="shared" si="660"/>
        <v>0</v>
      </c>
      <c r="AL607" s="16">
        <f t="shared" si="661"/>
        <v>0</v>
      </c>
      <c r="AN607" s="33">
        <v>21</v>
      </c>
      <c r="AO607" s="33">
        <f t="shared" si="646"/>
        <v>0</v>
      </c>
      <c r="AP607" s="33">
        <f t="shared" si="647"/>
        <v>0</v>
      </c>
      <c r="AQ607" s="27" t="s">
        <v>7</v>
      </c>
      <c r="AV607" s="33">
        <f t="shared" si="662"/>
        <v>0</v>
      </c>
      <c r="AW607" s="33">
        <f t="shared" si="663"/>
        <v>0</v>
      </c>
      <c r="AX607" s="33">
        <f t="shared" si="664"/>
        <v>0</v>
      </c>
      <c r="AY607" s="34" t="s">
        <v>1738</v>
      </c>
      <c r="AZ607" s="34" t="s">
        <v>1745</v>
      </c>
      <c r="BA607" s="28" t="s">
        <v>1752</v>
      </c>
      <c r="BC607" s="33">
        <f t="shared" si="665"/>
        <v>0</v>
      </c>
      <c r="BD607" s="33">
        <f t="shared" si="666"/>
        <v>0</v>
      </c>
      <c r="BE607" s="33">
        <v>0</v>
      </c>
      <c r="BF607" s="33">
        <f>607</f>
        <v>607</v>
      </c>
      <c r="BH607" s="16">
        <f t="shared" si="667"/>
        <v>0</v>
      </c>
      <c r="BI607" s="16">
        <f t="shared" si="668"/>
        <v>0</v>
      </c>
      <c r="BJ607" s="16">
        <f t="shared" si="669"/>
        <v>0</v>
      </c>
    </row>
    <row r="608" spans="1:62" x14ac:dyDescent="0.2">
      <c r="A608" s="4" t="s">
        <v>528</v>
      </c>
      <c r="B608" s="4" t="s">
        <v>1069</v>
      </c>
      <c r="C608" s="131" t="s">
        <v>1642</v>
      </c>
      <c r="D608" s="132"/>
      <c r="E608" s="132"/>
      <c r="F608" s="4" t="s">
        <v>1675</v>
      </c>
      <c r="G608" s="68">
        <v>1</v>
      </c>
      <c r="H608" s="162">
        <v>0</v>
      </c>
      <c r="I608" s="16">
        <f t="shared" si="648"/>
        <v>0</v>
      </c>
      <c r="J608" s="16">
        <f t="shared" si="649"/>
        <v>0</v>
      </c>
      <c r="K608" s="16">
        <f t="shared" si="650"/>
        <v>0</v>
      </c>
      <c r="L608" s="27"/>
      <c r="Z608" s="33">
        <f t="shared" si="651"/>
        <v>0</v>
      </c>
      <c r="AB608" s="33">
        <f t="shared" si="652"/>
        <v>0</v>
      </c>
      <c r="AC608" s="33">
        <f t="shared" si="653"/>
        <v>0</v>
      </c>
      <c r="AD608" s="33">
        <f t="shared" si="654"/>
        <v>0</v>
      </c>
      <c r="AE608" s="33">
        <f t="shared" si="655"/>
        <v>0</v>
      </c>
      <c r="AF608" s="33">
        <f t="shared" si="656"/>
        <v>0</v>
      </c>
      <c r="AG608" s="33">
        <f t="shared" si="657"/>
        <v>0</v>
      </c>
      <c r="AH608" s="33">
        <f t="shared" si="658"/>
        <v>0</v>
      </c>
      <c r="AI608" s="28"/>
      <c r="AJ608" s="16">
        <f t="shared" si="659"/>
        <v>0</v>
      </c>
      <c r="AK608" s="16">
        <f t="shared" si="660"/>
        <v>0</v>
      </c>
      <c r="AL608" s="16">
        <f t="shared" si="661"/>
        <v>0</v>
      </c>
      <c r="AN608" s="33">
        <v>21</v>
      </c>
      <c r="AO608" s="33">
        <f t="shared" si="646"/>
        <v>0</v>
      </c>
      <c r="AP608" s="33">
        <f t="shared" si="647"/>
        <v>0</v>
      </c>
      <c r="AQ608" s="27" t="s">
        <v>7</v>
      </c>
      <c r="AV608" s="33">
        <f t="shared" si="662"/>
        <v>0</v>
      </c>
      <c r="AW608" s="33">
        <f t="shared" si="663"/>
        <v>0</v>
      </c>
      <c r="AX608" s="33">
        <f t="shared" si="664"/>
        <v>0</v>
      </c>
      <c r="AY608" s="34" t="s">
        <v>1738</v>
      </c>
      <c r="AZ608" s="34" t="s">
        <v>1745</v>
      </c>
      <c r="BA608" s="28" t="s">
        <v>1752</v>
      </c>
      <c r="BC608" s="33">
        <f t="shared" si="665"/>
        <v>0</v>
      </c>
      <c r="BD608" s="33">
        <f t="shared" si="666"/>
        <v>0</v>
      </c>
      <c r="BE608" s="33">
        <v>0</v>
      </c>
      <c r="BF608" s="33">
        <f>608</f>
        <v>608</v>
      </c>
      <c r="BH608" s="16">
        <f t="shared" si="667"/>
        <v>0</v>
      </c>
      <c r="BI608" s="16">
        <f t="shared" si="668"/>
        <v>0</v>
      </c>
      <c r="BJ608" s="16">
        <f t="shared" si="669"/>
        <v>0</v>
      </c>
    </row>
    <row r="609" spans="1:62" x14ac:dyDescent="0.2">
      <c r="A609" s="4" t="s">
        <v>529</v>
      </c>
      <c r="B609" s="4" t="s">
        <v>1070</v>
      </c>
      <c r="C609" s="131" t="s">
        <v>1643</v>
      </c>
      <c r="D609" s="132"/>
      <c r="E609" s="132"/>
      <c r="F609" s="4" t="s">
        <v>1668</v>
      </c>
      <c r="G609" s="68">
        <v>80</v>
      </c>
      <c r="H609" s="162">
        <v>0</v>
      </c>
      <c r="I609" s="16">
        <f t="shared" si="648"/>
        <v>0</v>
      </c>
      <c r="J609" s="16">
        <f t="shared" si="649"/>
        <v>0</v>
      </c>
      <c r="K609" s="16">
        <f t="shared" si="650"/>
        <v>0</v>
      </c>
      <c r="L609" s="27"/>
      <c r="Z609" s="33">
        <f t="shared" si="651"/>
        <v>0</v>
      </c>
      <c r="AB609" s="33">
        <f t="shared" si="652"/>
        <v>0</v>
      </c>
      <c r="AC609" s="33">
        <f t="shared" si="653"/>
        <v>0</v>
      </c>
      <c r="AD609" s="33">
        <f t="shared" si="654"/>
        <v>0</v>
      </c>
      <c r="AE609" s="33">
        <f t="shared" si="655"/>
        <v>0</v>
      </c>
      <c r="AF609" s="33">
        <f t="shared" si="656"/>
        <v>0</v>
      </c>
      <c r="AG609" s="33">
        <f t="shared" si="657"/>
        <v>0</v>
      </c>
      <c r="AH609" s="33">
        <f t="shared" si="658"/>
        <v>0</v>
      </c>
      <c r="AI609" s="28"/>
      <c r="AJ609" s="16">
        <f t="shared" si="659"/>
        <v>0</v>
      </c>
      <c r="AK609" s="16">
        <f t="shared" si="660"/>
        <v>0</v>
      </c>
      <c r="AL609" s="16">
        <f t="shared" si="661"/>
        <v>0</v>
      </c>
      <c r="AN609" s="33">
        <v>21</v>
      </c>
      <c r="AO609" s="33">
        <f t="shared" si="646"/>
        <v>0</v>
      </c>
      <c r="AP609" s="33">
        <f t="shared" si="647"/>
        <v>0</v>
      </c>
      <c r="AQ609" s="27" t="s">
        <v>7</v>
      </c>
      <c r="AV609" s="33">
        <f t="shared" si="662"/>
        <v>0</v>
      </c>
      <c r="AW609" s="33">
        <f t="shared" si="663"/>
        <v>0</v>
      </c>
      <c r="AX609" s="33">
        <f t="shared" si="664"/>
        <v>0</v>
      </c>
      <c r="AY609" s="34" t="s">
        <v>1738</v>
      </c>
      <c r="AZ609" s="34" t="s">
        <v>1745</v>
      </c>
      <c r="BA609" s="28" t="s">
        <v>1752</v>
      </c>
      <c r="BC609" s="33">
        <f t="shared" si="665"/>
        <v>0</v>
      </c>
      <c r="BD609" s="33">
        <f t="shared" si="666"/>
        <v>0</v>
      </c>
      <c r="BE609" s="33">
        <v>0</v>
      </c>
      <c r="BF609" s="33">
        <f>609</f>
        <v>609</v>
      </c>
      <c r="BH609" s="16">
        <f t="shared" si="667"/>
        <v>0</v>
      </c>
      <c r="BI609" s="16">
        <f t="shared" si="668"/>
        <v>0</v>
      </c>
      <c r="BJ609" s="16">
        <f t="shared" si="669"/>
        <v>0</v>
      </c>
    </row>
    <row r="610" spans="1:62" x14ac:dyDescent="0.2">
      <c r="A610" s="73" t="s">
        <v>530</v>
      </c>
      <c r="B610" s="73" t="s">
        <v>1071</v>
      </c>
      <c r="C610" s="138" t="s">
        <v>1644</v>
      </c>
      <c r="D610" s="132"/>
      <c r="E610" s="132"/>
      <c r="F610" s="73" t="s">
        <v>1663</v>
      </c>
      <c r="G610" s="74">
        <v>210</v>
      </c>
      <c r="H610" s="166">
        <v>0</v>
      </c>
      <c r="I610" s="75">
        <f t="shared" si="648"/>
        <v>0</v>
      </c>
      <c r="J610" s="75">
        <f t="shared" si="649"/>
        <v>0</v>
      </c>
      <c r="K610" s="75">
        <f t="shared" si="650"/>
        <v>0</v>
      </c>
      <c r="L610" s="80"/>
      <c r="Z610" s="33">
        <f t="shared" si="651"/>
        <v>0</v>
      </c>
      <c r="AB610" s="33">
        <f t="shared" si="652"/>
        <v>0</v>
      </c>
      <c r="AC610" s="33">
        <f t="shared" si="653"/>
        <v>0</v>
      </c>
      <c r="AD610" s="33">
        <f t="shared" si="654"/>
        <v>0</v>
      </c>
      <c r="AE610" s="33">
        <f t="shared" si="655"/>
        <v>0</v>
      </c>
      <c r="AF610" s="33">
        <f t="shared" si="656"/>
        <v>0</v>
      </c>
      <c r="AG610" s="33">
        <f t="shared" si="657"/>
        <v>0</v>
      </c>
      <c r="AH610" s="33">
        <f t="shared" si="658"/>
        <v>0</v>
      </c>
      <c r="AI610" s="28"/>
      <c r="AJ610" s="16">
        <f t="shared" si="659"/>
        <v>0</v>
      </c>
      <c r="AK610" s="16">
        <f t="shared" si="660"/>
        <v>0</v>
      </c>
      <c r="AL610" s="16">
        <f t="shared" si="661"/>
        <v>0</v>
      </c>
      <c r="AN610" s="33">
        <v>21</v>
      </c>
      <c r="AO610" s="33">
        <f t="shared" si="646"/>
        <v>0</v>
      </c>
      <c r="AP610" s="33">
        <f t="shared" si="647"/>
        <v>0</v>
      </c>
      <c r="AQ610" s="27" t="s">
        <v>7</v>
      </c>
      <c r="AV610" s="33">
        <f t="shared" si="662"/>
        <v>0</v>
      </c>
      <c r="AW610" s="33">
        <f t="shared" si="663"/>
        <v>0</v>
      </c>
      <c r="AX610" s="33">
        <f t="shared" si="664"/>
        <v>0</v>
      </c>
      <c r="AY610" s="34" t="s">
        <v>1738</v>
      </c>
      <c r="AZ610" s="34" t="s">
        <v>1745</v>
      </c>
      <c r="BA610" s="28" t="s">
        <v>1752</v>
      </c>
      <c r="BC610" s="33">
        <f t="shared" si="665"/>
        <v>0</v>
      </c>
      <c r="BD610" s="33">
        <f t="shared" si="666"/>
        <v>0</v>
      </c>
      <c r="BE610" s="33">
        <v>0</v>
      </c>
      <c r="BF610" s="33">
        <f>610</f>
        <v>610</v>
      </c>
      <c r="BH610" s="16">
        <f t="shared" si="667"/>
        <v>0</v>
      </c>
      <c r="BI610" s="16">
        <f t="shared" si="668"/>
        <v>0</v>
      </c>
      <c r="BJ610" s="16">
        <f t="shared" si="669"/>
        <v>0</v>
      </c>
    </row>
    <row r="611" spans="1:62" x14ac:dyDescent="0.2">
      <c r="A611" s="4" t="s">
        <v>531</v>
      </c>
      <c r="B611" s="4" t="s">
        <v>1070</v>
      </c>
      <c r="C611" s="131" t="s">
        <v>1645</v>
      </c>
      <c r="D611" s="132"/>
      <c r="E611" s="132"/>
      <c r="F611" s="4" t="s">
        <v>1668</v>
      </c>
      <c r="G611" s="68">
        <v>10</v>
      </c>
      <c r="H611" s="162">
        <v>0</v>
      </c>
      <c r="I611" s="16">
        <f t="shared" si="648"/>
        <v>0</v>
      </c>
      <c r="J611" s="16">
        <f t="shared" si="649"/>
        <v>0</v>
      </c>
      <c r="K611" s="16">
        <f t="shared" si="650"/>
        <v>0</v>
      </c>
      <c r="L611" s="27"/>
      <c r="Z611" s="33">
        <f t="shared" si="651"/>
        <v>0</v>
      </c>
      <c r="AB611" s="33">
        <f t="shared" si="652"/>
        <v>0</v>
      </c>
      <c r="AC611" s="33">
        <f t="shared" si="653"/>
        <v>0</v>
      </c>
      <c r="AD611" s="33">
        <f t="shared" si="654"/>
        <v>0</v>
      </c>
      <c r="AE611" s="33">
        <f t="shared" si="655"/>
        <v>0</v>
      </c>
      <c r="AF611" s="33">
        <f t="shared" si="656"/>
        <v>0</v>
      </c>
      <c r="AG611" s="33">
        <f t="shared" si="657"/>
        <v>0</v>
      </c>
      <c r="AH611" s="33">
        <f t="shared" si="658"/>
        <v>0</v>
      </c>
      <c r="AI611" s="28"/>
      <c r="AJ611" s="16">
        <f t="shared" si="659"/>
        <v>0</v>
      </c>
      <c r="AK611" s="16">
        <f t="shared" si="660"/>
        <v>0</v>
      </c>
      <c r="AL611" s="16">
        <f t="shared" si="661"/>
        <v>0</v>
      </c>
      <c r="AN611" s="33">
        <v>21</v>
      </c>
      <c r="AO611" s="33">
        <f t="shared" si="646"/>
        <v>0</v>
      </c>
      <c r="AP611" s="33">
        <f t="shared" si="647"/>
        <v>0</v>
      </c>
      <c r="AQ611" s="27" t="s">
        <v>7</v>
      </c>
      <c r="AV611" s="33">
        <f t="shared" si="662"/>
        <v>0</v>
      </c>
      <c r="AW611" s="33">
        <f t="shared" si="663"/>
        <v>0</v>
      </c>
      <c r="AX611" s="33">
        <f t="shared" si="664"/>
        <v>0</v>
      </c>
      <c r="AY611" s="34" t="s">
        <v>1738</v>
      </c>
      <c r="AZ611" s="34" t="s">
        <v>1745</v>
      </c>
      <c r="BA611" s="28" t="s">
        <v>1752</v>
      </c>
      <c r="BC611" s="33">
        <f t="shared" si="665"/>
        <v>0</v>
      </c>
      <c r="BD611" s="33">
        <f t="shared" si="666"/>
        <v>0</v>
      </c>
      <c r="BE611" s="33">
        <v>0</v>
      </c>
      <c r="BF611" s="33">
        <f>611</f>
        <v>611</v>
      </c>
      <c r="BH611" s="16">
        <f t="shared" si="667"/>
        <v>0</v>
      </c>
      <c r="BI611" s="16">
        <f t="shared" si="668"/>
        <v>0</v>
      </c>
      <c r="BJ611" s="16">
        <f t="shared" si="669"/>
        <v>0</v>
      </c>
    </row>
    <row r="612" spans="1:62" x14ac:dyDescent="0.2">
      <c r="A612" s="73" t="s">
        <v>532</v>
      </c>
      <c r="B612" s="73" t="s">
        <v>1071</v>
      </c>
      <c r="C612" s="138" t="s">
        <v>1645</v>
      </c>
      <c r="D612" s="132"/>
      <c r="E612" s="132"/>
      <c r="F612" s="73" t="s">
        <v>1665</v>
      </c>
      <c r="G612" s="74">
        <v>1</v>
      </c>
      <c r="H612" s="166">
        <v>0</v>
      </c>
      <c r="I612" s="75">
        <f t="shared" si="648"/>
        <v>0</v>
      </c>
      <c r="J612" s="75">
        <f t="shared" si="649"/>
        <v>0</v>
      </c>
      <c r="K612" s="75">
        <f t="shared" si="650"/>
        <v>0</v>
      </c>
      <c r="L612" s="80"/>
      <c r="Z612" s="33">
        <f t="shared" si="651"/>
        <v>0</v>
      </c>
      <c r="AB612" s="33">
        <f t="shared" si="652"/>
        <v>0</v>
      </c>
      <c r="AC612" s="33">
        <f t="shared" si="653"/>
        <v>0</v>
      </c>
      <c r="AD612" s="33">
        <f t="shared" si="654"/>
        <v>0</v>
      </c>
      <c r="AE612" s="33">
        <f t="shared" si="655"/>
        <v>0</v>
      </c>
      <c r="AF612" s="33">
        <f t="shared" si="656"/>
        <v>0</v>
      </c>
      <c r="AG612" s="33">
        <f t="shared" si="657"/>
        <v>0</v>
      </c>
      <c r="AH612" s="33">
        <f t="shared" si="658"/>
        <v>0</v>
      </c>
      <c r="AI612" s="28"/>
      <c r="AJ612" s="16">
        <f t="shared" si="659"/>
        <v>0</v>
      </c>
      <c r="AK612" s="16">
        <f t="shared" si="660"/>
        <v>0</v>
      </c>
      <c r="AL612" s="16">
        <f t="shared" si="661"/>
        <v>0</v>
      </c>
      <c r="AN612" s="33">
        <v>21</v>
      </c>
      <c r="AO612" s="33">
        <f t="shared" si="646"/>
        <v>0</v>
      </c>
      <c r="AP612" s="33">
        <f t="shared" si="647"/>
        <v>0</v>
      </c>
      <c r="AQ612" s="27" t="s">
        <v>7</v>
      </c>
      <c r="AV612" s="33">
        <f t="shared" si="662"/>
        <v>0</v>
      </c>
      <c r="AW612" s="33">
        <f t="shared" si="663"/>
        <v>0</v>
      </c>
      <c r="AX612" s="33">
        <f t="shared" si="664"/>
        <v>0</v>
      </c>
      <c r="AY612" s="34" t="s">
        <v>1738</v>
      </c>
      <c r="AZ612" s="34" t="s">
        <v>1745</v>
      </c>
      <c r="BA612" s="28" t="s">
        <v>1752</v>
      </c>
      <c r="BC612" s="33">
        <f t="shared" si="665"/>
        <v>0</v>
      </c>
      <c r="BD612" s="33">
        <f t="shared" si="666"/>
        <v>0</v>
      </c>
      <c r="BE612" s="33">
        <v>0</v>
      </c>
      <c r="BF612" s="33">
        <f>612</f>
        <v>612</v>
      </c>
      <c r="BH612" s="16">
        <f t="shared" si="667"/>
        <v>0</v>
      </c>
      <c r="BI612" s="16">
        <f t="shared" si="668"/>
        <v>0</v>
      </c>
      <c r="BJ612" s="16">
        <f t="shared" si="669"/>
        <v>0</v>
      </c>
    </row>
    <row r="613" spans="1:62" x14ac:dyDescent="0.2">
      <c r="A613" s="4" t="s">
        <v>533</v>
      </c>
      <c r="B613" s="4" t="s">
        <v>1072</v>
      </c>
      <c r="C613" s="131" t="s">
        <v>1646</v>
      </c>
      <c r="D613" s="132"/>
      <c r="E613" s="132"/>
      <c r="F613" s="4" t="s">
        <v>1668</v>
      </c>
      <c r="G613" s="68">
        <v>30</v>
      </c>
      <c r="H613" s="162">
        <v>0</v>
      </c>
      <c r="I613" s="16">
        <f t="shared" si="648"/>
        <v>0</v>
      </c>
      <c r="J613" s="16">
        <f t="shared" si="649"/>
        <v>0</v>
      </c>
      <c r="K613" s="16">
        <f t="shared" si="650"/>
        <v>0</v>
      </c>
      <c r="L613" s="27"/>
      <c r="Z613" s="33">
        <f t="shared" si="651"/>
        <v>0</v>
      </c>
      <c r="AB613" s="33">
        <f t="shared" si="652"/>
        <v>0</v>
      </c>
      <c r="AC613" s="33">
        <f t="shared" si="653"/>
        <v>0</v>
      </c>
      <c r="AD613" s="33">
        <f t="shared" si="654"/>
        <v>0</v>
      </c>
      <c r="AE613" s="33">
        <f t="shared" si="655"/>
        <v>0</v>
      </c>
      <c r="AF613" s="33">
        <f t="shared" si="656"/>
        <v>0</v>
      </c>
      <c r="AG613" s="33">
        <f t="shared" si="657"/>
        <v>0</v>
      </c>
      <c r="AH613" s="33">
        <f t="shared" si="658"/>
        <v>0</v>
      </c>
      <c r="AI613" s="28"/>
      <c r="AJ613" s="16">
        <f t="shared" si="659"/>
        <v>0</v>
      </c>
      <c r="AK613" s="16">
        <f t="shared" si="660"/>
        <v>0</v>
      </c>
      <c r="AL613" s="16">
        <f t="shared" si="661"/>
        <v>0</v>
      </c>
      <c r="AN613" s="33">
        <v>21</v>
      </c>
      <c r="AO613" s="33">
        <f t="shared" si="646"/>
        <v>0</v>
      </c>
      <c r="AP613" s="33">
        <f t="shared" si="647"/>
        <v>0</v>
      </c>
      <c r="AQ613" s="27" t="s">
        <v>7</v>
      </c>
      <c r="AV613" s="33">
        <f t="shared" si="662"/>
        <v>0</v>
      </c>
      <c r="AW613" s="33">
        <f t="shared" si="663"/>
        <v>0</v>
      </c>
      <c r="AX613" s="33">
        <f t="shared" si="664"/>
        <v>0</v>
      </c>
      <c r="AY613" s="34" t="s">
        <v>1738</v>
      </c>
      <c r="AZ613" s="34" t="s">
        <v>1745</v>
      </c>
      <c r="BA613" s="28" t="s">
        <v>1752</v>
      </c>
      <c r="BC613" s="33">
        <f t="shared" si="665"/>
        <v>0</v>
      </c>
      <c r="BD613" s="33">
        <f t="shared" si="666"/>
        <v>0</v>
      </c>
      <c r="BE613" s="33">
        <v>0</v>
      </c>
      <c r="BF613" s="33">
        <f>613</f>
        <v>613</v>
      </c>
      <c r="BH613" s="16">
        <f t="shared" si="667"/>
        <v>0</v>
      </c>
      <c r="BI613" s="16">
        <f t="shared" si="668"/>
        <v>0</v>
      </c>
      <c r="BJ613" s="16">
        <f t="shared" si="669"/>
        <v>0</v>
      </c>
    </row>
    <row r="614" spans="1:62" x14ac:dyDescent="0.2">
      <c r="A614" s="4" t="s">
        <v>534</v>
      </c>
      <c r="B614" s="4" t="s">
        <v>1073</v>
      </c>
      <c r="C614" s="131" t="s">
        <v>1647</v>
      </c>
      <c r="D614" s="132"/>
      <c r="E614" s="132"/>
      <c r="F614" s="4" t="s">
        <v>1668</v>
      </c>
      <c r="G614" s="68">
        <v>20</v>
      </c>
      <c r="H614" s="162">
        <v>0</v>
      </c>
      <c r="I614" s="16">
        <f t="shared" si="648"/>
        <v>0</v>
      </c>
      <c r="J614" s="16">
        <f t="shared" si="649"/>
        <v>0</v>
      </c>
      <c r="K614" s="16">
        <f t="shared" si="650"/>
        <v>0</v>
      </c>
      <c r="L614" s="27"/>
      <c r="Z614" s="33">
        <f t="shared" si="651"/>
        <v>0</v>
      </c>
      <c r="AB614" s="33">
        <f t="shared" si="652"/>
        <v>0</v>
      </c>
      <c r="AC614" s="33">
        <f t="shared" si="653"/>
        <v>0</v>
      </c>
      <c r="AD614" s="33">
        <f t="shared" si="654"/>
        <v>0</v>
      </c>
      <c r="AE614" s="33">
        <f t="shared" si="655"/>
        <v>0</v>
      </c>
      <c r="AF614" s="33">
        <f t="shared" si="656"/>
        <v>0</v>
      </c>
      <c r="AG614" s="33">
        <f t="shared" si="657"/>
        <v>0</v>
      </c>
      <c r="AH614" s="33">
        <f t="shared" si="658"/>
        <v>0</v>
      </c>
      <c r="AI614" s="28"/>
      <c r="AJ614" s="16">
        <f t="shared" si="659"/>
        <v>0</v>
      </c>
      <c r="AK614" s="16">
        <f t="shared" si="660"/>
        <v>0</v>
      </c>
      <c r="AL614" s="16">
        <f t="shared" si="661"/>
        <v>0</v>
      </c>
      <c r="AN614" s="33">
        <v>21</v>
      </c>
      <c r="AO614" s="33">
        <f t="shared" si="646"/>
        <v>0</v>
      </c>
      <c r="AP614" s="33">
        <f t="shared" si="647"/>
        <v>0</v>
      </c>
      <c r="AQ614" s="27" t="s">
        <v>7</v>
      </c>
      <c r="AV614" s="33">
        <f t="shared" si="662"/>
        <v>0</v>
      </c>
      <c r="AW614" s="33">
        <f t="shared" si="663"/>
        <v>0</v>
      </c>
      <c r="AX614" s="33">
        <f t="shared" si="664"/>
        <v>0</v>
      </c>
      <c r="AY614" s="34" t="s">
        <v>1738</v>
      </c>
      <c r="AZ614" s="34" t="s">
        <v>1745</v>
      </c>
      <c r="BA614" s="28" t="s">
        <v>1752</v>
      </c>
      <c r="BC614" s="33">
        <f t="shared" si="665"/>
        <v>0</v>
      </c>
      <c r="BD614" s="33">
        <f t="shared" si="666"/>
        <v>0</v>
      </c>
      <c r="BE614" s="33">
        <v>0</v>
      </c>
      <c r="BF614" s="33">
        <f>614</f>
        <v>614</v>
      </c>
      <c r="BH614" s="16">
        <f t="shared" si="667"/>
        <v>0</v>
      </c>
      <c r="BI614" s="16">
        <f t="shared" si="668"/>
        <v>0</v>
      </c>
      <c r="BJ614" s="16">
        <f t="shared" si="669"/>
        <v>0</v>
      </c>
    </row>
    <row r="615" spans="1:62" x14ac:dyDescent="0.2">
      <c r="A615" s="4" t="s">
        <v>535</v>
      </c>
      <c r="B615" s="4" t="s">
        <v>1072</v>
      </c>
      <c r="C615" s="131" t="s">
        <v>1648</v>
      </c>
      <c r="D615" s="132"/>
      <c r="E615" s="132"/>
      <c r="F615" s="4" t="s">
        <v>1674</v>
      </c>
      <c r="G615" s="68">
        <v>1</v>
      </c>
      <c r="H615" s="162">
        <v>0</v>
      </c>
      <c r="I615" s="16">
        <f t="shared" si="648"/>
        <v>0</v>
      </c>
      <c r="J615" s="16">
        <f t="shared" si="649"/>
        <v>0</v>
      </c>
      <c r="K615" s="16">
        <f t="shared" si="650"/>
        <v>0</v>
      </c>
      <c r="L615" s="27"/>
      <c r="Z615" s="33">
        <f t="shared" si="651"/>
        <v>0</v>
      </c>
      <c r="AB615" s="33">
        <f t="shared" si="652"/>
        <v>0</v>
      </c>
      <c r="AC615" s="33">
        <f t="shared" si="653"/>
        <v>0</v>
      </c>
      <c r="AD615" s="33">
        <f t="shared" si="654"/>
        <v>0</v>
      </c>
      <c r="AE615" s="33">
        <f t="shared" si="655"/>
        <v>0</v>
      </c>
      <c r="AF615" s="33">
        <f t="shared" si="656"/>
        <v>0</v>
      </c>
      <c r="AG615" s="33">
        <f t="shared" si="657"/>
        <v>0</v>
      </c>
      <c r="AH615" s="33">
        <f t="shared" si="658"/>
        <v>0</v>
      </c>
      <c r="AI615" s="28"/>
      <c r="AJ615" s="16">
        <f t="shared" si="659"/>
        <v>0</v>
      </c>
      <c r="AK615" s="16">
        <f t="shared" si="660"/>
        <v>0</v>
      </c>
      <c r="AL615" s="16">
        <f t="shared" si="661"/>
        <v>0</v>
      </c>
      <c r="AN615" s="33">
        <v>21</v>
      </c>
      <c r="AO615" s="33">
        <f t="shared" si="646"/>
        <v>0</v>
      </c>
      <c r="AP615" s="33">
        <f t="shared" si="647"/>
        <v>0</v>
      </c>
      <c r="AQ615" s="27" t="s">
        <v>7</v>
      </c>
      <c r="AV615" s="33">
        <f t="shared" si="662"/>
        <v>0</v>
      </c>
      <c r="AW615" s="33">
        <f t="shared" si="663"/>
        <v>0</v>
      </c>
      <c r="AX615" s="33">
        <f t="shared" si="664"/>
        <v>0</v>
      </c>
      <c r="AY615" s="34" t="s">
        <v>1738</v>
      </c>
      <c r="AZ615" s="34" t="s">
        <v>1745</v>
      </c>
      <c r="BA615" s="28" t="s">
        <v>1752</v>
      </c>
      <c r="BC615" s="33">
        <f t="shared" si="665"/>
        <v>0</v>
      </c>
      <c r="BD615" s="33">
        <f t="shared" si="666"/>
        <v>0</v>
      </c>
      <c r="BE615" s="33">
        <v>0</v>
      </c>
      <c r="BF615" s="33">
        <f>615</f>
        <v>615</v>
      </c>
      <c r="BH615" s="16">
        <f t="shared" si="667"/>
        <v>0</v>
      </c>
      <c r="BI615" s="16">
        <f t="shared" si="668"/>
        <v>0</v>
      </c>
      <c r="BJ615" s="16">
        <f t="shared" si="669"/>
        <v>0</v>
      </c>
    </row>
    <row r="616" spans="1:62" x14ac:dyDescent="0.2">
      <c r="A616" s="4" t="s">
        <v>536</v>
      </c>
      <c r="B616" s="4" t="s">
        <v>1074</v>
      </c>
      <c r="C616" s="131" t="s">
        <v>1649</v>
      </c>
      <c r="D616" s="132"/>
      <c r="E616" s="132"/>
      <c r="F616" s="4" t="s">
        <v>1675</v>
      </c>
      <c r="G616" s="68">
        <v>1</v>
      </c>
      <c r="H616" s="162">
        <v>0</v>
      </c>
      <c r="I616" s="16">
        <f t="shared" si="648"/>
        <v>0</v>
      </c>
      <c r="J616" s="16">
        <f t="shared" si="649"/>
        <v>0</v>
      </c>
      <c r="K616" s="16">
        <f t="shared" si="650"/>
        <v>0</v>
      </c>
      <c r="L616" s="27"/>
      <c r="Z616" s="33">
        <f t="shared" si="651"/>
        <v>0</v>
      </c>
      <c r="AB616" s="33">
        <f t="shared" si="652"/>
        <v>0</v>
      </c>
      <c r="AC616" s="33">
        <f t="shared" si="653"/>
        <v>0</v>
      </c>
      <c r="AD616" s="33">
        <f t="shared" si="654"/>
        <v>0</v>
      </c>
      <c r="AE616" s="33">
        <f t="shared" si="655"/>
        <v>0</v>
      </c>
      <c r="AF616" s="33">
        <f t="shared" si="656"/>
        <v>0</v>
      </c>
      <c r="AG616" s="33">
        <f t="shared" si="657"/>
        <v>0</v>
      </c>
      <c r="AH616" s="33">
        <f t="shared" si="658"/>
        <v>0</v>
      </c>
      <c r="AI616" s="28"/>
      <c r="AJ616" s="16">
        <f t="shared" si="659"/>
        <v>0</v>
      </c>
      <c r="AK616" s="16">
        <f t="shared" si="660"/>
        <v>0</v>
      </c>
      <c r="AL616" s="16">
        <f t="shared" si="661"/>
        <v>0</v>
      </c>
      <c r="AN616" s="33">
        <v>21</v>
      </c>
      <c r="AO616" s="33">
        <f t="shared" si="646"/>
        <v>0</v>
      </c>
      <c r="AP616" s="33">
        <f t="shared" si="647"/>
        <v>0</v>
      </c>
      <c r="AQ616" s="27" t="s">
        <v>7</v>
      </c>
      <c r="AV616" s="33">
        <f t="shared" si="662"/>
        <v>0</v>
      </c>
      <c r="AW616" s="33">
        <f t="shared" si="663"/>
        <v>0</v>
      </c>
      <c r="AX616" s="33">
        <f t="shared" si="664"/>
        <v>0</v>
      </c>
      <c r="AY616" s="34" t="s">
        <v>1738</v>
      </c>
      <c r="AZ616" s="34" t="s">
        <v>1745</v>
      </c>
      <c r="BA616" s="28" t="s">
        <v>1752</v>
      </c>
      <c r="BC616" s="33">
        <f t="shared" si="665"/>
        <v>0</v>
      </c>
      <c r="BD616" s="33">
        <f t="shared" si="666"/>
        <v>0</v>
      </c>
      <c r="BE616" s="33">
        <v>0</v>
      </c>
      <c r="BF616" s="33">
        <f>616</f>
        <v>616</v>
      </c>
      <c r="BH616" s="16">
        <f t="shared" si="667"/>
        <v>0</v>
      </c>
      <c r="BI616" s="16">
        <f t="shared" si="668"/>
        <v>0</v>
      </c>
      <c r="BJ616" s="16">
        <f t="shared" si="669"/>
        <v>0</v>
      </c>
    </row>
    <row r="617" spans="1:62" x14ac:dyDescent="0.2">
      <c r="A617" s="5"/>
      <c r="B617" s="13" t="s">
        <v>1075</v>
      </c>
      <c r="C617" s="136" t="s">
        <v>1650</v>
      </c>
      <c r="D617" s="137"/>
      <c r="E617" s="137"/>
      <c r="F617" s="5" t="s">
        <v>6</v>
      </c>
      <c r="G617" s="5" t="s">
        <v>6</v>
      </c>
      <c r="H617" s="163" t="s">
        <v>6</v>
      </c>
      <c r="I617" s="36">
        <f>SUM(I618:I623)</f>
        <v>0</v>
      </c>
      <c r="J617" s="36">
        <f>SUM(J618:J623)</f>
        <v>0</v>
      </c>
      <c r="K617" s="36">
        <f>SUM(K618:K623)</f>
        <v>0</v>
      </c>
      <c r="L617" s="28"/>
      <c r="AI617" s="28"/>
      <c r="AS617" s="36">
        <f>SUM(AJ618:AJ623)</f>
        <v>0</v>
      </c>
      <c r="AT617" s="36">
        <f>SUM(AK618:AK623)</f>
        <v>0</v>
      </c>
      <c r="AU617" s="36">
        <f>SUM(AL618:AL623)</f>
        <v>0</v>
      </c>
    </row>
    <row r="618" spans="1:62" x14ac:dyDescent="0.2">
      <c r="A618" s="4" t="s">
        <v>537</v>
      </c>
      <c r="B618" s="4" t="s">
        <v>1076</v>
      </c>
      <c r="C618" s="131" t="s">
        <v>1651</v>
      </c>
      <c r="D618" s="132"/>
      <c r="E618" s="132"/>
      <c r="F618" s="4" t="s">
        <v>1665</v>
      </c>
      <c r="G618" s="68">
        <v>1</v>
      </c>
      <c r="H618" s="162">
        <v>0</v>
      </c>
      <c r="I618" s="16">
        <f t="shared" ref="I618:I623" si="670">G618*AO618</f>
        <v>0</v>
      </c>
      <c r="J618" s="16">
        <f t="shared" ref="J618:J623" si="671">G618*AP618</f>
        <v>0</v>
      </c>
      <c r="K618" s="16">
        <f t="shared" ref="K618:K623" si="672">G618*H618</f>
        <v>0</v>
      </c>
      <c r="L618" s="27" t="s">
        <v>1692</v>
      </c>
      <c r="Z618" s="33">
        <f t="shared" ref="Z618:Z623" si="673">IF(AQ618="5",BJ618,0)</f>
        <v>0</v>
      </c>
      <c r="AB618" s="33">
        <f t="shared" ref="AB618:AB623" si="674">IF(AQ618="1",BH618,0)</f>
        <v>0</v>
      </c>
      <c r="AC618" s="33">
        <f t="shared" ref="AC618:AC623" si="675">IF(AQ618="1",BI618,0)</f>
        <v>0</v>
      </c>
      <c r="AD618" s="33">
        <f t="shared" ref="AD618:AD623" si="676">IF(AQ618="7",BH618,0)</f>
        <v>0</v>
      </c>
      <c r="AE618" s="33">
        <f t="shared" ref="AE618:AE623" si="677">IF(AQ618="7",BI618,0)</f>
        <v>0</v>
      </c>
      <c r="AF618" s="33">
        <f t="shared" ref="AF618:AF623" si="678">IF(AQ618="2",BH618,0)</f>
        <v>0</v>
      </c>
      <c r="AG618" s="33">
        <f t="shared" ref="AG618:AG623" si="679">IF(AQ618="2",BI618,0)</f>
        <v>0</v>
      </c>
      <c r="AH618" s="33">
        <f t="shared" ref="AH618:AH623" si="680">IF(AQ618="0",BJ618,0)</f>
        <v>0</v>
      </c>
      <c r="AI618" s="28"/>
      <c r="AJ618" s="16">
        <f t="shared" ref="AJ618:AJ623" si="681">IF(AN618=0,K618,0)</f>
        <v>0</v>
      </c>
      <c r="AK618" s="16">
        <f t="shared" ref="AK618:AK623" si="682">IF(AN618=15,K618,0)</f>
        <v>0</v>
      </c>
      <c r="AL618" s="16">
        <f t="shared" ref="AL618:AL623" si="683">IF(AN618=21,K618,0)</f>
        <v>0</v>
      </c>
      <c r="AN618" s="33">
        <v>21</v>
      </c>
      <c r="AO618" s="33">
        <f t="shared" ref="AO618:AO623" si="684">H618*0</f>
        <v>0</v>
      </c>
      <c r="AP618" s="33">
        <f t="shared" ref="AP618:AP623" si="685">H618*(1-0)</f>
        <v>0</v>
      </c>
      <c r="AQ618" s="27" t="s">
        <v>7</v>
      </c>
      <c r="AV618" s="33">
        <f t="shared" ref="AV618:AV623" si="686">AW618+AX618</f>
        <v>0</v>
      </c>
      <c r="AW618" s="33">
        <f t="shared" ref="AW618:AW623" si="687">G618*AO618</f>
        <v>0</v>
      </c>
      <c r="AX618" s="33">
        <f t="shared" ref="AX618:AX623" si="688">G618*AP618</f>
        <v>0</v>
      </c>
      <c r="AY618" s="34" t="s">
        <v>1739</v>
      </c>
      <c r="AZ618" s="34" t="s">
        <v>1739</v>
      </c>
      <c r="BA618" s="28" t="s">
        <v>1752</v>
      </c>
      <c r="BC618" s="33">
        <f t="shared" ref="BC618:BC623" si="689">AW618+AX618</f>
        <v>0</v>
      </c>
      <c r="BD618" s="33">
        <f t="shared" ref="BD618:BD623" si="690">H618/(100-BE618)*100</f>
        <v>0</v>
      </c>
      <c r="BE618" s="33">
        <v>0</v>
      </c>
      <c r="BF618" s="33">
        <f>618</f>
        <v>618</v>
      </c>
      <c r="BH618" s="16">
        <f t="shared" ref="BH618:BH623" si="691">G618*AO618</f>
        <v>0</v>
      </c>
      <c r="BI618" s="16">
        <f t="shared" ref="BI618:BI623" si="692">G618*AP618</f>
        <v>0</v>
      </c>
      <c r="BJ618" s="16">
        <f t="shared" ref="BJ618:BJ623" si="693">G618*H618</f>
        <v>0</v>
      </c>
    </row>
    <row r="619" spans="1:62" x14ac:dyDescent="0.2">
      <c r="A619" s="4" t="s">
        <v>538</v>
      </c>
      <c r="B619" s="4" t="s">
        <v>1077</v>
      </c>
      <c r="C619" s="131" t="s">
        <v>1652</v>
      </c>
      <c r="D619" s="132"/>
      <c r="E619" s="132"/>
      <c r="F619" s="4" t="s">
        <v>1665</v>
      </c>
      <c r="G619" s="68">
        <v>1</v>
      </c>
      <c r="H619" s="162">
        <v>0</v>
      </c>
      <c r="I619" s="16">
        <f t="shared" si="670"/>
        <v>0</v>
      </c>
      <c r="J619" s="16">
        <f t="shared" si="671"/>
        <v>0</v>
      </c>
      <c r="K619" s="16">
        <f t="shared" si="672"/>
        <v>0</v>
      </c>
      <c r="L619" s="27" t="s">
        <v>1692</v>
      </c>
      <c r="Z619" s="33">
        <f t="shared" si="673"/>
        <v>0</v>
      </c>
      <c r="AB619" s="33">
        <f t="shared" si="674"/>
        <v>0</v>
      </c>
      <c r="AC619" s="33">
        <f t="shared" si="675"/>
        <v>0</v>
      </c>
      <c r="AD619" s="33">
        <f t="shared" si="676"/>
        <v>0</v>
      </c>
      <c r="AE619" s="33">
        <f t="shared" si="677"/>
        <v>0</v>
      </c>
      <c r="AF619" s="33">
        <f t="shared" si="678"/>
        <v>0</v>
      </c>
      <c r="AG619" s="33">
        <f t="shared" si="679"/>
        <v>0</v>
      </c>
      <c r="AH619" s="33">
        <f t="shared" si="680"/>
        <v>0</v>
      </c>
      <c r="AI619" s="28"/>
      <c r="AJ619" s="16">
        <f t="shared" si="681"/>
        <v>0</v>
      </c>
      <c r="AK619" s="16">
        <f t="shared" si="682"/>
        <v>0</v>
      </c>
      <c r="AL619" s="16">
        <f t="shared" si="683"/>
        <v>0</v>
      </c>
      <c r="AN619" s="33">
        <v>21</v>
      </c>
      <c r="AO619" s="33">
        <f t="shared" si="684"/>
        <v>0</v>
      </c>
      <c r="AP619" s="33">
        <f t="shared" si="685"/>
        <v>0</v>
      </c>
      <c r="AQ619" s="27" t="s">
        <v>7</v>
      </c>
      <c r="AV619" s="33">
        <f t="shared" si="686"/>
        <v>0</v>
      </c>
      <c r="AW619" s="33">
        <f t="shared" si="687"/>
        <v>0</v>
      </c>
      <c r="AX619" s="33">
        <f t="shared" si="688"/>
        <v>0</v>
      </c>
      <c r="AY619" s="34" t="s">
        <v>1739</v>
      </c>
      <c r="AZ619" s="34" t="s">
        <v>1739</v>
      </c>
      <c r="BA619" s="28" t="s">
        <v>1752</v>
      </c>
      <c r="BC619" s="33">
        <f t="shared" si="689"/>
        <v>0</v>
      </c>
      <c r="BD619" s="33">
        <f t="shared" si="690"/>
        <v>0</v>
      </c>
      <c r="BE619" s="33">
        <v>0</v>
      </c>
      <c r="BF619" s="33">
        <f>619</f>
        <v>619</v>
      </c>
      <c r="BH619" s="16">
        <f t="shared" si="691"/>
        <v>0</v>
      </c>
      <c r="BI619" s="16">
        <f t="shared" si="692"/>
        <v>0</v>
      </c>
      <c r="BJ619" s="16">
        <f t="shared" si="693"/>
        <v>0</v>
      </c>
    </row>
    <row r="620" spans="1:62" x14ac:dyDescent="0.2">
      <c r="A620" s="4" t="s">
        <v>539</v>
      </c>
      <c r="B620" s="4" t="s">
        <v>1078</v>
      </c>
      <c r="C620" s="131" t="s">
        <v>1653</v>
      </c>
      <c r="D620" s="132"/>
      <c r="E620" s="132"/>
      <c r="F620" s="4" t="s">
        <v>1665</v>
      </c>
      <c r="G620" s="68">
        <v>1</v>
      </c>
      <c r="H620" s="162">
        <v>0</v>
      </c>
      <c r="I620" s="16">
        <f t="shared" si="670"/>
        <v>0</v>
      </c>
      <c r="J620" s="16">
        <f t="shared" si="671"/>
        <v>0</v>
      </c>
      <c r="K620" s="16">
        <f t="shared" si="672"/>
        <v>0</v>
      </c>
      <c r="L620" s="27" t="s">
        <v>1692</v>
      </c>
      <c r="Z620" s="33">
        <f t="shared" si="673"/>
        <v>0</v>
      </c>
      <c r="AB620" s="33">
        <f t="shared" si="674"/>
        <v>0</v>
      </c>
      <c r="AC620" s="33">
        <f t="shared" si="675"/>
        <v>0</v>
      </c>
      <c r="AD620" s="33">
        <f t="shared" si="676"/>
        <v>0</v>
      </c>
      <c r="AE620" s="33">
        <f t="shared" si="677"/>
        <v>0</v>
      </c>
      <c r="AF620" s="33">
        <f t="shared" si="678"/>
        <v>0</v>
      </c>
      <c r="AG620" s="33">
        <f t="shared" si="679"/>
        <v>0</v>
      </c>
      <c r="AH620" s="33">
        <f t="shared" si="680"/>
        <v>0</v>
      </c>
      <c r="AI620" s="28"/>
      <c r="AJ620" s="16">
        <f t="shared" si="681"/>
        <v>0</v>
      </c>
      <c r="AK620" s="16">
        <f t="shared" si="682"/>
        <v>0</v>
      </c>
      <c r="AL620" s="16">
        <f t="shared" si="683"/>
        <v>0</v>
      </c>
      <c r="AN620" s="33">
        <v>21</v>
      </c>
      <c r="AO620" s="33">
        <f t="shared" si="684"/>
        <v>0</v>
      </c>
      <c r="AP620" s="33">
        <f t="shared" si="685"/>
        <v>0</v>
      </c>
      <c r="AQ620" s="27" t="s">
        <v>7</v>
      </c>
      <c r="AV620" s="33">
        <f t="shared" si="686"/>
        <v>0</v>
      </c>
      <c r="AW620" s="33">
        <f t="shared" si="687"/>
        <v>0</v>
      </c>
      <c r="AX620" s="33">
        <f t="shared" si="688"/>
        <v>0</v>
      </c>
      <c r="AY620" s="34" t="s">
        <v>1739</v>
      </c>
      <c r="AZ620" s="34" t="s">
        <v>1739</v>
      </c>
      <c r="BA620" s="28" t="s">
        <v>1752</v>
      </c>
      <c r="BC620" s="33">
        <f t="shared" si="689"/>
        <v>0</v>
      </c>
      <c r="BD620" s="33">
        <f t="shared" si="690"/>
        <v>0</v>
      </c>
      <c r="BE620" s="33">
        <v>0</v>
      </c>
      <c r="BF620" s="33">
        <f>620</f>
        <v>620</v>
      </c>
      <c r="BH620" s="16">
        <f t="shared" si="691"/>
        <v>0</v>
      </c>
      <c r="BI620" s="16">
        <f t="shared" si="692"/>
        <v>0</v>
      </c>
      <c r="BJ620" s="16">
        <f t="shared" si="693"/>
        <v>0</v>
      </c>
    </row>
    <row r="621" spans="1:62" x14ac:dyDescent="0.2">
      <c r="A621" s="4" t="s">
        <v>540</v>
      </c>
      <c r="B621" s="4" t="s">
        <v>1079</v>
      </c>
      <c r="C621" s="131" t="s">
        <v>1654</v>
      </c>
      <c r="D621" s="132"/>
      <c r="E621" s="132"/>
      <c r="F621" s="4" t="s">
        <v>1665</v>
      </c>
      <c r="G621" s="68">
        <v>1</v>
      </c>
      <c r="H621" s="162">
        <v>0</v>
      </c>
      <c r="I621" s="16">
        <f t="shared" si="670"/>
        <v>0</v>
      </c>
      <c r="J621" s="16">
        <f t="shared" si="671"/>
        <v>0</v>
      </c>
      <c r="K621" s="16">
        <f t="shared" si="672"/>
        <v>0</v>
      </c>
      <c r="L621" s="27" t="s">
        <v>1692</v>
      </c>
      <c r="Z621" s="33">
        <f t="shared" si="673"/>
        <v>0</v>
      </c>
      <c r="AB621" s="33">
        <f t="shared" si="674"/>
        <v>0</v>
      </c>
      <c r="AC621" s="33">
        <f t="shared" si="675"/>
        <v>0</v>
      </c>
      <c r="AD621" s="33">
        <f t="shared" si="676"/>
        <v>0</v>
      </c>
      <c r="AE621" s="33">
        <f t="shared" si="677"/>
        <v>0</v>
      </c>
      <c r="AF621" s="33">
        <f t="shared" si="678"/>
        <v>0</v>
      </c>
      <c r="AG621" s="33">
        <f t="shared" si="679"/>
        <v>0</v>
      </c>
      <c r="AH621" s="33">
        <f t="shared" si="680"/>
        <v>0</v>
      </c>
      <c r="AI621" s="28"/>
      <c r="AJ621" s="16">
        <f t="shared" si="681"/>
        <v>0</v>
      </c>
      <c r="AK621" s="16">
        <f t="shared" si="682"/>
        <v>0</v>
      </c>
      <c r="AL621" s="16">
        <f t="shared" si="683"/>
        <v>0</v>
      </c>
      <c r="AN621" s="33">
        <v>21</v>
      </c>
      <c r="AO621" s="33">
        <f t="shared" si="684"/>
        <v>0</v>
      </c>
      <c r="AP621" s="33">
        <f t="shared" si="685"/>
        <v>0</v>
      </c>
      <c r="AQ621" s="27" t="s">
        <v>7</v>
      </c>
      <c r="AV621" s="33">
        <f t="shared" si="686"/>
        <v>0</v>
      </c>
      <c r="AW621" s="33">
        <f t="shared" si="687"/>
        <v>0</v>
      </c>
      <c r="AX621" s="33">
        <f t="shared" si="688"/>
        <v>0</v>
      </c>
      <c r="AY621" s="34" t="s">
        <v>1739</v>
      </c>
      <c r="AZ621" s="34" t="s">
        <v>1739</v>
      </c>
      <c r="BA621" s="28" t="s">
        <v>1752</v>
      </c>
      <c r="BC621" s="33">
        <f t="shared" si="689"/>
        <v>0</v>
      </c>
      <c r="BD621" s="33">
        <f t="shared" si="690"/>
        <v>0</v>
      </c>
      <c r="BE621" s="33">
        <v>0</v>
      </c>
      <c r="BF621" s="33">
        <f>621</f>
        <v>621</v>
      </c>
      <c r="BH621" s="16">
        <f t="shared" si="691"/>
        <v>0</v>
      </c>
      <c r="BI621" s="16">
        <f t="shared" si="692"/>
        <v>0</v>
      </c>
      <c r="BJ621" s="16">
        <f t="shared" si="693"/>
        <v>0</v>
      </c>
    </row>
    <row r="622" spans="1:62" x14ac:dyDescent="0.2">
      <c r="A622" s="4" t="s">
        <v>541</v>
      </c>
      <c r="B622" s="4" t="s">
        <v>1080</v>
      </c>
      <c r="C622" s="131" t="s">
        <v>1655</v>
      </c>
      <c r="D622" s="132"/>
      <c r="E622" s="132"/>
      <c r="F622" s="4" t="s">
        <v>1665</v>
      </c>
      <c r="G622" s="68">
        <v>1</v>
      </c>
      <c r="H622" s="162">
        <v>0</v>
      </c>
      <c r="I622" s="16">
        <f t="shared" si="670"/>
        <v>0</v>
      </c>
      <c r="J622" s="16">
        <f t="shared" si="671"/>
        <v>0</v>
      </c>
      <c r="K622" s="16">
        <f t="shared" si="672"/>
        <v>0</v>
      </c>
      <c r="L622" s="27" t="s">
        <v>1692</v>
      </c>
      <c r="Z622" s="33">
        <f t="shared" si="673"/>
        <v>0</v>
      </c>
      <c r="AB622" s="33">
        <f t="shared" si="674"/>
        <v>0</v>
      </c>
      <c r="AC622" s="33">
        <f t="shared" si="675"/>
        <v>0</v>
      </c>
      <c r="AD622" s="33">
        <f t="shared" si="676"/>
        <v>0</v>
      </c>
      <c r="AE622" s="33">
        <f t="shared" si="677"/>
        <v>0</v>
      </c>
      <c r="AF622" s="33">
        <f t="shared" si="678"/>
        <v>0</v>
      </c>
      <c r="AG622" s="33">
        <f t="shared" si="679"/>
        <v>0</v>
      </c>
      <c r="AH622" s="33">
        <f t="shared" si="680"/>
        <v>0</v>
      </c>
      <c r="AI622" s="28"/>
      <c r="AJ622" s="16">
        <f t="shared" si="681"/>
        <v>0</v>
      </c>
      <c r="AK622" s="16">
        <f t="shared" si="682"/>
        <v>0</v>
      </c>
      <c r="AL622" s="16">
        <f t="shared" si="683"/>
        <v>0</v>
      </c>
      <c r="AN622" s="33">
        <v>21</v>
      </c>
      <c r="AO622" s="33">
        <f t="shared" si="684"/>
        <v>0</v>
      </c>
      <c r="AP622" s="33">
        <f t="shared" si="685"/>
        <v>0</v>
      </c>
      <c r="AQ622" s="27" t="s">
        <v>7</v>
      </c>
      <c r="AV622" s="33">
        <f t="shared" si="686"/>
        <v>0</v>
      </c>
      <c r="AW622" s="33">
        <f t="shared" si="687"/>
        <v>0</v>
      </c>
      <c r="AX622" s="33">
        <f t="shared" si="688"/>
        <v>0</v>
      </c>
      <c r="AY622" s="34" t="s">
        <v>1739</v>
      </c>
      <c r="AZ622" s="34" t="s">
        <v>1739</v>
      </c>
      <c r="BA622" s="28" t="s">
        <v>1752</v>
      </c>
      <c r="BC622" s="33">
        <f t="shared" si="689"/>
        <v>0</v>
      </c>
      <c r="BD622" s="33">
        <f t="shared" si="690"/>
        <v>0</v>
      </c>
      <c r="BE622" s="33">
        <v>0</v>
      </c>
      <c r="BF622" s="33">
        <f>622</f>
        <v>622</v>
      </c>
      <c r="BH622" s="16">
        <f t="shared" si="691"/>
        <v>0</v>
      </c>
      <c r="BI622" s="16">
        <f t="shared" si="692"/>
        <v>0</v>
      </c>
      <c r="BJ622" s="16">
        <f t="shared" si="693"/>
        <v>0</v>
      </c>
    </row>
    <row r="623" spans="1:62" x14ac:dyDescent="0.2">
      <c r="A623" s="7" t="s">
        <v>542</v>
      </c>
      <c r="B623" s="7" t="s">
        <v>1081</v>
      </c>
      <c r="C623" s="133" t="s">
        <v>1656</v>
      </c>
      <c r="D623" s="134"/>
      <c r="E623" s="134"/>
      <c r="F623" s="7" t="s">
        <v>1665</v>
      </c>
      <c r="G623" s="79">
        <v>1</v>
      </c>
      <c r="H623" s="168">
        <v>0</v>
      </c>
      <c r="I623" s="18">
        <f t="shared" si="670"/>
        <v>0</v>
      </c>
      <c r="J623" s="18">
        <f t="shared" si="671"/>
        <v>0</v>
      </c>
      <c r="K623" s="18">
        <f t="shared" si="672"/>
        <v>0</v>
      </c>
      <c r="L623" s="30" t="s">
        <v>1692</v>
      </c>
      <c r="Z623" s="33">
        <f t="shared" si="673"/>
        <v>0</v>
      </c>
      <c r="AB623" s="33">
        <f t="shared" si="674"/>
        <v>0</v>
      </c>
      <c r="AC623" s="33">
        <f t="shared" si="675"/>
        <v>0</v>
      </c>
      <c r="AD623" s="33">
        <f t="shared" si="676"/>
        <v>0</v>
      </c>
      <c r="AE623" s="33">
        <f t="shared" si="677"/>
        <v>0</v>
      </c>
      <c r="AF623" s="33">
        <f t="shared" si="678"/>
        <v>0</v>
      </c>
      <c r="AG623" s="33">
        <f t="shared" si="679"/>
        <v>0</v>
      </c>
      <c r="AH623" s="33">
        <f t="shared" si="680"/>
        <v>0</v>
      </c>
      <c r="AI623" s="28"/>
      <c r="AJ623" s="16">
        <f t="shared" si="681"/>
        <v>0</v>
      </c>
      <c r="AK623" s="16">
        <f t="shared" si="682"/>
        <v>0</v>
      </c>
      <c r="AL623" s="16">
        <f t="shared" si="683"/>
        <v>0</v>
      </c>
      <c r="AN623" s="33">
        <v>21</v>
      </c>
      <c r="AO623" s="33">
        <f t="shared" si="684"/>
        <v>0</v>
      </c>
      <c r="AP623" s="33">
        <f t="shared" si="685"/>
        <v>0</v>
      </c>
      <c r="AQ623" s="27" t="s">
        <v>7</v>
      </c>
      <c r="AV623" s="33">
        <f t="shared" si="686"/>
        <v>0</v>
      </c>
      <c r="AW623" s="33">
        <f t="shared" si="687"/>
        <v>0</v>
      </c>
      <c r="AX623" s="33">
        <f t="shared" si="688"/>
        <v>0</v>
      </c>
      <c r="AY623" s="34" t="s">
        <v>1739</v>
      </c>
      <c r="AZ623" s="34" t="s">
        <v>1739</v>
      </c>
      <c r="BA623" s="28" t="s">
        <v>1752</v>
      </c>
      <c r="BC623" s="33">
        <f t="shared" si="689"/>
        <v>0</v>
      </c>
      <c r="BD623" s="33">
        <f t="shared" si="690"/>
        <v>0</v>
      </c>
      <c r="BE623" s="33">
        <v>0</v>
      </c>
      <c r="BF623" s="33">
        <f>623</f>
        <v>623</v>
      </c>
      <c r="BH623" s="16">
        <f t="shared" si="691"/>
        <v>0</v>
      </c>
      <c r="BI623" s="16">
        <f t="shared" si="692"/>
        <v>0</v>
      </c>
      <c r="BJ623" s="16">
        <f t="shared" si="693"/>
        <v>0</v>
      </c>
    </row>
    <row r="624" spans="1:62" x14ac:dyDescent="0.2">
      <c r="A624" s="8"/>
      <c r="B624" s="8"/>
      <c r="C624" s="8"/>
      <c r="D624" s="8"/>
      <c r="E624" s="8"/>
      <c r="F624" s="8"/>
      <c r="G624" s="8"/>
      <c r="H624" s="8"/>
      <c r="I624" s="135" t="s">
        <v>1687</v>
      </c>
      <c r="J624" s="118"/>
      <c r="K624" s="37">
        <f>K12+K15+K19+K23+K26+K31+K38+K42+K49+K51+K56+K60+K88+K91+K93+K102+K115+K139+K149+K151+K172+K174+K184+K207+K234+K270+K317+K353+K366+K386+K414+K449+K459+K470+K480+K482+K487+K617</f>
        <v>0</v>
      </c>
      <c r="L624" s="8"/>
    </row>
    <row r="625" spans="1:12" ht="11.25" customHeight="1" x14ac:dyDescent="0.2">
      <c r="A625" s="9" t="s">
        <v>543</v>
      </c>
    </row>
    <row r="626" spans="1:12" x14ac:dyDescent="0.2">
      <c r="A626" s="83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</row>
  </sheetData>
  <sheetProtection password="DC71" sheet="1" objects="1" scenarios="1" selectLockedCells="1"/>
  <mergeCells count="642"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29:E429"/>
    <mergeCell ref="C430:E430"/>
    <mergeCell ref="C431:E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41:E441"/>
    <mergeCell ref="C442:E442"/>
    <mergeCell ref="C443:E443"/>
    <mergeCell ref="C444:E444"/>
    <mergeCell ref="C445:E445"/>
    <mergeCell ref="C446:E446"/>
    <mergeCell ref="C435:E435"/>
    <mergeCell ref="C436:E436"/>
    <mergeCell ref="C437:E437"/>
    <mergeCell ref="C438:E438"/>
    <mergeCell ref="C439:E439"/>
    <mergeCell ref="C440:E440"/>
    <mergeCell ref="C453:E453"/>
    <mergeCell ref="C454:E454"/>
    <mergeCell ref="C455:E455"/>
    <mergeCell ref="C456:E456"/>
    <mergeCell ref="C457:E457"/>
    <mergeCell ref="C458:E458"/>
    <mergeCell ref="C447:E447"/>
    <mergeCell ref="C448:E448"/>
    <mergeCell ref="C449:E449"/>
    <mergeCell ref="C450:E450"/>
    <mergeCell ref="C451:E451"/>
    <mergeCell ref="C452:E452"/>
    <mergeCell ref="C465:E465"/>
    <mergeCell ref="C466:E466"/>
    <mergeCell ref="C467:E467"/>
    <mergeCell ref="C468:E468"/>
    <mergeCell ref="C469:E469"/>
    <mergeCell ref="C470:E470"/>
    <mergeCell ref="C459:E459"/>
    <mergeCell ref="C460:E460"/>
    <mergeCell ref="C461:E461"/>
    <mergeCell ref="C462:E462"/>
    <mergeCell ref="C463:E463"/>
    <mergeCell ref="C464:E464"/>
    <mergeCell ref="C477:E477"/>
    <mergeCell ref="C478:E478"/>
    <mergeCell ref="C479:E479"/>
    <mergeCell ref="C480:E480"/>
    <mergeCell ref="C481:E481"/>
    <mergeCell ref="C482:E482"/>
    <mergeCell ref="C471:E471"/>
    <mergeCell ref="C472:E472"/>
    <mergeCell ref="C473:E473"/>
    <mergeCell ref="C474:E474"/>
    <mergeCell ref="C475:E475"/>
    <mergeCell ref="C476:E476"/>
    <mergeCell ref="C489:E489"/>
    <mergeCell ref="C490:E490"/>
    <mergeCell ref="C491:E491"/>
    <mergeCell ref="C492:E492"/>
    <mergeCell ref="C493:E493"/>
    <mergeCell ref="C494:E494"/>
    <mergeCell ref="C483:E483"/>
    <mergeCell ref="C484:E484"/>
    <mergeCell ref="C485:E485"/>
    <mergeCell ref="C486:E486"/>
    <mergeCell ref="C487:E487"/>
    <mergeCell ref="C488:E488"/>
    <mergeCell ref="C501:E501"/>
    <mergeCell ref="C502:E502"/>
    <mergeCell ref="C503:E503"/>
    <mergeCell ref="C504:E504"/>
    <mergeCell ref="C505:E505"/>
    <mergeCell ref="C506:E506"/>
    <mergeCell ref="C495:E495"/>
    <mergeCell ref="C496:E496"/>
    <mergeCell ref="C497:E497"/>
    <mergeCell ref="C498:E498"/>
    <mergeCell ref="C499:E499"/>
    <mergeCell ref="C500:E500"/>
    <mergeCell ref="C513:E513"/>
    <mergeCell ref="C514:E514"/>
    <mergeCell ref="C515:E515"/>
    <mergeCell ref="C516:E516"/>
    <mergeCell ref="C517:E517"/>
    <mergeCell ref="C518:E518"/>
    <mergeCell ref="C507:E507"/>
    <mergeCell ref="C508:E508"/>
    <mergeCell ref="C509:E509"/>
    <mergeCell ref="C510:E510"/>
    <mergeCell ref="C511:E511"/>
    <mergeCell ref="C512:E512"/>
    <mergeCell ref="C525:E525"/>
    <mergeCell ref="C526:E526"/>
    <mergeCell ref="C527:E527"/>
    <mergeCell ref="C528:E528"/>
    <mergeCell ref="C529:E529"/>
    <mergeCell ref="C530:E530"/>
    <mergeCell ref="C519:E519"/>
    <mergeCell ref="C520:E520"/>
    <mergeCell ref="C521:E521"/>
    <mergeCell ref="C522:E522"/>
    <mergeCell ref="C523:E523"/>
    <mergeCell ref="C524:E524"/>
    <mergeCell ref="C537:E537"/>
    <mergeCell ref="C538:E538"/>
    <mergeCell ref="C539:E539"/>
    <mergeCell ref="C540:E540"/>
    <mergeCell ref="C541:E541"/>
    <mergeCell ref="C542:E542"/>
    <mergeCell ref="C531:E531"/>
    <mergeCell ref="C532:E532"/>
    <mergeCell ref="C533:E533"/>
    <mergeCell ref="C534:E534"/>
    <mergeCell ref="C535:E535"/>
    <mergeCell ref="C536:E536"/>
    <mergeCell ref="C549:E549"/>
    <mergeCell ref="C550:E550"/>
    <mergeCell ref="C551:E551"/>
    <mergeCell ref="C552:E552"/>
    <mergeCell ref="C553:E553"/>
    <mergeCell ref="C554:E554"/>
    <mergeCell ref="C543:E543"/>
    <mergeCell ref="C544:E544"/>
    <mergeCell ref="C545:E545"/>
    <mergeCell ref="C546:E546"/>
    <mergeCell ref="C547:E547"/>
    <mergeCell ref="C548:E548"/>
    <mergeCell ref="C561:E561"/>
    <mergeCell ref="C562:E562"/>
    <mergeCell ref="C563:E563"/>
    <mergeCell ref="C564:E564"/>
    <mergeCell ref="C565:E565"/>
    <mergeCell ref="C566:E566"/>
    <mergeCell ref="C555:E555"/>
    <mergeCell ref="C556:E556"/>
    <mergeCell ref="C557:E557"/>
    <mergeCell ref="C558:E558"/>
    <mergeCell ref="C559:E559"/>
    <mergeCell ref="C560:E560"/>
    <mergeCell ref="C573:E573"/>
    <mergeCell ref="C574:E574"/>
    <mergeCell ref="C575:E575"/>
    <mergeCell ref="C576:E576"/>
    <mergeCell ref="C577:E577"/>
    <mergeCell ref="C578:E578"/>
    <mergeCell ref="C567:E567"/>
    <mergeCell ref="C568:E568"/>
    <mergeCell ref="C569:E569"/>
    <mergeCell ref="C570:E570"/>
    <mergeCell ref="C571:E571"/>
    <mergeCell ref="C572:E572"/>
    <mergeCell ref="C585:E585"/>
    <mergeCell ref="C586:E586"/>
    <mergeCell ref="C587:E587"/>
    <mergeCell ref="C588:E588"/>
    <mergeCell ref="C589:E589"/>
    <mergeCell ref="C590:E590"/>
    <mergeCell ref="C579:E579"/>
    <mergeCell ref="C580:E580"/>
    <mergeCell ref="C581:E581"/>
    <mergeCell ref="C582:E582"/>
    <mergeCell ref="C583:E583"/>
    <mergeCell ref="C584:E584"/>
    <mergeCell ref="C597:E597"/>
    <mergeCell ref="C598:E598"/>
    <mergeCell ref="C599:E599"/>
    <mergeCell ref="C600:E600"/>
    <mergeCell ref="C601:E601"/>
    <mergeCell ref="C602:E602"/>
    <mergeCell ref="C591:E591"/>
    <mergeCell ref="C592:E592"/>
    <mergeCell ref="C593:E593"/>
    <mergeCell ref="C594:E594"/>
    <mergeCell ref="C595:E595"/>
    <mergeCell ref="C596:E596"/>
    <mergeCell ref="C609:E609"/>
    <mergeCell ref="C610:E610"/>
    <mergeCell ref="C611:E611"/>
    <mergeCell ref="C612:E612"/>
    <mergeCell ref="C613:E613"/>
    <mergeCell ref="C614:E614"/>
    <mergeCell ref="C603:E603"/>
    <mergeCell ref="C604:E604"/>
    <mergeCell ref="C605:E605"/>
    <mergeCell ref="C606:E606"/>
    <mergeCell ref="C607:E607"/>
    <mergeCell ref="C608:E608"/>
    <mergeCell ref="C621:E621"/>
    <mergeCell ref="C622:E622"/>
    <mergeCell ref="C623:E623"/>
    <mergeCell ref="I624:J624"/>
    <mergeCell ref="A626:L626"/>
    <mergeCell ref="C615:E615"/>
    <mergeCell ref="C616:E616"/>
    <mergeCell ref="C617:E617"/>
    <mergeCell ref="C618:E618"/>
    <mergeCell ref="C619:E619"/>
    <mergeCell ref="C620:E620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3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31" customWidth="1"/>
    <col min="5" max="5" width="14.5703125" customWidth="1"/>
    <col min="6" max="6" width="7.28515625" customWidth="1"/>
    <col min="7" max="7" width="15.7109375" customWidth="1"/>
    <col min="8" max="8" width="18.140625" hidden="1" customWidth="1"/>
  </cols>
  <sheetData>
    <row r="1" spans="1:9" ht="72.95" customHeight="1" x14ac:dyDescent="0.35">
      <c r="A1" s="129" t="s">
        <v>1763</v>
      </c>
      <c r="B1" s="114"/>
      <c r="C1" s="114"/>
      <c r="D1" s="114"/>
      <c r="E1" s="114"/>
      <c r="F1" s="114"/>
      <c r="G1" s="114"/>
      <c r="H1" s="114"/>
    </row>
    <row r="2" spans="1:9" x14ac:dyDescent="0.2">
      <c r="A2" s="115" t="s">
        <v>1</v>
      </c>
      <c r="B2" s="116"/>
      <c r="C2" s="117" t="str">
        <f>'Stavební rozpočet'!C2</f>
        <v>SOUp Jílové - snížení energetické náročnosti budovy odborného výcviku a ředitelství - PD</v>
      </c>
      <c r="D2" s="118"/>
      <c r="E2" s="120" t="s">
        <v>1678</v>
      </c>
      <c r="F2" s="120" t="str">
        <f>'Stavební rozpočet'!I2</f>
        <v> </v>
      </c>
      <c r="G2" s="116"/>
      <c r="H2" s="130"/>
      <c r="I2" s="31"/>
    </row>
    <row r="3" spans="1:9" x14ac:dyDescent="0.2">
      <c r="A3" s="110"/>
      <c r="B3" s="84"/>
      <c r="C3" s="119"/>
      <c r="D3" s="119"/>
      <c r="E3" s="84"/>
      <c r="F3" s="84"/>
      <c r="G3" s="84"/>
      <c r="H3" s="112"/>
      <c r="I3" s="31"/>
    </row>
    <row r="4" spans="1:9" x14ac:dyDescent="0.2">
      <c r="A4" s="104" t="s">
        <v>2</v>
      </c>
      <c r="B4" s="84"/>
      <c r="C4" s="83" t="str">
        <f>'Stavební rozpočet'!C4</f>
        <v xml:space="preserve"> </v>
      </c>
      <c r="D4" s="84"/>
      <c r="E4" s="83" t="s">
        <v>1679</v>
      </c>
      <c r="F4" s="83" t="str">
        <f>'Stavební rozpočet'!I4</f>
        <v> </v>
      </c>
      <c r="G4" s="84"/>
      <c r="H4" s="112"/>
      <c r="I4" s="31"/>
    </row>
    <row r="5" spans="1:9" x14ac:dyDescent="0.2">
      <c r="A5" s="110"/>
      <c r="B5" s="84"/>
      <c r="C5" s="84"/>
      <c r="D5" s="84"/>
      <c r="E5" s="84"/>
      <c r="F5" s="84"/>
      <c r="G5" s="84"/>
      <c r="H5" s="112"/>
      <c r="I5" s="31"/>
    </row>
    <row r="6" spans="1:9" x14ac:dyDescent="0.2">
      <c r="A6" s="104" t="s">
        <v>3</v>
      </c>
      <c r="B6" s="84"/>
      <c r="C6" s="83" t="str">
        <f>'Stavební rozpočet'!C6</f>
        <v xml:space="preserve"> </v>
      </c>
      <c r="D6" s="84"/>
      <c r="E6" s="83" t="s">
        <v>1680</v>
      </c>
      <c r="F6" s="83" t="str">
        <f>'Stavební rozpočet'!I6</f>
        <v> </v>
      </c>
      <c r="G6" s="84"/>
      <c r="H6" s="112"/>
      <c r="I6" s="31"/>
    </row>
    <row r="7" spans="1:9" x14ac:dyDescent="0.2">
      <c r="A7" s="110"/>
      <c r="B7" s="84"/>
      <c r="C7" s="84"/>
      <c r="D7" s="84"/>
      <c r="E7" s="84"/>
      <c r="F7" s="84"/>
      <c r="G7" s="84"/>
      <c r="H7" s="112"/>
      <c r="I7" s="31"/>
    </row>
    <row r="8" spans="1:9" x14ac:dyDescent="0.2">
      <c r="A8" s="104" t="s">
        <v>1681</v>
      </c>
      <c r="B8" s="84"/>
      <c r="C8" s="83" t="str">
        <f>'Stavební rozpočet'!I8</f>
        <v> </v>
      </c>
      <c r="D8" s="84"/>
      <c r="E8" s="83" t="s">
        <v>1660</v>
      </c>
      <c r="F8" s="83"/>
      <c r="G8" s="84"/>
      <c r="H8" s="112"/>
      <c r="I8" s="31"/>
    </row>
    <row r="9" spans="1:9" x14ac:dyDescent="0.2">
      <c r="A9" s="126"/>
      <c r="B9" s="127"/>
      <c r="C9" s="127"/>
      <c r="D9" s="127"/>
      <c r="E9" s="127"/>
      <c r="F9" s="127"/>
      <c r="G9" s="127"/>
      <c r="H9" s="128"/>
      <c r="I9" s="31"/>
    </row>
    <row r="10" spans="1:9" x14ac:dyDescent="0.2">
      <c r="A10" s="40" t="s">
        <v>5</v>
      </c>
      <c r="B10" s="45" t="s">
        <v>1757</v>
      </c>
      <c r="C10" s="45" t="s">
        <v>544</v>
      </c>
      <c r="D10" s="122" t="s">
        <v>1083</v>
      </c>
      <c r="E10" s="123"/>
      <c r="F10" s="45" t="s">
        <v>1661</v>
      </c>
      <c r="G10" s="46" t="s">
        <v>1677</v>
      </c>
      <c r="H10" s="38" t="s">
        <v>1967</v>
      </c>
      <c r="I10" s="32"/>
    </row>
    <row r="11" spans="1:9" x14ac:dyDescent="0.2">
      <c r="A11" s="12"/>
      <c r="B11" s="12"/>
      <c r="C11" s="12" t="s">
        <v>19</v>
      </c>
      <c r="D11" s="154" t="s">
        <v>1085</v>
      </c>
      <c r="E11" s="155"/>
      <c r="F11" s="12"/>
      <c r="G11" s="67"/>
      <c r="H11" s="26"/>
    </row>
    <row r="12" spans="1:9" x14ac:dyDescent="0.2">
      <c r="A12" s="4" t="s">
        <v>7</v>
      </c>
      <c r="B12" s="4"/>
      <c r="C12" s="4" t="s">
        <v>545</v>
      </c>
      <c r="D12" s="131" t="s">
        <v>1086</v>
      </c>
      <c r="E12" s="132"/>
      <c r="F12" s="4" t="s">
        <v>1662</v>
      </c>
      <c r="G12" s="68">
        <v>48.789000000000001</v>
      </c>
      <c r="H12" s="16">
        <v>0</v>
      </c>
    </row>
    <row r="13" spans="1:9" ht="12.2" customHeight="1" x14ac:dyDescent="0.2">
      <c r="D13" s="157" t="s">
        <v>1764</v>
      </c>
      <c r="E13" s="158"/>
      <c r="F13" s="158"/>
      <c r="G13" s="47">
        <v>48.789000000000001</v>
      </c>
    </row>
    <row r="14" spans="1:9" x14ac:dyDescent="0.2">
      <c r="A14" s="4" t="s">
        <v>8</v>
      </c>
      <c r="B14" s="4"/>
      <c r="C14" s="4" t="s">
        <v>546</v>
      </c>
      <c r="D14" s="131" t="s">
        <v>1087</v>
      </c>
      <c r="E14" s="132"/>
      <c r="F14" s="4" t="s">
        <v>1662</v>
      </c>
      <c r="G14" s="68">
        <v>48.789000000000001</v>
      </c>
      <c r="H14" s="16">
        <v>0</v>
      </c>
    </row>
    <row r="15" spans="1:9" ht="12.2" customHeight="1" x14ac:dyDescent="0.2">
      <c r="D15" s="157" t="s">
        <v>1764</v>
      </c>
      <c r="E15" s="158"/>
      <c r="F15" s="158"/>
      <c r="G15" s="47">
        <v>48.789000000000001</v>
      </c>
    </row>
    <row r="16" spans="1:9" x14ac:dyDescent="0.2">
      <c r="A16" s="13"/>
      <c r="B16" s="13"/>
      <c r="C16" s="13" t="s">
        <v>22</v>
      </c>
      <c r="D16" s="136" t="s">
        <v>1088</v>
      </c>
      <c r="E16" s="137"/>
      <c r="F16" s="13"/>
      <c r="G16" s="69"/>
      <c r="H16" s="28"/>
    </row>
    <row r="17" spans="1:8" x14ac:dyDescent="0.2">
      <c r="A17" s="4" t="s">
        <v>9</v>
      </c>
      <c r="B17" s="4"/>
      <c r="C17" s="4" t="s">
        <v>547</v>
      </c>
      <c r="D17" s="131" t="s">
        <v>1089</v>
      </c>
      <c r="E17" s="132"/>
      <c r="F17" s="4" t="s">
        <v>1662</v>
      </c>
      <c r="G17" s="68">
        <v>32.526000000000003</v>
      </c>
      <c r="H17" s="16">
        <v>0</v>
      </c>
    </row>
    <row r="18" spans="1:8" ht="12.2" customHeight="1" x14ac:dyDescent="0.2">
      <c r="D18" s="157" t="s">
        <v>1765</v>
      </c>
      <c r="E18" s="158"/>
      <c r="F18" s="158"/>
      <c r="G18" s="47">
        <v>32.526000000000003</v>
      </c>
    </row>
    <row r="19" spans="1:8" x14ac:dyDescent="0.2">
      <c r="A19" s="4" t="s">
        <v>10</v>
      </c>
      <c r="B19" s="4"/>
      <c r="C19" s="4" t="s">
        <v>548</v>
      </c>
      <c r="D19" s="131" t="s">
        <v>1090</v>
      </c>
      <c r="E19" s="132"/>
      <c r="F19" s="4" t="s">
        <v>1662</v>
      </c>
      <c r="G19" s="68">
        <v>16.263000000000002</v>
      </c>
      <c r="H19" s="16">
        <v>0</v>
      </c>
    </row>
    <row r="20" spans="1:8" ht="12.2" customHeight="1" x14ac:dyDescent="0.2">
      <c r="D20" s="157" t="s">
        <v>1766</v>
      </c>
      <c r="E20" s="158"/>
      <c r="F20" s="158"/>
      <c r="G20" s="47">
        <v>16.263000000000002</v>
      </c>
    </row>
    <row r="21" spans="1:8" x14ac:dyDescent="0.2">
      <c r="A21" s="4" t="s">
        <v>11</v>
      </c>
      <c r="B21" s="4"/>
      <c r="C21" s="4" t="s">
        <v>549</v>
      </c>
      <c r="D21" s="131" t="s">
        <v>1091</v>
      </c>
      <c r="E21" s="132"/>
      <c r="F21" s="4" t="s">
        <v>1662</v>
      </c>
      <c r="G21" s="68">
        <v>32.526000000000003</v>
      </c>
      <c r="H21" s="16">
        <v>0</v>
      </c>
    </row>
    <row r="22" spans="1:8" ht="12.2" customHeight="1" x14ac:dyDescent="0.2">
      <c r="D22" s="157" t="s">
        <v>1765</v>
      </c>
      <c r="E22" s="158"/>
      <c r="F22" s="158"/>
      <c r="G22" s="47">
        <v>32.526000000000003</v>
      </c>
    </row>
    <row r="23" spans="1:8" x14ac:dyDescent="0.2">
      <c r="A23" s="13"/>
      <c r="B23" s="13"/>
      <c r="C23" s="13" t="s">
        <v>23</v>
      </c>
      <c r="D23" s="136" t="s">
        <v>1092</v>
      </c>
      <c r="E23" s="137"/>
      <c r="F23" s="13"/>
      <c r="G23" s="69"/>
      <c r="H23" s="28"/>
    </row>
    <row r="24" spans="1:8" x14ac:dyDescent="0.2">
      <c r="A24" s="4" t="s">
        <v>12</v>
      </c>
      <c r="B24" s="4"/>
      <c r="C24" s="4" t="s">
        <v>550</v>
      </c>
      <c r="D24" s="131" t="s">
        <v>1093</v>
      </c>
      <c r="E24" s="132"/>
      <c r="F24" s="4" t="s">
        <v>1663</v>
      </c>
      <c r="G24" s="68">
        <v>100</v>
      </c>
      <c r="H24" s="16">
        <v>0</v>
      </c>
    </row>
    <row r="25" spans="1:8" ht="12.2" customHeight="1" x14ac:dyDescent="0.2">
      <c r="D25" s="157" t="s">
        <v>1767</v>
      </c>
      <c r="E25" s="158"/>
      <c r="F25" s="158"/>
      <c r="G25" s="47">
        <v>100</v>
      </c>
    </row>
    <row r="26" spans="1:8" x14ac:dyDescent="0.2">
      <c r="A26" s="4" t="s">
        <v>13</v>
      </c>
      <c r="B26" s="4"/>
      <c r="C26" s="4" t="s">
        <v>551</v>
      </c>
      <c r="D26" s="131" t="s">
        <v>1094</v>
      </c>
      <c r="E26" s="132"/>
      <c r="F26" s="4" t="s">
        <v>1662</v>
      </c>
      <c r="G26" s="68">
        <v>32.526000000000003</v>
      </c>
      <c r="H26" s="16">
        <v>0</v>
      </c>
    </row>
    <row r="27" spans="1:8" ht="12.2" customHeight="1" x14ac:dyDescent="0.2">
      <c r="D27" s="157" t="s">
        <v>1768</v>
      </c>
      <c r="E27" s="158"/>
      <c r="F27" s="158"/>
      <c r="G27" s="47">
        <v>32.526000000000003</v>
      </c>
    </row>
    <row r="28" spans="1:8" x14ac:dyDescent="0.2">
      <c r="A28" s="4" t="s">
        <v>14</v>
      </c>
      <c r="B28" s="4"/>
      <c r="C28" s="4" t="s">
        <v>552</v>
      </c>
      <c r="D28" s="131" t="s">
        <v>1095</v>
      </c>
      <c r="E28" s="132"/>
      <c r="F28" s="4" t="s">
        <v>1662</v>
      </c>
      <c r="G28" s="68">
        <v>16.263000000000002</v>
      </c>
      <c r="H28" s="16">
        <v>0</v>
      </c>
    </row>
    <row r="29" spans="1:8" ht="12.2" customHeight="1" x14ac:dyDescent="0.2">
      <c r="D29" s="157" t="s">
        <v>1769</v>
      </c>
      <c r="E29" s="158"/>
      <c r="F29" s="158"/>
      <c r="G29" s="47">
        <v>16.263000000000002</v>
      </c>
    </row>
    <row r="30" spans="1:8" x14ac:dyDescent="0.2">
      <c r="A30" s="13"/>
      <c r="B30" s="13"/>
      <c r="C30" s="13" t="s">
        <v>24</v>
      </c>
      <c r="D30" s="136" t="s">
        <v>1096</v>
      </c>
      <c r="E30" s="137"/>
      <c r="F30" s="13"/>
      <c r="G30" s="69"/>
      <c r="H30" s="28"/>
    </row>
    <row r="31" spans="1:8" x14ac:dyDescent="0.2">
      <c r="A31" s="4" t="s">
        <v>15</v>
      </c>
      <c r="B31" s="4"/>
      <c r="C31" s="4" t="s">
        <v>553</v>
      </c>
      <c r="D31" s="131" t="s">
        <v>1097</v>
      </c>
      <c r="E31" s="132"/>
      <c r="F31" s="4" t="s">
        <v>1663</v>
      </c>
      <c r="G31" s="68">
        <v>325.26</v>
      </c>
      <c r="H31" s="16">
        <v>0</v>
      </c>
    </row>
    <row r="32" spans="1:8" ht="12.2" customHeight="1" x14ac:dyDescent="0.2">
      <c r="D32" s="157" t="s">
        <v>1770</v>
      </c>
      <c r="E32" s="158"/>
      <c r="F32" s="158"/>
      <c r="G32" s="47">
        <v>325.26</v>
      </c>
    </row>
    <row r="33" spans="1:8" x14ac:dyDescent="0.2">
      <c r="A33" s="4" t="s">
        <v>16</v>
      </c>
      <c r="B33" s="4"/>
      <c r="C33" s="4" t="s">
        <v>554</v>
      </c>
      <c r="D33" s="131" t="s">
        <v>1098</v>
      </c>
      <c r="E33" s="132"/>
      <c r="F33" s="4" t="s">
        <v>1664</v>
      </c>
      <c r="G33" s="68">
        <v>56.920999999999999</v>
      </c>
      <c r="H33" s="16">
        <v>0</v>
      </c>
    </row>
    <row r="34" spans="1:8" ht="12.2" customHeight="1" x14ac:dyDescent="0.2">
      <c r="D34" s="157" t="s">
        <v>1771</v>
      </c>
      <c r="E34" s="158"/>
      <c r="F34" s="158"/>
      <c r="G34" s="47">
        <v>56.920999999999999</v>
      </c>
    </row>
    <row r="35" spans="1:8" x14ac:dyDescent="0.2">
      <c r="A35" s="13"/>
      <c r="B35" s="13"/>
      <c r="C35" s="13" t="s">
        <v>37</v>
      </c>
      <c r="D35" s="136" t="s">
        <v>1099</v>
      </c>
      <c r="E35" s="137"/>
      <c r="F35" s="13"/>
      <c r="G35" s="69"/>
      <c r="H35" s="28"/>
    </row>
    <row r="36" spans="1:8" x14ac:dyDescent="0.2">
      <c r="A36" s="4" t="s">
        <v>17</v>
      </c>
      <c r="B36" s="4"/>
      <c r="C36" s="4" t="s">
        <v>555</v>
      </c>
      <c r="D36" s="131" t="s">
        <v>1100</v>
      </c>
      <c r="E36" s="132"/>
      <c r="F36" s="4" t="s">
        <v>1663</v>
      </c>
      <c r="G36" s="68">
        <v>1.278</v>
      </c>
      <c r="H36" s="16">
        <v>0</v>
      </c>
    </row>
    <row r="37" spans="1:8" ht="12.2" customHeight="1" x14ac:dyDescent="0.2">
      <c r="D37" s="157" t="s">
        <v>1772</v>
      </c>
      <c r="E37" s="158"/>
      <c r="F37" s="158"/>
      <c r="G37" s="47">
        <v>1.278</v>
      </c>
    </row>
    <row r="38" spans="1:8" x14ac:dyDescent="0.2">
      <c r="A38" s="4" t="s">
        <v>18</v>
      </c>
      <c r="B38" s="4"/>
      <c r="C38" s="4" t="s">
        <v>556</v>
      </c>
      <c r="D38" s="131" t="s">
        <v>1101</v>
      </c>
      <c r="E38" s="132"/>
      <c r="F38" s="4" t="s">
        <v>1663</v>
      </c>
      <c r="G38" s="68">
        <v>5.3330000000000002</v>
      </c>
      <c r="H38" s="16">
        <v>0</v>
      </c>
    </row>
    <row r="39" spans="1:8" ht="12.2" customHeight="1" x14ac:dyDescent="0.2">
      <c r="D39" s="157" t="s">
        <v>1773</v>
      </c>
      <c r="E39" s="158"/>
      <c r="F39" s="158"/>
      <c r="G39" s="47">
        <v>5.3330000000000002</v>
      </c>
    </row>
    <row r="40" spans="1:8" x14ac:dyDescent="0.2">
      <c r="A40" s="4" t="s">
        <v>19</v>
      </c>
      <c r="B40" s="4"/>
      <c r="C40" s="4" t="s">
        <v>556</v>
      </c>
      <c r="D40" s="131" t="s">
        <v>1102</v>
      </c>
      <c r="E40" s="132"/>
      <c r="F40" s="4" t="s">
        <v>1663</v>
      </c>
      <c r="G40" s="68">
        <v>2.202</v>
      </c>
      <c r="H40" s="16">
        <v>0</v>
      </c>
    </row>
    <row r="41" spans="1:8" ht="12.2" customHeight="1" x14ac:dyDescent="0.2">
      <c r="D41" s="157" t="s">
        <v>1774</v>
      </c>
      <c r="E41" s="158"/>
      <c r="F41" s="158"/>
      <c r="G41" s="47">
        <v>2.202</v>
      </c>
    </row>
    <row r="42" spans="1:8" x14ac:dyDescent="0.2">
      <c r="A42" s="4" t="s">
        <v>20</v>
      </c>
      <c r="B42" s="4"/>
      <c r="C42" s="4" t="s">
        <v>557</v>
      </c>
      <c r="D42" s="131" t="s">
        <v>1103</v>
      </c>
      <c r="E42" s="132"/>
      <c r="F42" s="4" t="s">
        <v>1663</v>
      </c>
      <c r="G42" s="68">
        <v>75</v>
      </c>
      <c r="H42" s="16">
        <v>0</v>
      </c>
    </row>
    <row r="43" spans="1:8" ht="12.2" customHeight="1" x14ac:dyDescent="0.2">
      <c r="D43" s="157" t="s">
        <v>1775</v>
      </c>
      <c r="E43" s="158"/>
      <c r="F43" s="158"/>
      <c r="G43" s="47">
        <v>75</v>
      </c>
    </row>
    <row r="44" spans="1:8" x14ac:dyDescent="0.2">
      <c r="A44" s="13"/>
      <c r="B44" s="13"/>
      <c r="C44" s="13" t="s">
        <v>40</v>
      </c>
      <c r="D44" s="136" t="s">
        <v>1104</v>
      </c>
      <c r="E44" s="137"/>
      <c r="F44" s="13"/>
      <c r="G44" s="69"/>
      <c r="H44" s="28"/>
    </row>
    <row r="45" spans="1:8" x14ac:dyDescent="0.2">
      <c r="A45" s="4" t="s">
        <v>21</v>
      </c>
      <c r="B45" s="4"/>
      <c r="C45" s="4" t="s">
        <v>558</v>
      </c>
      <c r="D45" s="131" t="s">
        <v>1105</v>
      </c>
      <c r="E45" s="132"/>
      <c r="F45" s="4" t="s">
        <v>1663</v>
      </c>
      <c r="G45" s="68">
        <v>4.5739999999999998</v>
      </c>
      <c r="H45" s="16">
        <v>0</v>
      </c>
    </row>
    <row r="46" spans="1:8" ht="12.2" customHeight="1" x14ac:dyDescent="0.2">
      <c r="D46" s="157" t="s">
        <v>1776</v>
      </c>
      <c r="E46" s="158"/>
      <c r="F46" s="158"/>
      <c r="G46" s="47">
        <v>4.5739999999999998</v>
      </c>
    </row>
    <row r="47" spans="1:8" x14ac:dyDescent="0.2">
      <c r="A47" s="4" t="s">
        <v>22</v>
      </c>
      <c r="B47" s="4"/>
      <c r="C47" s="4" t="s">
        <v>559</v>
      </c>
      <c r="D47" s="131" t="s">
        <v>1106</v>
      </c>
      <c r="E47" s="132"/>
      <c r="F47" s="4" t="s">
        <v>1665</v>
      </c>
      <c r="G47" s="68">
        <v>1</v>
      </c>
      <c r="H47" s="16">
        <v>0</v>
      </c>
    </row>
    <row r="48" spans="1:8" ht="12.2" customHeight="1" x14ac:dyDescent="0.2">
      <c r="D48" s="157" t="s">
        <v>1777</v>
      </c>
      <c r="E48" s="158"/>
      <c r="F48" s="158"/>
      <c r="G48" s="47">
        <v>1</v>
      </c>
    </row>
    <row r="49" spans="1:8" x14ac:dyDescent="0.2">
      <c r="A49" s="4" t="s">
        <v>23</v>
      </c>
      <c r="B49" s="4"/>
      <c r="C49" s="4" t="s">
        <v>560</v>
      </c>
      <c r="D49" s="131" t="s">
        <v>1107</v>
      </c>
      <c r="E49" s="132"/>
      <c r="F49" s="4" t="s">
        <v>1663</v>
      </c>
      <c r="G49" s="68">
        <v>4.5739999999999998</v>
      </c>
      <c r="H49" s="16">
        <v>0</v>
      </c>
    </row>
    <row r="50" spans="1:8" ht="12.2" customHeight="1" x14ac:dyDescent="0.2">
      <c r="D50" s="157" t="s">
        <v>1778</v>
      </c>
      <c r="E50" s="158"/>
      <c r="F50" s="158"/>
      <c r="G50" s="47">
        <v>4.5739999999999998</v>
      </c>
    </row>
    <row r="51" spans="1:8" x14ac:dyDescent="0.2">
      <c r="A51" s="4" t="s">
        <v>24</v>
      </c>
      <c r="B51" s="4"/>
      <c r="C51" s="4" t="s">
        <v>561</v>
      </c>
      <c r="D51" s="131" t="s">
        <v>1108</v>
      </c>
      <c r="E51" s="132"/>
      <c r="F51" s="4" t="s">
        <v>1663</v>
      </c>
      <c r="G51" s="68">
        <v>4.5739999999999998</v>
      </c>
      <c r="H51" s="16">
        <v>0</v>
      </c>
    </row>
    <row r="52" spans="1:8" ht="12.2" customHeight="1" x14ac:dyDescent="0.2">
      <c r="D52" s="157" t="s">
        <v>1778</v>
      </c>
      <c r="E52" s="158"/>
      <c r="F52" s="158"/>
      <c r="G52" s="47">
        <v>4.5739999999999998</v>
      </c>
    </row>
    <row r="53" spans="1:8" x14ac:dyDescent="0.2">
      <c r="A53" s="4" t="s">
        <v>25</v>
      </c>
      <c r="B53" s="4"/>
      <c r="C53" s="4" t="s">
        <v>562</v>
      </c>
      <c r="D53" s="131" t="s">
        <v>1109</v>
      </c>
      <c r="E53" s="132"/>
      <c r="F53" s="4" t="s">
        <v>1666</v>
      </c>
      <c r="G53" s="68">
        <v>4.5999999999999996</v>
      </c>
      <c r="H53" s="16">
        <v>0</v>
      </c>
    </row>
    <row r="54" spans="1:8" ht="12.2" customHeight="1" x14ac:dyDescent="0.2">
      <c r="D54" s="157" t="s">
        <v>1779</v>
      </c>
      <c r="E54" s="158"/>
      <c r="F54" s="158"/>
      <c r="G54" s="47">
        <v>4.5999999999999996</v>
      </c>
    </row>
    <row r="55" spans="1:8" x14ac:dyDescent="0.2">
      <c r="A55" s="4" t="s">
        <v>26</v>
      </c>
      <c r="B55" s="4"/>
      <c r="C55" s="4" t="s">
        <v>563</v>
      </c>
      <c r="D55" s="131" t="s">
        <v>1110</v>
      </c>
      <c r="E55" s="132"/>
      <c r="F55" s="4" t="s">
        <v>1663</v>
      </c>
      <c r="G55" s="68">
        <v>4.5739999999999998</v>
      </c>
      <c r="H55" s="16">
        <v>0</v>
      </c>
    </row>
    <row r="56" spans="1:8" ht="12.2" customHeight="1" x14ac:dyDescent="0.2">
      <c r="D56" s="157" t="s">
        <v>1778</v>
      </c>
      <c r="E56" s="158"/>
      <c r="F56" s="158"/>
      <c r="G56" s="47">
        <v>4.5739999999999998</v>
      </c>
    </row>
    <row r="57" spans="1:8" x14ac:dyDescent="0.2">
      <c r="A57" s="13"/>
      <c r="B57" s="13"/>
      <c r="C57" s="13" t="s">
        <v>47</v>
      </c>
      <c r="D57" s="136" t="s">
        <v>1111</v>
      </c>
      <c r="E57" s="137"/>
      <c r="F57" s="13"/>
      <c r="G57" s="69"/>
      <c r="H57" s="28"/>
    </row>
    <row r="58" spans="1:8" x14ac:dyDescent="0.2">
      <c r="A58" s="4" t="s">
        <v>27</v>
      </c>
      <c r="B58" s="4"/>
      <c r="C58" s="4" t="s">
        <v>564</v>
      </c>
      <c r="D58" s="131" t="s">
        <v>1112</v>
      </c>
      <c r="E58" s="132"/>
      <c r="F58" s="4" t="s">
        <v>1663</v>
      </c>
      <c r="G58" s="68">
        <v>183</v>
      </c>
      <c r="H58" s="16">
        <v>0</v>
      </c>
    </row>
    <row r="59" spans="1:8" ht="12.2" customHeight="1" x14ac:dyDescent="0.2">
      <c r="D59" s="157" t="s">
        <v>1780</v>
      </c>
      <c r="E59" s="158"/>
      <c r="F59" s="158"/>
      <c r="G59" s="47">
        <v>183</v>
      </c>
    </row>
    <row r="60" spans="1:8" x14ac:dyDescent="0.2">
      <c r="A60" s="4" t="s">
        <v>28</v>
      </c>
      <c r="B60" s="4"/>
      <c r="C60" s="4" t="s">
        <v>565</v>
      </c>
      <c r="D60" s="131" t="s">
        <v>1113</v>
      </c>
      <c r="E60" s="132"/>
      <c r="F60" s="4" t="s">
        <v>1663</v>
      </c>
      <c r="G60" s="68">
        <v>170.25</v>
      </c>
      <c r="H60" s="16">
        <v>0</v>
      </c>
    </row>
    <row r="61" spans="1:8" ht="12.2" customHeight="1" x14ac:dyDescent="0.2">
      <c r="D61" s="157" t="s">
        <v>1781</v>
      </c>
      <c r="E61" s="158"/>
      <c r="F61" s="158"/>
      <c r="G61" s="47">
        <v>170.25</v>
      </c>
    </row>
    <row r="62" spans="1:8" x14ac:dyDescent="0.2">
      <c r="A62" s="4" t="s">
        <v>29</v>
      </c>
      <c r="B62" s="4"/>
      <c r="C62" s="4" t="s">
        <v>566</v>
      </c>
      <c r="D62" s="131" t="s">
        <v>1114</v>
      </c>
      <c r="E62" s="132"/>
      <c r="F62" s="4" t="s">
        <v>1666</v>
      </c>
      <c r="G62" s="68">
        <v>60.414999999999999</v>
      </c>
      <c r="H62" s="16">
        <v>0</v>
      </c>
    </row>
    <row r="63" spans="1:8" ht="12.2" customHeight="1" x14ac:dyDescent="0.2">
      <c r="D63" s="157" t="s">
        <v>1782</v>
      </c>
      <c r="E63" s="158"/>
      <c r="F63" s="158"/>
      <c r="G63" s="47">
        <v>60.414999999999999</v>
      </c>
    </row>
    <row r="64" spans="1:8" x14ac:dyDescent="0.2">
      <c r="A64" s="13"/>
      <c r="B64" s="13"/>
      <c r="C64" s="13" t="s">
        <v>62</v>
      </c>
      <c r="D64" s="136" t="s">
        <v>1115</v>
      </c>
      <c r="E64" s="137"/>
      <c r="F64" s="13"/>
      <c r="G64" s="69"/>
      <c r="H64" s="28"/>
    </row>
    <row r="65" spans="1:8" x14ac:dyDescent="0.2">
      <c r="A65" s="4" t="s">
        <v>30</v>
      </c>
      <c r="B65" s="4"/>
      <c r="C65" s="4" t="s">
        <v>567</v>
      </c>
      <c r="D65" s="131" t="s">
        <v>1116</v>
      </c>
      <c r="E65" s="132"/>
      <c r="F65" s="4" t="s">
        <v>1663</v>
      </c>
      <c r="G65" s="68">
        <v>100</v>
      </c>
      <c r="H65" s="16">
        <v>0</v>
      </c>
    </row>
    <row r="66" spans="1:8" ht="12.2" customHeight="1" x14ac:dyDescent="0.2">
      <c r="D66" s="157" t="s">
        <v>1767</v>
      </c>
      <c r="E66" s="158"/>
      <c r="F66" s="158"/>
      <c r="G66" s="47">
        <v>100</v>
      </c>
    </row>
    <row r="67" spans="1:8" x14ac:dyDescent="0.2">
      <c r="A67" s="4" t="s">
        <v>31</v>
      </c>
      <c r="B67" s="4"/>
      <c r="C67" s="4" t="s">
        <v>568</v>
      </c>
      <c r="D67" s="131" t="s">
        <v>1117</v>
      </c>
      <c r="E67" s="132"/>
      <c r="F67" s="4" t="s">
        <v>1663</v>
      </c>
      <c r="G67" s="68">
        <v>70</v>
      </c>
      <c r="H67" s="16">
        <v>0</v>
      </c>
    </row>
    <row r="68" spans="1:8" ht="12.2" customHeight="1" x14ac:dyDescent="0.2">
      <c r="D68" s="157" t="s">
        <v>1783</v>
      </c>
      <c r="E68" s="158"/>
      <c r="F68" s="158"/>
      <c r="G68" s="47">
        <v>70</v>
      </c>
    </row>
    <row r="69" spans="1:8" x14ac:dyDescent="0.2">
      <c r="A69" s="4" t="s">
        <v>32</v>
      </c>
      <c r="B69" s="4"/>
      <c r="C69" s="4" t="s">
        <v>569</v>
      </c>
      <c r="D69" s="131" t="s">
        <v>1118</v>
      </c>
      <c r="E69" s="132"/>
      <c r="F69" s="4" t="s">
        <v>1663</v>
      </c>
      <c r="G69" s="68">
        <v>30</v>
      </c>
      <c r="H69" s="16">
        <v>0</v>
      </c>
    </row>
    <row r="70" spans="1:8" ht="12.2" customHeight="1" x14ac:dyDescent="0.2">
      <c r="D70" s="157" t="s">
        <v>1784</v>
      </c>
      <c r="E70" s="158"/>
      <c r="F70" s="158"/>
      <c r="G70" s="47">
        <v>30</v>
      </c>
    </row>
    <row r="71" spans="1:8" x14ac:dyDescent="0.2">
      <c r="A71" s="4" t="s">
        <v>33</v>
      </c>
      <c r="B71" s="4"/>
      <c r="C71" s="4" t="s">
        <v>570</v>
      </c>
      <c r="D71" s="131" t="s">
        <v>1119</v>
      </c>
      <c r="E71" s="132"/>
      <c r="F71" s="4" t="s">
        <v>1663</v>
      </c>
      <c r="G71" s="68">
        <v>30</v>
      </c>
      <c r="H71" s="16">
        <v>0</v>
      </c>
    </row>
    <row r="72" spans="1:8" ht="12.2" customHeight="1" x14ac:dyDescent="0.2">
      <c r="D72" s="157" t="s">
        <v>1784</v>
      </c>
      <c r="E72" s="158"/>
      <c r="F72" s="158"/>
      <c r="G72" s="47">
        <v>30</v>
      </c>
    </row>
    <row r="73" spans="1:8" x14ac:dyDescent="0.2">
      <c r="A73" s="4" t="s">
        <v>34</v>
      </c>
      <c r="B73" s="4"/>
      <c r="C73" s="4" t="s">
        <v>571</v>
      </c>
      <c r="D73" s="131" t="s">
        <v>1120</v>
      </c>
      <c r="E73" s="132"/>
      <c r="F73" s="4" t="s">
        <v>1663</v>
      </c>
      <c r="G73" s="68">
        <v>70</v>
      </c>
      <c r="H73" s="16">
        <v>0</v>
      </c>
    </row>
    <row r="74" spans="1:8" ht="12.2" customHeight="1" x14ac:dyDescent="0.2">
      <c r="D74" s="157" t="s">
        <v>1783</v>
      </c>
      <c r="E74" s="158"/>
      <c r="F74" s="158"/>
      <c r="G74" s="47">
        <v>70</v>
      </c>
    </row>
    <row r="75" spans="1:8" x14ac:dyDescent="0.2">
      <c r="A75" s="4" t="s">
        <v>35</v>
      </c>
      <c r="B75" s="4"/>
      <c r="C75" s="4" t="s">
        <v>572</v>
      </c>
      <c r="D75" s="131" t="s">
        <v>1121</v>
      </c>
      <c r="E75" s="132"/>
      <c r="F75" s="4" t="s">
        <v>1663</v>
      </c>
      <c r="G75" s="68">
        <v>170</v>
      </c>
      <c r="H75" s="16">
        <v>0</v>
      </c>
    </row>
    <row r="76" spans="1:8" ht="12.2" customHeight="1" x14ac:dyDescent="0.2">
      <c r="D76" s="157" t="s">
        <v>1785</v>
      </c>
      <c r="E76" s="158"/>
      <c r="F76" s="158"/>
      <c r="G76" s="47">
        <v>170</v>
      </c>
    </row>
    <row r="77" spans="1:8" x14ac:dyDescent="0.2">
      <c r="A77" s="13"/>
      <c r="B77" s="13"/>
      <c r="C77" s="13" t="s">
        <v>63</v>
      </c>
      <c r="D77" s="136" t="s">
        <v>1122</v>
      </c>
      <c r="E77" s="137"/>
      <c r="F77" s="13"/>
      <c r="G77" s="69"/>
      <c r="H77" s="28"/>
    </row>
    <row r="78" spans="1:8" x14ac:dyDescent="0.2">
      <c r="A78" s="4" t="s">
        <v>36</v>
      </c>
      <c r="B78" s="4"/>
      <c r="C78" s="4" t="s">
        <v>573</v>
      </c>
      <c r="D78" s="131" t="s">
        <v>1123</v>
      </c>
      <c r="E78" s="132"/>
      <c r="F78" s="4" t="s">
        <v>1663</v>
      </c>
      <c r="G78" s="68">
        <v>30</v>
      </c>
      <c r="H78" s="16">
        <v>0</v>
      </c>
    </row>
    <row r="79" spans="1:8" ht="12.2" customHeight="1" x14ac:dyDescent="0.2">
      <c r="D79" s="157" t="s">
        <v>1786</v>
      </c>
      <c r="E79" s="158"/>
      <c r="F79" s="158"/>
      <c r="G79" s="47">
        <v>30</v>
      </c>
    </row>
    <row r="80" spans="1:8" x14ac:dyDescent="0.2">
      <c r="A80" s="13"/>
      <c r="B80" s="13"/>
      <c r="C80" s="13" t="s">
        <v>65</v>
      </c>
      <c r="D80" s="136" t="s">
        <v>1124</v>
      </c>
      <c r="E80" s="137"/>
      <c r="F80" s="13"/>
      <c r="G80" s="69"/>
      <c r="H80" s="28"/>
    </row>
    <row r="81" spans="1:8" x14ac:dyDescent="0.2">
      <c r="A81" s="4" t="s">
        <v>37</v>
      </c>
      <c r="B81" s="4"/>
      <c r="C81" s="4" t="s">
        <v>574</v>
      </c>
      <c r="D81" s="131" t="s">
        <v>1125</v>
      </c>
      <c r="E81" s="132"/>
      <c r="F81" s="4" t="s">
        <v>1663</v>
      </c>
      <c r="G81" s="68">
        <v>30</v>
      </c>
      <c r="H81" s="16">
        <v>0</v>
      </c>
    </row>
    <row r="82" spans="1:8" ht="12.2" customHeight="1" x14ac:dyDescent="0.2">
      <c r="D82" s="157" t="s">
        <v>1784</v>
      </c>
      <c r="E82" s="158"/>
      <c r="F82" s="158"/>
      <c r="G82" s="47">
        <v>30</v>
      </c>
    </row>
    <row r="83" spans="1:8" x14ac:dyDescent="0.2">
      <c r="A83" s="4" t="s">
        <v>38</v>
      </c>
      <c r="B83" s="4"/>
      <c r="C83" s="4" t="s">
        <v>575</v>
      </c>
      <c r="D83" s="131" t="s">
        <v>1126</v>
      </c>
      <c r="E83" s="132"/>
      <c r="F83" s="4" t="s">
        <v>1663</v>
      </c>
      <c r="G83" s="68">
        <v>60</v>
      </c>
      <c r="H83" s="16">
        <v>0</v>
      </c>
    </row>
    <row r="84" spans="1:8" ht="12.2" customHeight="1" x14ac:dyDescent="0.2">
      <c r="D84" s="157" t="s">
        <v>1787</v>
      </c>
      <c r="E84" s="158"/>
      <c r="F84" s="158"/>
      <c r="G84" s="47">
        <v>60</v>
      </c>
    </row>
    <row r="85" spans="1:8" x14ac:dyDescent="0.2">
      <c r="A85" s="4" t="s">
        <v>39</v>
      </c>
      <c r="B85" s="4"/>
      <c r="C85" s="4" t="s">
        <v>576</v>
      </c>
      <c r="D85" s="131" t="s">
        <v>1127</v>
      </c>
      <c r="E85" s="132"/>
      <c r="F85" s="4" t="s">
        <v>1663</v>
      </c>
      <c r="G85" s="68">
        <v>70</v>
      </c>
      <c r="H85" s="16">
        <v>0</v>
      </c>
    </row>
    <row r="86" spans="1:8" ht="12.2" customHeight="1" x14ac:dyDescent="0.2">
      <c r="D86" s="157" t="s">
        <v>1783</v>
      </c>
      <c r="E86" s="158"/>
      <c r="F86" s="158"/>
      <c r="G86" s="47">
        <v>70</v>
      </c>
    </row>
    <row r="87" spans="1:8" x14ac:dyDescent="0.2">
      <c r="A87" s="4" t="s">
        <v>40</v>
      </c>
      <c r="B87" s="4"/>
      <c r="C87" s="4" t="s">
        <v>577</v>
      </c>
      <c r="D87" s="131" t="s">
        <v>1128</v>
      </c>
      <c r="E87" s="132"/>
      <c r="F87" s="4" t="s">
        <v>1666</v>
      </c>
      <c r="G87" s="68">
        <v>24</v>
      </c>
      <c r="H87" s="16">
        <v>0</v>
      </c>
    </row>
    <row r="88" spans="1:8" ht="12.2" customHeight="1" x14ac:dyDescent="0.2">
      <c r="D88" s="157" t="s">
        <v>1788</v>
      </c>
      <c r="E88" s="158"/>
      <c r="F88" s="158"/>
      <c r="G88" s="47">
        <v>24</v>
      </c>
    </row>
    <row r="89" spans="1:8" x14ac:dyDescent="0.2">
      <c r="A89" s="13"/>
      <c r="B89" s="13"/>
      <c r="C89" s="13" t="s">
        <v>67</v>
      </c>
      <c r="D89" s="136" t="s">
        <v>1129</v>
      </c>
      <c r="E89" s="137"/>
      <c r="F89" s="13"/>
      <c r="G89" s="69"/>
      <c r="H89" s="28"/>
    </row>
    <row r="90" spans="1:8" x14ac:dyDescent="0.2">
      <c r="A90" s="4" t="s">
        <v>41</v>
      </c>
      <c r="B90" s="4"/>
      <c r="C90" s="4" t="s">
        <v>578</v>
      </c>
      <c r="D90" s="131" t="s">
        <v>1130</v>
      </c>
      <c r="E90" s="132"/>
      <c r="F90" s="4" t="s">
        <v>1666</v>
      </c>
      <c r="G90" s="68">
        <v>723.15</v>
      </c>
      <c r="H90" s="16">
        <v>0</v>
      </c>
    </row>
    <row r="91" spans="1:8" ht="12.2" customHeight="1" x14ac:dyDescent="0.2">
      <c r="D91" s="157" t="s">
        <v>1789</v>
      </c>
      <c r="E91" s="158"/>
      <c r="F91" s="158"/>
      <c r="G91" s="47">
        <v>489.45</v>
      </c>
    </row>
    <row r="92" spans="1:8" ht="12.2" customHeight="1" x14ac:dyDescent="0.2">
      <c r="A92" s="4"/>
      <c r="B92" s="4"/>
      <c r="C92" s="4"/>
      <c r="D92" s="157" t="s">
        <v>1790</v>
      </c>
      <c r="E92" s="158"/>
      <c r="F92" s="157"/>
      <c r="G92" s="70">
        <v>233.7</v>
      </c>
      <c r="H92" s="27"/>
    </row>
    <row r="93" spans="1:8" x14ac:dyDescent="0.2">
      <c r="A93" s="4" t="s">
        <v>42</v>
      </c>
      <c r="B93" s="4"/>
      <c r="C93" s="4" t="s">
        <v>579</v>
      </c>
      <c r="D93" s="131" t="s">
        <v>1131</v>
      </c>
      <c r="E93" s="132"/>
      <c r="F93" s="4" t="s">
        <v>1663</v>
      </c>
      <c r="G93" s="68">
        <v>395.892</v>
      </c>
      <c r="H93" s="16">
        <v>0</v>
      </c>
    </row>
    <row r="94" spans="1:8" ht="12.2" customHeight="1" x14ac:dyDescent="0.2">
      <c r="D94" s="157" t="s">
        <v>1791</v>
      </c>
      <c r="E94" s="158"/>
      <c r="F94" s="158"/>
      <c r="G94" s="47">
        <v>212.64599999999999</v>
      </c>
    </row>
    <row r="95" spans="1:8" ht="12.2" customHeight="1" x14ac:dyDescent="0.2">
      <c r="A95" s="4"/>
      <c r="B95" s="4"/>
      <c r="C95" s="4"/>
      <c r="D95" s="157" t="s">
        <v>1792</v>
      </c>
      <c r="E95" s="158"/>
      <c r="F95" s="157"/>
      <c r="G95" s="70">
        <v>57.02</v>
      </c>
      <c r="H95" s="27"/>
    </row>
    <row r="96" spans="1:8" ht="12.2" customHeight="1" x14ac:dyDescent="0.2">
      <c r="A96" s="4"/>
      <c r="B96" s="4"/>
      <c r="C96" s="4"/>
      <c r="D96" s="157" t="s">
        <v>1793</v>
      </c>
      <c r="E96" s="158"/>
      <c r="F96" s="157"/>
      <c r="G96" s="70">
        <v>126.226</v>
      </c>
      <c r="H96" s="27"/>
    </row>
    <row r="97" spans="1:8" x14ac:dyDescent="0.2">
      <c r="A97" s="4" t="s">
        <v>43</v>
      </c>
      <c r="B97" s="4"/>
      <c r="C97" s="4" t="s">
        <v>580</v>
      </c>
      <c r="D97" s="131" t="s">
        <v>1132</v>
      </c>
      <c r="E97" s="132"/>
      <c r="F97" s="4" t="s">
        <v>1663</v>
      </c>
      <c r="G97" s="68">
        <v>14.728999999999999</v>
      </c>
      <c r="H97" s="16">
        <v>0</v>
      </c>
    </row>
    <row r="98" spans="1:8" ht="12.2" customHeight="1" x14ac:dyDescent="0.2">
      <c r="D98" s="157" t="s">
        <v>1794</v>
      </c>
      <c r="E98" s="158"/>
      <c r="F98" s="158"/>
      <c r="G98" s="47">
        <v>14.728999999999999</v>
      </c>
    </row>
    <row r="99" spans="1:8" x14ac:dyDescent="0.2">
      <c r="A99" s="13"/>
      <c r="B99" s="13"/>
      <c r="C99" s="13" t="s">
        <v>68</v>
      </c>
      <c r="D99" s="136" t="s">
        <v>1133</v>
      </c>
      <c r="E99" s="137"/>
      <c r="F99" s="13"/>
      <c r="G99" s="69"/>
      <c r="H99" s="28"/>
    </row>
    <row r="100" spans="1:8" x14ac:dyDescent="0.2">
      <c r="A100" s="4" t="s">
        <v>44</v>
      </c>
      <c r="B100" s="4"/>
      <c r="C100" s="4" t="s">
        <v>581</v>
      </c>
      <c r="D100" s="131" t="s">
        <v>1134</v>
      </c>
      <c r="E100" s="132"/>
      <c r="F100" s="4" t="s">
        <v>1663</v>
      </c>
      <c r="G100" s="68">
        <v>269.666</v>
      </c>
      <c r="H100" s="16">
        <v>0</v>
      </c>
    </row>
    <row r="101" spans="1:8" ht="12.2" customHeight="1" x14ac:dyDescent="0.2">
      <c r="D101" s="157" t="s">
        <v>1791</v>
      </c>
      <c r="E101" s="158"/>
      <c r="F101" s="158"/>
      <c r="G101" s="47">
        <v>212.64599999999999</v>
      </c>
    </row>
    <row r="102" spans="1:8" ht="12.2" customHeight="1" x14ac:dyDescent="0.2">
      <c r="A102" s="4"/>
      <c r="B102" s="4"/>
      <c r="C102" s="4"/>
      <c r="D102" s="157" t="s">
        <v>1792</v>
      </c>
      <c r="E102" s="158"/>
      <c r="F102" s="157"/>
      <c r="G102" s="70">
        <v>57.02</v>
      </c>
      <c r="H102" s="27"/>
    </row>
    <row r="103" spans="1:8" x14ac:dyDescent="0.2">
      <c r="A103" s="4" t="s">
        <v>45</v>
      </c>
      <c r="B103" s="4"/>
      <c r="C103" s="4" t="s">
        <v>582</v>
      </c>
      <c r="D103" s="131" t="s">
        <v>1135</v>
      </c>
      <c r="E103" s="132"/>
      <c r="F103" s="4" t="s">
        <v>1666</v>
      </c>
      <c r="G103" s="68">
        <v>59.814999999999998</v>
      </c>
      <c r="H103" s="16">
        <v>0</v>
      </c>
    </row>
    <row r="104" spans="1:8" ht="12.2" customHeight="1" x14ac:dyDescent="0.2">
      <c r="D104" s="157" t="s">
        <v>1795</v>
      </c>
      <c r="E104" s="158"/>
      <c r="F104" s="158"/>
      <c r="G104" s="47">
        <v>59.814999999999998</v>
      </c>
    </row>
    <row r="105" spans="1:8" x14ac:dyDescent="0.2">
      <c r="A105" s="4" t="s">
        <v>46</v>
      </c>
      <c r="B105" s="4"/>
      <c r="C105" s="4" t="s">
        <v>583</v>
      </c>
      <c r="D105" s="131" t="s">
        <v>1136</v>
      </c>
      <c r="E105" s="132"/>
      <c r="F105" s="4" t="s">
        <v>1663</v>
      </c>
      <c r="G105" s="68">
        <v>688.82100000000003</v>
      </c>
      <c r="H105" s="16">
        <v>0</v>
      </c>
    </row>
    <row r="106" spans="1:8" ht="12.2" customHeight="1" x14ac:dyDescent="0.2">
      <c r="D106" s="157" t="s">
        <v>1796</v>
      </c>
      <c r="E106" s="158"/>
      <c r="F106" s="158"/>
      <c r="G106" s="47">
        <v>44.462000000000003</v>
      </c>
    </row>
    <row r="107" spans="1:8" ht="12.2" customHeight="1" x14ac:dyDescent="0.2">
      <c r="A107" s="4"/>
      <c r="B107" s="4"/>
      <c r="C107" s="4"/>
      <c r="D107" s="157" t="s">
        <v>1797</v>
      </c>
      <c r="E107" s="158"/>
      <c r="F107" s="157"/>
      <c r="G107" s="70">
        <v>269</v>
      </c>
      <c r="H107" s="27"/>
    </row>
    <row r="108" spans="1:8" ht="12.2" customHeight="1" x14ac:dyDescent="0.2">
      <c r="A108" s="4"/>
      <c r="B108" s="4"/>
      <c r="C108" s="4"/>
      <c r="D108" s="157" t="s">
        <v>1798</v>
      </c>
      <c r="E108" s="158"/>
      <c r="F108" s="157"/>
      <c r="G108" s="70">
        <v>46.593000000000004</v>
      </c>
      <c r="H108" s="27"/>
    </row>
    <row r="109" spans="1:8" ht="12.2" customHeight="1" x14ac:dyDescent="0.2">
      <c r="A109" s="4"/>
      <c r="B109" s="4"/>
      <c r="C109" s="4"/>
      <c r="D109" s="157" t="s">
        <v>1799</v>
      </c>
      <c r="E109" s="158"/>
      <c r="F109" s="157"/>
      <c r="G109" s="70">
        <v>301.59399999999999</v>
      </c>
      <c r="H109" s="27"/>
    </row>
    <row r="110" spans="1:8" ht="12.2" customHeight="1" x14ac:dyDescent="0.2">
      <c r="A110" s="4"/>
      <c r="B110" s="4"/>
      <c r="C110" s="4"/>
      <c r="D110" s="157" t="s">
        <v>1800</v>
      </c>
      <c r="E110" s="158"/>
      <c r="F110" s="157"/>
      <c r="G110" s="70">
        <v>-53.52</v>
      </c>
      <c r="H110" s="27"/>
    </row>
    <row r="111" spans="1:8" ht="12.2" customHeight="1" x14ac:dyDescent="0.2">
      <c r="A111" s="4"/>
      <c r="B111" s="4"/>
      <c r="C111" s="4"/>
      <c r="D111" s="157" t="s">
        <v>1801</v>
      </c>
      <c r="E111" s="158"/>
      <c r="F111" s="157"/>
      <c r="G111" s="70">
        <v>80.691999999999993</v>
      </c>
      <c r="H111" s="27"/>
    </row>
    <row r="112" spans="1:8" x14ac:dyDescent="0.2">
      <c r="A112" s="4" t="s">
        <v>47</v>
      </c>
      <c r="B112" s="4"/>
      <c r="C112" s="4" t="s">
        <v>584</v>
      </c>
      <c r="D112" s="131" t="s">
        <v>1137</v>
      </c>
      <c r="E112" s="132"/>
      <c r="F112" s="4" t="s">
        <v>1663</v>
      </c>
      <c r="G112" s="68">
        <v>56.920999999999999</v>
      </c>
      <c r="H112" s="16">
        <v>0</v>
      </c>
    </row>
    <row r="113" spans="1:8" ht="12.2" customHeight="1" x14ac:dyDescent="0.2">
      <c r="D113" s="157" t="s">
        <v>1802</v>
      </c>
      <c r="E113" s="158"/>
      <c r="F113" s="158"/>
      <c r="G113" s="47">
        <v>56.920999999999999</v>
      </c>
    </row>
    <row r="114" spans="1:8" x14ac:dyDescent="0.2">
      <c r="A114" s="4" t="s">
        <v>48</v>
      </c>
      <c r="B114" s="4"/>
      <c r="C114" s="4" t="s">
        <v>585</v>
      </c>
      <c r="D114" s="131" t="s">
        <v>1138</v>
      </c>
      <c r="E114" s="132"/>
      <c r="F114" s="4" t="s">
        <v>1666</v>
      </c>
      <c r="G114" s="68">
        <v>100</v>
      </c>
      <c r="H114" s="16">
        <v>0</v>
      </c>
    </row>
    <row r="115" spans="1:8" ht="12.2" customHeight="1" x14ac:dyDescent="0.2">
      <c r="D115" s="157" t="s">
        <v>1803</v>
      </c>
      <c r="E115" s="158"/>
      <c r="F115" s="158"/>
      <c r="G115" s="47">
        <v>100</v>
      </c>
    </row>
    <row r="116" spans="1:8" x14ac:dyDescent="0.2">
      <c r="A116" s="4" t="s">
        <v>49</v>
      </c>
      <c r="B116" s="4"/>
      <c r="C116" s="4" t="s">
        <v>586</v>
      </c>
      <c r="D116" s="131" t="s">
        <v>1139</v>
      </c>
      <c r="E116" s="132"/>
      <c r="F116" s="4" t="s">
        <v>1666</v>
      </c>
      <c r="G116" s="68">
        <v>164.6</v>
      </c>
      <c r="H116" s="16">
        <v>0</v>
      </c>
    </row>
    <row r="117" spans="1:8" ht="12.2" customHeight="1" x14ac:dyDescent="0.2">
      <c r="D117" s="157" t="s">
        <v>1804</v>
      </c>
      <c r="E117" s="158"/>
      <c r="F117" s="158"/>
      <c r="G117" s="47">
        <v>164.6</v>
      </c>
    </row>
    <row r="118" spans="1:8" x14ac:dyDescent="0.2">
      <c r="A118" s="4" t="s">
        <v>50</v>
      </c>
      <c r="B118" s="4"/>
      <c r="C118" s="4" t="s">
        <v>587</v>
      </c>
      <c r="D118" s="131" t="s">
        <v>1140</v>
      </c>
      <c r="E118" s="132"/>
      <c r="F118" s="4" t="s">
        <v>1666</v>
      </c>
      <c r="G118" s="68">
        <v>164.6</v>
      </c>
      <c r="H118" s="16">
        <v>0</v>
      </c>
    </row>
    <row r="119" spans="1:8" ht="12.2" customHeight="1" x14ac:dyDescent="0.2">
      <c r="D119" s="157" t="s">
        <v>1805</v>
      </c>
      <c r="E119" s="158"/>
      <c r="F119" s="158"/>
      <c r="G119" s="47">
        <v>164.6</v>
      </c>
    </row>
    <row r="120" spans="1:8" x14ac:dyDescent="0.2">
      <c r="A120" s="4" t="s">
        <v>51</v>
      </c>
      <c r="B120" s="4"/>
      <c r="C120" s="4" t="s">
        <v>588</v>
      </c>
      <c r="D120" s="131" t="s">
        <v>1141</v>
      </c>
      <c r="E120" s="132"/>
      <c r="F120" s="4" t="s">
        <v>1666</v>
      </c>
      <c r="G120" s="68">
        <v>385.13499999999999</v>
      </c>
      <c r="H120" s="16">
        <v>0</v>
      </c>
    </row>
    <row r="121" spans="1:8" ht="12.2" customHeight="1" x14ac:dyDescent="0.2">
      <c r="D121" s="157" t="s">
        <v>1806</v>
      </c>
      <c r="E121" s="158"/>
      <c r="F121" s="158"/>
      <c r="G121" s="47">
        <v>385.13499999999999</v>
      </c>
    </row>
    <row r="122" spans="1:8" x14ac:dyDescent="0.2">
      <c r="A122" s="4" t="s">
        <v>52</v>
      </c>
      <c r="B122" s="4"/>
      <c r="C122" s="4" t="s">
        <v>589</v>
      </c>
      <c r="D122" s="131" t="s">
        <v>1142</v>
      </c>
      <c r="E122" s="132"/>
      <c r="F122" s="4" t="s">
        <v>1666</v>
      </c>
      <c r="G122" s="68">
        <v>407.51499999999999</v>
      </c>
      <c r="H122" s="16">
        <v>0</v>
      </c>
    </row>
    <row r="123" spans="1:8" ht="12.2" customHeight="1" x14ac:dyDescent="0.2">
      <c r="D123" s="157" t="s">
        <v>1807</v>
      </c>
      <c r="E123" s="158"/>
      <c r="F123" s="158"/>
      <c r="G123" s="47">
        <v>407.51499999999999</v>
      </c>
    </row>
    <row r="124" spans="1:8" x14ac:dyDescent="0.2">
      <c r="A124" s="4" t="s">
        <v>53</v>
      </c>
      <c r="B124" s="4"/>
      <c r="C124" s="4" t="s">
        <v>590</v>
      </c>
      <c r="D124" s="131" t="s">
        <v>1143</v>
      </c>
      <c r="E124" s="132"/>
      <c r="F124" s="4" t="s">
        <v>1663</v>
      </c>
      <c r="G124" s="68">
        <v>56.920999999999999</v>
      </c>
      <c r="H124" s="16">
        <v>0</v>
      </c>
    </row>
    <row r="125" spans="1:8" ht="12.2" customHeight="1" x14ac:dyDescent="0.2">
      <c r="D125" s="157" t="s">
        <v>1802</v>
      </c>
      <c r="E125" s="158"/>
      <c r="F125" s="158"/>
      <c r="G125" s="47">
        <v>56.920999999999999</v>
      </c>
    </row>
    <row r="126" spans="1:8" x14ac:dyDescent="0.2">
      <c r="A126" s="4" t="s">
        <v>54</v>
      </c>
      <c r="B126" s="4"/>
      <c r="C126" s="4" t="s">
        <v>591</v>
      </c>
      <c r="D126" s="131" t="s">
        <v>1144</v>
      </c>
      <c r="E126" s="132"/>
      <c r="F126" s="4" t="s">
        <v>1663</v>
      </c>
      <c r="G126" s="68">
        <v>79.632999999999996</v>
      </c>
      <c r="H126" s="16">
        <v>0</v>
      </c>
    </row>
    <row r="127" spans="1:8" ht="12.2" customHeight="1" x14ac:dyDescent="0.2">
      <c r="D127" s="157" t="s">
        <v>1808</v>
      </c>
      <c r="E127" s="158"/>
      <c r="F127" s="158"/>
      <c r="G127" s="47">
        <v>18.192</v>
      </c>
    </row>
    <row r="128" spans="1:8" ht="12.2" customHeight="1" x14ac:dyDescent="0.2">
      <c r="A128" s="4"/>
      <c r="B128" s="4"/>
      <c r="C128" s="4"/>
      <c r="D128" s="157" t="s">
        <v>1809</v>
      </c>
      <c r="E128" s="158"/>
      <c r="F128" s="157"/>
      <c r="G128" s="70">
        <v>11.693</v>
      </c>
      <c r="H128" s="27"/>
    </row>
    <row r="129" spans="1:8" ht="12.2" customHeight="1" x14ac:dyDescent="0.2">
      <c r="A129" s="4"/>
      <c r="B129" s="4"/>
      <c r="C129" s="4"/>
      <c r="D129" s="157" t="s">
        <v>1810</v>
      </c>
      <c r="E129" s="158"/>
      <c r="F129" s="157"/>
      <c r="G129" s="70">
        <v>6.42</v>
      </c>
      <c r="H129" s="27"/>
    </row>
    <row r="130" spans="1:8" ht="12.2" customHeight="1" x14ac:dyDescent="0.2">
      <c r="A130" s="4"/>
      <c r="B130" s="4"/>
      <c r="C130" s="4"/>
      <c r="D130" s="157" t="s">
        <v>1811</v>
      </c>
      <c r="E130" s="158"/>
      <c r="F130" s="157"/>
      <c r="G130" s="70">
        <v>43.328000000000003</v>
      </c>
      <c r="H130" s="27"/>
    </row>
    <row r="131" spans="1:8" x14ac:dyDescent="0.2">
      <c r="A131" s="4" t="s">
        <v>55</v>
      </c>
      <c r="B131" s="4"/>
      <c r="C131" s="4" t="s">
        <v>592</v>
      </c>
      <c r="D131" s="131" t="s">
        <v>1145</v>
      </c>
      <c r="E131" s="132"/>
      <c r="F131" s="4" t="s">
        <v>1663</v>
      </c>
      <c r="G131" s="68">
        <v>48.546999999999997</v>
      </c>
      <c r="H131" s="16">
        <v>0</v>
      </c>
    </row>
    <row r="132" spans="1:8" ht="12.2" customHeight="1" x14ac:dyDescent="0.2">
      <c r="D132" s="157" t="s">
        <v>1812</v>
      </c>
      <c r="E132" s="158"/>
      <c r="F132" s="158"/>
      <c r="G132" s="47">
        <v>9.8539999999999992</v>
      </c>
    </row>
    <row r="133" spans="1:8" ht="12.2" customHeight="1" x14ac:dyDescent="0.2">
      <c r="A133" s="4"/>
      <c r="B133" s="4"/>
      <c r="C133" s="4"/>
      <c r="D133" s="157" t="s">
        <v>1813</v>
      </c>
      <c r="E133" s="158"/>
      <c r="F133" s="157"/>
      <c r="G133" s="70">
        <v>6.3339999999999996</v>
      </c>
      <c r="H133" s="27"/>
    </row>
    <row r="134" spans="1:8" ht="12.2" customHeight="1" x14ac:dyDescent="0.2">
      <c r="A134" s="4"/>
      <c r="B134" s="4"/>
      <c r="C134" s="4"/>
      <c r="D134" s="157" t="s">
        <v>1814</v>
      </c>
      <c r="E134" s="158"/>
      <c r="F134" s="157"/>
      <c r="G134" s="70">
        <v>8.3450000000000006</v>
      </c>
      <c r="H134" s="27"/>
    </row>
    <row r="135" spans="1:8" ht="12.2" customHeight="1" x14ac:dyDescent="0.2">
      <c r="A135" s="4"/>
      <c r="B135" s="4"/>
      <c r="C135" s="4"/>
      <c r="D135" s="157" t="s">
        <v>1815</v>
      </c>
      <c r="E135" s="158"/>
      <c r="F135" s="157"/>
      <c r="G135" s="70">
        <v>24.013999999999999</v>
      </c>
      <c r="H135" s="27"/>
    </row>
    <row r="136" spans="1:8" x14ac:dyDescent="0.2">
      <c r="A136" s="4" t="s">
        <v>56</v>
      </c>
      <c r="B136" s="4"/>
      <c r="C136" s="4" t="s">
        <v>593</v>
      </c>
      <c r="D136" s="131" t="s">
        <v>1146</v>
      </c>
      <c r="E136" s="132"/>
      <c r="F136" s="4" t="s">
        <v>1663</v>
      </c>
      <c r="G136" s="68">
        <v>563.66700000000003</v>
      </c>
      <c r="H136" s="16">
        <v>0</v>
      </c>
    </row>
    <row r="137" spans="1:8" ht="12.2" customHeight="1" x14ac:dyDescent="0.2">
      <c r="D137" s="157" t="s">
        <v>1797</v>
      </c>
      <c r="E137" s="158"/>
      <c r="F137" s="158"/>
      <c r="G137" s="47">
        <v>269</v>
      </c>
    </row>
    <row r="138" spans="1:8" ht="12.2" customHeight="1" x14ac:dyDescent="0.2">
      <c r="A138" s="4"/>
      <c r="B138" s="4"/>
      <c r="C138" s="4"/>
      <c r="D138" s="157" t="s">
        <v>1798</v>
      </c>
      <c r="E138" s="158"/>
      <c r="F138" s="157"/>
      <c r="G138" s="70">
        <v>46.593000000000004</v>
      </c>
      <c r="H138" s="27"/>
    </row>
    <row r="139" spans="1:8" ht="12.2" customHeight="1" x14ac:dyDescent="0.2">
      <c r="A139" s="4"/>
      <c r="B139" s="4"/>
      <c r="C139" s="4"/>
      <c r="D139" s="157" t="s">
        <v>1799</v>
      </c>
      <c r="E139" s="158"/>
      <c r="F139" s="157"/>
      <c r="G139" s="70">
        <v>301.59399999999999</v>
      </c>
      <c r="H139" s="27"/>
    </row>
    <row r="140" spans="1:8" ht="12.2" customHeight="1" x14ac:dyDescent="0.2">
      <c r="A140" s="4"/>
      <c r="B140" s="4"/>
      <c r="C140" s="4"/>
      <c r="D140" s="157" t="s">
        <v>1800</v>
      </c>
      <c r="E140" s="158"/>
      <c r="F140" s="157"/>
      <c r="G140" s="70">
        <v>-53.52</v>
      </c>
      <c r="H140" s="27"/>
    </row>
    <row r="141" spans="1:8" x14ac:dyDescent="0.2">
      <c r="A141" s="4" t="s">
        <v>57</v>
      </c>
      <c r="B141" s="4"/>
      <c r="C141" s="4" t="s">
        <v>593</v>
      </c>
      <c r="D141" s="131" t="s">
        <v>1147</v>
      </c>
      <c r="E141" s="132"/>
      <c r="F141" s="4" t="s">
        <v>1663</v>
      </c>
      <c r="G141" s="68">
        <v>80.691999999999993</v>
      </c>
      <c r="H141" s="16">
        <v>0</v>
      </c>
    </row>
    <row r="142" spans="1:8" ht="12.2" customHeight="1" x14ac:dyDescent="0.2">
      <c r="D142" s="157" t="s">
        <v>1801</v>
      </c>
      <c r="E142" s="158"/>
      <c r="F142" s="158"/>
      <c r="G142" s="47">
        <v>80.691999999999993</v>
      </c>
    </row>
    <row r="143" spans="1:8" x14ac:dyDescent="0.2">
      <c r="A143" s="4" t="s">
        <v>58</v>
      </c>
      <c r="B143" s="4"/>
      <c r="C143" s="4" t="s">
        <v>594</v>
      </c>
      <c r="D143" s="131" t="s">
        <v>1148</v>
      </c>
      <c r="E143" s="132"/>
      <c r="F143" s="4" t="s">
        <v>1663</v>
      </c>
      <c r="G143" s="68">
        <v>44.462000000000003</v>
      </c>
      <c r="H143" s="16">
        <v>0</v>
      </c>
    </row>
    <row r="144" spans="1:8" ht="12.2" customHeight="1" x14ac:dyDescent="0.2">
      <c r="D144" s="157" t="s">
        <v>1796</v>
      </c>
      <c r="E144" s="158"/>
      <c r="F144" s="158"/>
      <c r="G144" s="47">
        <v>44.462000000000003</v>
      </c>
    </row>
    <row r="145" spans="1:8" x14ac:dyDescent="0.2">
      <c r="A145" s="4" t="s">
        <v>59</v>
      </c>
      <c r="B145" s="4"/>
      <c r="C145" s="4" t="s">
        <v>595</v>
      </c>
      <c r="D145" s="131" t="s">
        <v>1149</v>
      </c>
      <c r="E145" s="132"/>
      <c r="F145" s="4" t="s">
        <v>1663</v>
      </c>
      <c r="G145" s="68">
        <v>4.0890000000000004</v>
      </c>
      <c r="H145" s="16">
        <v>0</v>
      </c>
    </row>
    <row r="146" spans="1:8" ht="12.2" customHeight="1" x14ac:dyDescent="0.2">
      <c r="D146" s="157" t="s">
        <v>1816</v>
      </c>
      <c r="E146" s="158"/>
      <c r="F146" s="158"/>
      <c r="G146" s="47">
        <v>4.0890000000000004</v>
      </c>
    </row>
    <row r="147" spans="1:8" x14ac:dyDescent="0.2">
      <c r="A147" s="4" t="s">
        <v>60</v>
      </c>
      <c r="B147" s="4"/>
      <c r="C147" s="4" t="s">
        <v>596</v>
      </c>
      <c r="D147" s="131" t="s">
        <v>1150</v>
      </c>
      <c r="E147" s="132"/>
      <c r="F147" s="4" t="s">
        <v>1666</v>
      </c>
      <c r="G147" s="68">
        <v>206.55500000000001</v>
      </c>
      <c r="H147" s="16">
        <v>0</v>
      </c>
    </row>
    <row r="148" spans="1:8" ht="12.2" customHeight="1" x14ac:dyDescent="0.2">
      <c r="D148" s="157" t="s">
        <v>1817</v>
      </c>
      <c r="E148" s="158"/>
      <c r="F148" s="158"/>
      <c r="G148" s="47">
        <v>57.3</v>
      </c>
    </row>
    <row r="149" spans="1:8" ht="12.2" customHeight="1" x14ac:dyDescent="0.2">
      <c r="A149" s="4"/>
      <c r="B149" s="4"/>
      <c r="C149" s="4"/>
      <c r="D149" s="157" t="s">
        <v>1818</v>
      </c>
      <c r="E149" s="158"/>
      <c r="F149" s="157"/>
      <c r="G149" s="70">
        <v>149.255</v>
      </c>
      <c r="H149" s="27"/>
    </row>
    <row r="150" spans="1:8" x14ac:dyDescent="0.2">
      <c r="A150" s="4" t="s">
        <v>61</v>
      </c>
      <c r="B150" s="4"/>
      <c r="C150" s="4" t="s">
        <v>597</v>
      </c>
      <c r="D150" s="131" t="s">
        <v>1151</v>
      </c>
      <c r="E150" s="132"/>
      <c r="F150" s="4" t="s">
        <v>1666</v>
      </c>
      <c r="G150" s="68">
        <v>206.55500000000001</v>
      </c>
      <c r="H150" s="16">
        <v>0</v>
      </c>
    </row>
    <row r="151" spans="1:8" ht="12.2" customHeight="1" x14ac:dyDescent="0.2">
      <c r="D151" s="157" t="s">
        <v>1817</v>
      </c>
      <c r="E151" s="158"/>
      <c r="F151" s="158"/>
      <c r="G151" s="47">
        <v>57.3</v>
      </c>
    </row>
    <row r="152" spans="1:8" ht="12.2" customHeight="1" x14ac:dyDescent="0.2">
      <c r="A152" s="4"/>
      <c r="B152" s="4"/>
      <c r="C152" s="4"/>
      <c r="D152" s="157" t="s">
        <v>1818</v>
      </c>
      <c r="E152" s="158"/>
      <c r="F152" s="157"/>
      <c r="G152" s="70">
        <v>149.255</v>
      </c>
      <c r="H152" s="27"/>
    </row>
    <row r="153" spans="1:8" x14ac:dyDescent="0.2">
      <c r="A153" s="4" t="s">
        <v>62</v>
      </c>
      <c r="B153" s="4"/>
      <c r="C153" s="4" t="s">
        <v>598</v>
      </c>
      <c r="D153" s="131" t="s">
        <v>1152</v>
      </c>
      <c r="E153" s="132"/>
      <c r="F153" s="4" t="s">
        <v>1665</v>
      </c>
      <c r="G153" s="68">
        <v>4980</v>
      </c>
      <c r="H153" s="16">
        <v>0</v>
      </c>
    </row>
    <row r="154" spans="1:8" ht="12.2" customHeight="1" x14ac:dyDescent="0.2">
      <c r="D154" s="157" t="s">
        <v>1819</v>
      </c>
      <c r="E154" s="158"/>
      <c r="F154" s="158"/>
      <c r="G154" s="47">
        <v>4980</v>
      </c>
    </row>
    <row r="155" spans="1:8" x14ac:dyDescent="0.2">
      <c r="A155" s="4" t="s">
        <v>63</v>
      </c>
      <c r="B155" s="4"/>
      <c r="C155" s="4" t="s">
        <v>599</v>
      </c>
      <c r="D155" s="131" t="s">
        <v>1153</v>
      </c>
      <c r="E155" s="132"/>
      <c r="F155" s="4" t="s">
        <v>1663</v>
      </c>
      <c r="G155" s="68">
        <v>829.46400000000006</v>
      </c>
      <c r="H155" s="16">
        <v>0</v>
      </c>
    </row>
    <row r="156" spans="1:8" ht="12.2" customHeight="1" x14ac:dyDescent="0.2">
      <c r="D156" s="157" t="s">
        <v>1820</v>
      </c>
      <c r="E156" s="158"/>
      <c r="F156" s="158"/>
      <c r="G156" s="47">
        <v>829.46400000000006</v>
      </c>
    </row>
    <row r="157" spans="1:8" x14ac:dyDescent="0.2">
      <c r="A157" s="4" t="s">
        <v>64</v>
      </c>
      <c r="B157" s="4"/>
      <c r="C157" s="4" t="s">
        <v>600</v>
      </c>
      <c r="D157" s="131" t="s">
        <v>1154</v>
      </c>
      <c r="E157" s="132"/>
      <c r="F157" s="4" t="s">
        <v>1666</v>
      </c>
      <c r="G157" s="68">
        <v>385.13499999999999</v>
      </c>
      <c r="H157" s="16">
        <v>0</v>
      </c>
    </row>
    <row r="158" spans="1:8" ht="12.2" customHeight="1" x14ac:dyDescent="0.2">
      <c r="D158" s="157" t="s">
        <v>1821</v>
      </c>
      <c r="E158" s="158"/>
      <c r="F158" s="158"/>
      <c r="G158" s="47">
        <v>165.62</v>
      </c>
    </row>
    <row r="159" spans="1:8" ht="12.2" customHeight="1" x14ac:dyDescent="0.2">
      <c r="A159" s="4"/>
      <c r="B159" s="4"/>
      <c r="C159" s="4"/>
      <c r="D159" s="157" t="s">
        <v>1822</v>
      </c>
      <c r="E159" s="158"/>
      <c r="F159" s="157"/>
      <c r="G159" s="70">
        <v>219.51499999999999</v>
      </c>
      <c r="H159" s="27"/>
    </row>
    <row r="160" spans="1:8" x14ac:dyDescent="0.2">
      <c r="A160" s="4" t="s">
        <v>65</v>
      </c>
      <c r="B160" s="4"/>
      <c r="C160" s="4" t="s">
        <v>601</v>
      </c>
      <c r="D160" s="131" t="s">
        <v>1155</v>
      </c>
      <c r="E160" s="132"/>
      <c r="F160" s="4" t="s">
        <v>1666</v>
      </c>
      <c r="G160" s="68">
        <v>206.55500000000001</v>
      </c>
      <c r="H160" s="16">
        <v>0</v>
      </c>
    </row>
    <row r="161" spans="1:8" ht="12.2" customHeight="1" x14ac:dyDescent="0.2">
      <c r="D161" s="157" t="s">
        <v>1823</v>
      </c>
      <c r="E161" s="158"/>
      <c r="F161" s="158"/>
      <c r="G161" s="47">
        <v>206.55500000000001</v>
      </c>
    </row>
    <row r="162" spans="1:8" x14ac:dyDescent="0.2">
      <c r="A162" s="4" t="s">
        <v>66</v>
      </c>
      <c r="B162" s="4"/>
      <c r="C162" s="4" t="s">
        <v>602</v>
      </c>
      <c r="D162" s="131" t="s">
        <v>1156</v>
      </c>
      <c r="E162" s="132"/>
      <c r="F162" s="4" t="s">
        <v>1666</v>
      </c>
      <c r="G162" s="68">
        <v>73</v>
      </c>
      <c r="H162" s="16">
        <v>0</v>
      </c>
    </row>
    <row r="163" spans="1:8" ht="12.2" customHeight="1" x14ac:dyDescent="0.2">
      <c r="D163" s="157" t="s">
        <v>1824</v>
      </c>
      <c r="E163" s="158"/>
      <c r="F163" s="158"/>
      <c r="G163" s="47">
        <v>73</v>
      </c>
    </row>
    <row r="164" spans="1:8" x14ac:dyDescent="0.2">
      <c r="A164" s="4" t="s">
        <v>67</v>
      </c>
      <c r="B164" s="4"/>
      <c r="C164" s="4" t="s">
        <v>603</v>
      </c>
      <c r="D164" s="131" t="s">
        <v>1157</v>
      </c>
      <c r="E164" s="132"/>
      <c r="F164" s="4" t="s">
        <v>1663</v>
      </c>
      <c r="G164" s="68">
        <v>745.74199999999996</v>
      </c>
      <c r="H164" s="16">
        <v>0</v>
      </c>
    </row>
    <row r="165" spans="1:8" ht="12.2" customHeight="1" x14ac:dyDescent="0.2">
      <c r="D165" s="157" t="s">
        <v>1825</v>
      </c>
      <c r="E165" s="158"/>
      <c r="F165" s="158"/>
      <c r="G165" s="47">
        <v>745.74199999999996</v>
      </c>
    </row>
    <row r="166" spans="1:8" x14ac:dyDescent="0.2">
      <c r="A166" s="4" t="s">
        <v>68</v>
      </c>
      <c r="B166" s="4"/>
      <c r="C166" s="4" t="s">
        <v>604</v>
      </c>
      <c r="D166" s="131" t="s">
        <v>1158</v>
      </c>
      <c r="E166" s="132"/>
      <c r="F166" s="4" t="s">
        <v>1663</v>
      </c>
      <c r="G166" s="68">
        <v>745.74199999999996</v>
      </c>
      <c r="H166" s="16">
        <v>0</v>
      </c>
    </row>
    <row r="167" spans="1:8" ht="12.2" customHeight="1" x14ac:dyDescent="0.2">
      <c r="D167" s="157" t="s">
        <v>1825</v>
      </c>
      <c r="E167" s="158"/>
      <c r="F167" s="158"/>
      <c r="G167" s="47">
        <v>745.74199999999996</v>
      </c>
    </row>
    <row r="168" spans="1:8" x14ac:dyDescent="0.2">
      <c r="A168" s="4" t="s">
        <v>69</v>
      </c>
      <c r="B168" s="4"/>
      <c r="C168" s="4" t="s">
        <v>605</v>
      </c>
      <c r="D168" s="131" t="s">
        <v>1159</v>
      </c>
      <c r="E168" s="132"/>
      <c r="F168" s="4" t="s">
        <v>1663</v>
      </c>
      <c r="G168" s="68">
        <v>223.72300000000001</v>
      </c>
      <c r="H168" s="16">
        <v>0</v>
      </c>
    </row>
    <row r="169" spans="1:8" ht="12.2" customHeight="1" x14ac:dyDescent="0.2">
      <c r="D169" s="157" t="s">
        <v>1826</v>
      </c>
      <c r="E169" s="158"/>
      <c r="F169" s="158"/>
      <c r="G169" s="47">
        <v>223.72300000000001</v>
      </c>
    </row>
    <row r="170" spans="1:8" x14ac:dyDescent="0.2">
      <c r="A170" s="4" t="s">
        <v>70</v>
      </c>
      <c r="B170" s="4"/>
      <c r="C170" s="4" t="s">
        <v>606</v>
      </c>
      <c r="D170" s="131" t="s">
        <v>1160</v>
      </c>
      <c r="E170" s="132"/>
      <c r="F170" s="4" t="s">
        <v>1663</v>
      </c>
      <c r="G170" s="68">
        <v>137.76400000000001</v>
      </c>
      <c r="H170" s="16">
        <v>0</v>
      </c>
    </row>
    <row r="171" spans="1:8" ht="12.2" customHeight="1" x14ac:dyDescent="0.2">
      <c r="D171" s="157" t="s">
        <v>1827</v>
      </c>
      <c r="E171" s="158"/>
      <c r="F171" s="158"/>
      <c r="G171" s="47">
        <v>137.76400000000001</v>
      </c>
    </row>
    <row r="172" spans="1:8" x14ac:dyDescent="0.2">
      <c r="A172" s="13"/>
      <c r="B172" s="13"/>
      <c r="C172" s="13" t="s">
        <v>70</v>
      </c>
      <c r="D172" s="136" t="s">
        <v>1161</v>
      </c>
      <c r="E172" s="137"/>
      <c r="F172" s="13"/>
      <c r="G172" s="69"/>
      <c r="H172" s="28"/>
    </row>
    <row r="173" spans="1:8" x14ac:dyDescent="0.2">
      <c r="A173" s="4" t="s">
        <v>71</v>
      </c>
      <c r="B173" s="4"/>
      <c r="C173" s="4" t="s">
        <v>607</v>
      </c>
      <c r="D173" s="131" t="s">
        <v>1162</v>
      </c>
      <c r="E173" s="132"/>
      <c r="F173" s="4" t="s">
        <v>1666</v>
      </c>
      <c r="G173" s="68">
        <v>7.2</v>
      </c>
      <c r="H173" s="16">
        <v>0</v>
      </c>
    </row>
    <row r="174" spans="1:8" ht="12.2" customHeight="1" x14ac:dyDescent="0.2">
      <c r="D174" s="157" t="s">
        <v>1828</v>
      </c>
      <c r="E174" s="158"/>
      <c r="F174" s="158"/>
      <c r="G174" s="47">
        <v>7.2</v>
      </c>
    </row>
    <row r="175" spans="1:8" x14ac:dyDescent="0.2">
      <c r="A175" s="4" t="s">
        <v>72</v>
      </c>
      <c r="B175" s="4"/>
      <c r="C175" s="4" t="s">
        <v>608</v>
      </c>
      <c r="D175" s="131" t="s">
        <v>1163</v>
      </c>
      <c r="E175" s="132"/>
      <c r="F175" s="4" t="s">
        <v>1666</v>
      </c>
      <c r="G175" s="68">
        <v>40.799999999999997</v>
      </c>
      <c r="H175" s="16">
        <v>0</v>
      </c>
    </row>
    <row r="176" spans="1:8" ht="12.2" customHeight="1" x14ac:dyDescent="0.2">
      <c r="D176" s="157" t="s">
        <v>1829</v>
      </c>
      <c r="E176" s="158"/>
      <c r="F176" s="158"/>
      <c r="G176" s="47">
        <v>40.799999999999997</v>
      </c>
    </row>
    <row r="177" spans="1:8" x14ac:dyDescent="0.2">
      <c r="A177" s="13"/>
      <c r="B177" s="13"/>
      <c r="C177" s="13" t="s">
        <v>96</v>
      </c>
      <c r="D177" s="136" t="s">
        <v>1164</v>
      </c>
      <c r="E177" s="137"/>
      <c r="F177" s="13"/>
      <c r="G177" s="69"/>
      <c r="H177" s="28"/>
    </row>
    <row r="178" spans="1:8" x14ac:dyDescent="0.2">
      <c r="A178" s="4" t="s">
        <v>73</v>
      </c>
      <c r="B178" s="4"/>
      <c r="C178" s="4" t="s">
        <v>609</v>
      </c>
      <c r="D178" s="131" t="s">
        <v>1165</v>
      </c>
      <c r="E178" s="132"/>
      <c r="F178" s="4" t="s">
        <v>1667</v>
      </c>
      <c r="G178" s="68">
        <v>180</v>
      </c>
      <c r="H178" s="16">
        <v>0</v>
      </c>
    </row>
    <row r="179" spans="1:8" ht="12.2" customHeight="1" x14ac:dyDescent="0.2">
      <c r="D179" s="157" t="s">
        <v>1830</v>
      </c>
      <c r="E179" s="158"/>
      <c r="F179" s="158"/>
      <c r="G179" s="47">
        <v>180</v>
      </c>
    </row>
    <row r="180" spans="1:8" x14ac:dyDescent="0.2">
      <c r="A180" s="13"/>
      <c r="B180" s="13"/>
      <c r="C180" s="13" t="s">
        <v>100</v>
      </c>
      <c r="D180" s="136" t="s">
        <v>1166</v>
      </c>
      <c r="E180" s="137"/>
      <c r="F180" s="13"/>
      <c r="G180" s="69"/>
      <c r="H180" s="28"/>
    </row>
    <row r="181" spans="1:8" x14ac:dyDescent="0.2">
      <c r="A181" s="4" t="s">
        <v>74</v>
      </c>
      <c r="B181" s="4"/>
      <c r="C181" s="4" t="s">
        <v>610</v>
      </c>
      <c r="D181" s="131" t="s">
        <v>1167</v>
      </c>
      <c r="E181" s="132"/>
      <c r="F181" s="4" t="s">
        <v>1663</v>
      </c>
      <c r="G181" s="68">
        <v>1125.787</v>
      </c>
      <c r="H181" s="16">
        <v>0</v>
      </c>
    </row>
    <row r="182" spans="1:8" ht="12.2" customHeight="1" x14ac:dyDescent="0.2">
      <c r="D182" s="157" t="s">
        <v>1831</v>
      </c>
      <c r="E182" s="158"/>
      <c r="F182" s="158"/>
      <c r="G182" s="47">
        <v>558.59199999999998</v>
      </c>
    </row>
    <row r="183" spans="1:8" ht="12.2" customHeight="1" x14ac:dyDescent="0.2">
      <c r="A183" s="4"/>
      <c r="B183" s="4"/>
      <c r="C183" s="4"/>
      <c r="D183" s="157" t="s">
        <v>1832</v>
      </c>
      <c r="E183" s="158"/>
      <c r="F183" s="157"/>
      <c r="G183" s="70">
        <v>567.19500000000005</v>
      </c>
      <c r="H183" s="27"/>
    </row>
    <row r="184" spans="1:8" x14ac:dyDescent="0.2">
      <c r="A184" s="4" t="s">
        <v>75</v>
      </c>
      <c r="B184" s="4"/>
      <c r="C184" s="4" t="s">
        <v>611</v>
      </c>
      <c r="D184" s="131" t="s">
        <v>1168</v>
      </c>
      <c r="E184" s="132"/>
      <c r="F184" s="4" t="s">
        <v>1663</v>
      </c>
      <c r="G184" s="68">
        <v>3377.3609999999999</v>
      </c>
      <c r="H184" s="16">
        <v>0</v>
      </c>
    </row>
    <row r="185" spans="1:8" ht="12.2" customHeight="1" x14ac:dyDescent="0.2">
      <c r="D185" s="157" t="s">
        <v>1833</v>
      </c>
      <c r="E185" s="158"/>
      <c r="F185" s="158"/>
      <c r="G185" s="47">
        <v>3377.3609999999999</v>
      </c>
    </row>
    <row r="186" spans="1:8" x14ac:dyDescent="0.2">
      <c r="A186" s="4" t="s">
        <v>76</v>
      </c>
      <c r="B186" s="4"/>
      <c r="C186" s="4" t="s">
        <v>612</v>
      </c>
      <c r="D186" s="131" t="s">
        <v>1169</v>
      </c>
      <c r="E186" s="132"/>
      <c r="F186" s="4" t="s">
        <v>1663</v>
      </c>
      <c r="G186" s="68">
        <v>1125.787</v>
      </c>
      <c r="H186" s="16">
        <v>0</v>
      </c>
    </row>
    <row r="187" spans="1:8" ht="12.2" customHeight="1" x14ac:dyDescent="0.2">
      <c r="D187" s="157" t="s">
        <v>1834</v>
      </c>
      <c r="E187" s="158"/>
      <c r="F187" s="158"/>
      <c r="G187" s="47">
        <v>1125.787</v>
      </c>
    </row>
    <row r="188" spans="1:8" x14ac:dyDescent="0.2">
      <c r="A188" s="4" t="s">
        <v>77</v>
      </c>
      <c r="B188" s="4"/>
      <c r="C188" s="4" t="s">
        <v>613</v>
      </c>
      <c r="D188" s="131" t="s">
        <v>1170</v>
      </c>
      <c r="E188" s="132"/>
      <c r="F188" s="4" t="s">
        <v>1663</v>
      </c>
      <c r="G188" s="68">
        <v>500</v>
      </c>
      <c r="H188" s="16">
        <v>0</v>
      </c>
    </row>
    <row r="189" spans="1:8" ht="12.2" customHeight="1" x14ac:dyDescent="0.2">
      <c r="D189" s="157" t="s">
        <v>1835</v>
      </c>
      <c r="E189" s="158"/>
      <c r="F189" s="158"/>
      <c r="G189" s="47">
        <v>500</v>
      </c>
    </row>
    <row r="190" spans="1:8" x14ac:dyDescent="0.2">
      <c r="A190" s="4" t="s">
        <v>78</v>
      </c>
      <c r="B190" s="4"/>
      <c r="C190" s="4" t="s">
        <v>614</v>
      </c>
      <c r="D190" s="131" t="s">
        <v>1171</v>
      </c>
      <c r="E190" s="132"/>
      <c r="F190" s="4" t="s">
        <v>1663</v>
      </c>
      <c r="G190" s="68">
        <v>1125.787</v>
      </c>
      <c r="H190" s="16">
        <v>0</v>
      </c>
    </row>
    <row r="191" spans="1:8" ht="12.2" customHeight="1" x14ac:dyDescent="0.2">
      <c r="D191" s="157" t="s">
        <v>1834</v>
      </c>
      <c r="E191" s="158"/>
      <c r="F191" s="158"/>
      <c r="G191" s="47">
        <v>1125.787</v>
      </c>
    </row>
    <row r="192" spans="1:8" x14ac:dyDescent="0.2">
      <c r="A192" s="4" t="s">
        <v>79</v>
      </c>
      <c r="B192" s="4"/>
      <c r="C192" s="4" t="s">
        <v>615</v>
      </c>
      <c r="D192" s="131" t="s">
        <v>1172</v>
      </c>
      <c r="E192" s="132"/>
      <c r="F192" s="4" t="s">
        <v>1663</v>
      </c>
      <c r="G192" s="68">
        <v>3377.3609999999999</v>
      </c>
      <c r="H192" s="16">
        <v>0</v>
      </c>
    </row>
    <row r="193" spans="1:8" ht="12.2" customHeight="1" x14ac:dyDescent="0.2">
      <c r="D193" s="157" t="s">
        <v>1833</v>
      </c>
      <c r="E193" s="158"/>
      <c r="F193" s="158"/>
      <c r="G193" s="47">
        <v>3377.3609999999999</v>
      </c>
    </row>
    <row r="194" spans="1:8" x14ac:dyDescent="0.2">
      <c r="A194" s="4" t="s">
        <v>80</v>
      </c>
      <c r="B194" s="4"/>
      <c r="C194" s="4" t="s">
        <v>616</v>
      </c>
      <c r="D194" s="131" t="s">
        <v>1173</v>
      </c>
      <c r="E194" s="132"/>
      <c r="F194" s="4" t="s">
        <v>1663</v>
      </c>
      <c r="G194" s="68">
        <v>1125.787</v>
      </c>
      <c r="H194" s="16">
        <v>0</v>
      </c>
    </row>
    <row r="195" spans="1:8" ht="12.2" customHeight="1" x14ac:dyDescent="0.2">
      <c r="D195" s="157" t="s">
        <v>1834</v>
      </c>
      <c r="E195" s="158"/>
      <c r="F195" s="158"/>
      <c r="G195" s="47">
        <v>1125.787</v>
      </c>
    </row>
    <row r="196" spans="1:8" x14ac:dyDescent="0.2">
      <c r="A196" s="4" t="s">
        <v>81</v>
      </c>
      <c r="B196" s="4"/>
      <c r="C196" s="4" t="s">
        <v>617</v>
      </c>
      <c r="D196" s="131" t="s">
        <v>1174</v>
      </c>
      <c r="E196" s="132"/>
      <c r="F196" s="4" t="s">
        <v>1668</v>
      </c>
      <c r="G196" s="68">
        <v>50</v>
      </c>
      <c r="H196" s="16">
        <v>0</v>
      </c>
    </row>
    <row r="197" spans="1:8" x14ac:dyDescent="0.2">
      <c r="A197" s="13"/>
      <c r="B197" s="13"/>
      <c r="C197" s="13" t="s">
        <v>101</v>
      </c>
      <c r="D197" s="136" t="s">
        <v>1175</v>
      </c>
      <c r="E197" s="137"/>
      <c r="F197" s="13"/>
      <c r="G197" s="69"/>
      <c r="H197" s="28"/>
    </row>
    <row r="198" spans="1:8" x14ac:dyDescent="0.2">
      <c r="A198" s="4" t="s">
        <v>82</v>
      </c>
      <c r="B198" s="4"/>
      <c r="C198" s="4" t="s">
        <v>618</v>
      </c>
      <c r="D198" s="131" t="s">
        <v>1176</v>
      </c>
      <c r="E198" s="132"/>
      <c r="F198" s="4" t="s">
        <v>1663</v>
      </c>
      <c r="G198" s="68">
        <v>269.666</v>
      </c>
      <c r="H198" s="16">
        <v>0</v>
      </c>
    </row>
    <row r="199" spans="1:8" ht="12.2" customHeight="1" x14ac:dyDescent="0.2">
      <c r="D199" s="157" t="s">
        <v>1836</v>
      </c>
      <c r="E199" s="158"/>
      <c r="F199" s="158"/>
      <c r="G199" s="47">
        <v>269.666</v>
      </c>
    </row>
    <row r="200" spans="1:8" x14ac:dyDescent="0.2">
      <c r="A200" s="4" t="s">
        <v>83</v>
      </c>
      <c r="B200" s="4"/>
      <c r="C200" s="4" t="s">
        <v>619</v>
      </c>
      <c r="D200" s="131" t="s">
        <v>1177</v>
      </c>
      <c r="E200" s="132"/>
      <c r="F200" s="4" t="s">
        <v>1663</v>
      </c>
      <c r="G200" s="68">
        <v>300</v>
      </c>
      <c r="H200" s="16">
        <v>0</v>
      </c>
    </row>
    <row r="201" spans="1:8" ht="12.2" customHeight="1" x14ac:dyDescent="0.2">
      <c r="D201" s="157" t="s">
        <v>1837</v>
      </c>
      <c r="E201" s="158"/>
      <c r="F201" s="158"/>
      <c r="G201" s="47">
        <v>300</v>
      </c>
    </row>
    <row r="202" spans="1:8" x14ac:dyDescent="0.2">
      <c r="A202" s="4" t="s">
        <v>84</v>
      </c>
      <c r="B202" s="4"/>
      <c r="C202" s="4" t="s">
        <v>620</v>
      </c>
      <c r="D202" s="131" t="s">
        <v>1178</v>
      </c>
      <c r="E202" s="132"/>
      <c r="F202" s="4" t="s">
        <v>1666</v>
      </c>
      <c r="G202" s="68">
        <v>27.6</v>
      </c>
      <c r="H202" s="16">
        <v>0</v>
      </c>
    </row>
    <row r="203" spans="1:8" ht="12.2" customHeight="1" x14ac:dyDescent="0.2">
      <c r="D203" s="157" t="s">
        <v>1838</v>
      </c>
      <c r="E203" s="158"/>
      <c r="F203" s="158"/>
      <c r="G203" s="47">
        <v>27.6</v>
      </c>
    </row>
    <row r="204" spans="1:8" x14ac:dyDescent="0.2">
      <c r="A204" s="4" t="s">
        <v>85</v>
      </c>
      <c r="B204" s="4"/>
      <c r="C204" s="4" t="s">
        <v>621</v>
      </c>
      <c r="D204" s="131" t="s">
        <v>1179</v>
      </c>
      <c r="E204" s="132"/>
      <c r="F204" s="4" t="s">
        <v>1662</v>
      </c>
      <c r="G204" s="68">
        <v>0.25</v>
      </c>
      <c r="H204" s="16">
        <v>0</v>
      </c>
    </row>
    <row r="205" spans="1:8" ht="12.2" customHeight="1" x14ac:dyDescent="0.2">
      <c r="D205" s="157" t="s">
        <v>1839</v>
      </c>
      <c r="E205" s="158"/>
      <c r="F205" s="158"/>
      <c r="G205" s="47">
        <v>0.25</v>
      </c>
    </row>
    <row r="206" spans="1:8" x14ac:dyDescent="0.2">
      <c r="A206" s="4" t="s">
        <v>86</v>
      </c>
      <c r="B206" s="4"/>
      <c r="C206" s="4" t="s">
        <v>622</v>
      </c>
      <c r="D206" s="131" t="s">
        <v>1180</v>
      </c>
      <c r="E206" s="132"/>
      <c r="F206" s="4" t="s">
        <v>1662</v>
      </c>
      <c r="G206" s="68">
        <v>0.25</v>
      </c>
      <c r="H206" s="16">
        <v>0</v>
      </c>
    </row>
    <row r="207" spans="1:8" ht="12.2" customHeight="1" x14ac:dyDescent="0.2">
      <c r="D207" s="157" t="s">
        <v>1839</v>
      </c>
      <c r="E207" s="158"/>
      <c r="F207" s="158"/>
      <c r="G207" s="47">
        <v>0.25</v>
      </c>
    </row>
    <row r="208" spans="1:8" x14ac:dyDescent="0.2">
      <c r="A208" s="4" t="s">
        <v>87</v>
      </c>
      <c r="B208" s="4"/>
      <c r="C208" s="4" t="s">
        <v>623</v>
      </c>
      <c r="D208" s="131" t="s">
        <v>1181</v>
      </c>
      <c r="E208" s="132"/>
      <c r="F208" s="4" t="s">
        <v>1668</v>
      </c>
      <c r="G208" s="68">
        <v>300</v>
      </c>
      <c r="H208" s="16">
        <v>0</v>
      </c>
    </row>
    <row r="209" spans="1:8" ht="12.2" customHeight="1" x14ac:dyDescent="0.2">
      <c r="D209" s="157" t="s">
        <v>1837</v>
      </c>
      <c r="E209" s="158"/>
      <c r="F209" s="158"/>
      <c r="G209" s="47">
        <v>300</v>
      </c>
    </row>
    <row r="210" spans="1:8" x14ac:dyDescent="0.2">
      <c r="A210" s="4" t="s">
        <v>88</v>
      </c>
      <c r="B210" s="4"/>
      <c r="C210" s="4" t="s">
        <v>624</v>
      </c>
      <c r="D210" s="131" t="s">
        <v>1182</v>
      </c>
      <c r="E210" s="132"/>
      <c r="F210" s="4" t="s">
        <v>1665</v>
      </c>
      <c r="G210" s="68">
        <v>6</v>
      </c>
      <c r="H210" s="16">
        <v>0</v>
      </c>
    </row>
    <row r="211" spans="1:8" ht="12.2" customHeight="1" x14ac:dyDescent="0.2">
      <c r="D211" s="157" t="s">
        <v>1840</v>
      </c>
      <c r="E211" s="158"/>
      <c r="F211" s="158"/>
      <c r="G211" s="47">
        <v>6</v>
      </c>
    </row>
    <row r="212" spans="1:8" x14ac:dyDescent="0.2">
      <c r="A212" s="4" t="s">
        <v>89</v>
      </c>
      <c r="B212" s="4"/>
      <c r="C212" s="4" t="s">
        <v>625</v>
      </c>
      <c r="D212" s="131" t="s">
        <v>1183</v>
      </c>
      <c r="E212" s="132"/>
      <c r="F212" s="4" t="s">
        <v>1668</v>
      </c>
      <c r="G212" s="68">
        <v>16</v>
      </c>
      <c r="H212" s="16">
        <v>0</v>
      </c>
    </row>
    <row r="213" spans="1:8" x14ac:dyDescent="0.2">
      <c r="A213" s="4" t="s">
        <v>90</v>
      </c>
      <c r="B213" s="4"/>
      <c r="C213" s="4" t="s">
        <v>626</v>
      </c>
      <c r="D213" s="131" t="s">
        <v>1184</v>
      </c>
      <c r="E213" s="132"/>
      <c r="F213" s="4" t="s">
        <v>1665</v>
      </c>
      <c r="G213" s="68">
        <v>1</v>
      </c>
      <c r="H213" s="16">
        <v>0</v>
      </c>
    </row>
    <row r="214" spans="1:8" ht="12.2" customHeight="1" x14ac:dyDescent="0.2">
      <c r="D214" s="157" t="s">
        <v>1777</v>
      </c>
      <c r="E214" s="158"/>
      <c r="F214" s="158"/>
      <c r="G214" s="47">
        <v>1</v>
      </c>
    </row>
    <row r="215" spans="1:8" x14ac:dyDescent="0.2">
      <c r="A215" s="4" t="s">
        <v>91</v>
      </c>
      <c r="B215" s="4"/>
      <c r="C215" s="4" t="s">
        <v>627</v>
      </c>
      <c r="D215" s="131" t="s">
        <v>1185</v>
      </c>
      <c r="E215" s="132"/>
      <c r="F215" s="4" t="s">
        <v>1665</v>
      </c>
      <c r="G215" s="68">
        <v>2</v>
      </c>
      <c r="H215" s="16">
        <v>0</v>
      </c>
    </row>
    <row r="216" spans="1:8" ht="12.2" customHeight="1" x14ac:dyDescent="0.2">
      <c r="D216" s="157" t="s">
        <v>1841</v>
      </c>
      <c r="E216" s="158"/>
      <c r="F216" s="158"/>
      <c r="G216" s="47">
        <v>2</v>
      </c>
    </row>
    <row r="217" spans="1:8" x14ac:dyDescent="0.2">
      <c r="A217" s="4" t="s">
        <v>92</v>
      </c>
      <c r="B217" s="4"/>
      <c r="C217" s="4" t="s">
        <v>628</v>
      </c>
      <c r="D217" s="131" t="s">
        <v>1186</v>
      </c>
      <c r="E217" s="132"/>
      <c r="F217" s="4" t="s">
        <v>1669</v>
      </c>
      <c r="G217" s="68">
        <v>2</v>
      </c>
      <c r="H217" s="16">
        <v>0</v>
      </c>
    </row>
    <row r="218" spans="1:8" ht="12.2" customHeight="1" x14ac:dyDescent="0.2">
      <c r="D218" s="157" t="s">
        <v>1841</v>
      </c>
      <c r="E218" s="158"/>
      <c r="F218" s="158"/>
      <c r="G218" s="47">
        <v>2</v>
      </c>
    </row>
    <row r="219" spans="1:8" x14ac:dyDescent="0.2">
      <c r="A219" s="4" t="s">
        <v>93</v>
      </c>
      <c r="B219" s="4"/>
      <c r="C219" s="4" t="s">
        <v>629</v>
      </c>
      <c r="D219" s="131" t="s">
        <v>1187</v>
      </c>
      <c r="E219" s="132"/>
      <c r="F219" s="4" t="s">
        <v>1669</v>
      </c>
      <c r="G219" s="68">
        <v>2</v>
      </c>
      <c r="H219" s="16">
        <v>0</v>
      </c>
    </row>
    <row r="220" spans="1:8" ht="12.2" customHeight="1" x14ac:dyDescent="0.2">
      <c r="D220" s="157" t="s">
        <v>1841</v>
      </c>
      <c r="E220" s="158"/>
      <c r="F220" s="158"/>
      <c r="G220" s="47">
        <v>2</v>
      </c>
    </row>
    <row r="221" spans="1:8" x14ac:dyDescent="0.2">
      <c r="A221" s="13"/>
      <c r="B221" s="13"/>
      <c r="C221" s="13" t="s">
        <v>102</v>
      </c>
      <c r="D221" s="136" t="s">
        <v>1188</v>
      </c>
      <c r="E221" s="137"/>
      <c r="F221" s="13"/>
      <c r="G221" s="69"/>
      <c r="H221" s="28"/>
    </row>
    <row r="222" spans="1:8" x14ac:dyDescent="0.2">
      <c r="A222" s="4" t="s">
        <v>94</v>
      </c>
      <c r="B222" s="4"/>
      <c r="C222" s="4" t="s">
        <v>630</v>
      </c>
      <c r="D222" s="131" t="s">
        <v>1189</v>
      </c>
      <c r="E222" s="132"/>
      <c r="F222" s="4" t="s">
        <v>1662</v>
      </c>
      <c r="G222" s="68">
        <v>3.6819999999999999</v>
      </c>
      <c r="H222" s="16">
        <v>0</v>
      </c>
    </row>
    <row r="223" spans="1:8" ht="12.2" customHeight="1" x14ac:dyDescent="0.2">
      <c r="D223" s="157" t="s">
        <v>1842</v>
      </c>
      <c r="E223" s="158"/>
      <c r="F223" s="158"/>
      <c r="G223" s="47">
        <v>3.6819999999999999</v>
      </c>
    </row>
    <row r="224" spans="1:8" x14ac:dyDescent="0.2">
      <c r="A224" s="4" t="s">
        <v>95</v>
      </c>
      <c r="B224" s="4"/>
      <c r="C224" s="4" t="s">
        <v>631</v>
      </c>
      <c r="D224" s="131" t="s">
        <v>1190</v>
      </c>
      <c r="E224" s="132"/>
      <c r="F224" s="4" t="s">
        <v>1663</v>
      </c>
      <c r="G224" s="68">
        <v>151.625</v>
      </c>
      <c r="H224" s="16">
        <v>0</v>
      </c>
    </row>
    <row r="225" spans="1:8" ht="12.2" customHeight="1" x14ac:dyDescent="0.2">
      <c r="D225" s="157" t="s">
        <v>1843</v>
      </c>
      <c r="E225" s="158"/>
      <c r="F225" s="158"/>
      <c r="G225" s="47">
        <v>151.625</v>
      </c>
    </row>
    <row r="226" spans="1:8" x14ac:dyDescent="0.2">
      <c r="A226" s="4" t="s">
        <v>96</v>
      </c>
      <c r="B226" s="4"/>
      <c r="C226" s="4" t="s">
        <v>632</v>
      </c>
      <c r="D226" s="131" t="s">
        <v>1191</v>
      </c>
      <c r="E226" s="132"/>
      <c r="F226" s="4" t="s">
        <v>1664</v>
      </c>
      <c r="G226" s="68">
        <v>0.70599999999999996</v>
      </c>
      <c r="H226" s="16">
        <v>0</v>
      </c>
    </row>
    <row r="227" spans="1:8" ht="12.2" customHeight="1" x14ac:dyDescent="0.2">
      <c r="D227" s="157" t="s">
        <v>1844</v>
      </c>
      <c r="E227" s="158"/>
      <c r="F227" s="158"/>
      <c r="G227" s="47">
        <v>0.70599999999999996</v>
      </c>
    </row>
    <row r="228" spans="1:8" x14ac:dyDescent="0.2">
      <c r="A228" s="4" t="s">
        <v>97</v>
      </c>
      <c r="B228" s="4"/>
      <c r="C228" s="4" t="s">
        <v>633</v>
      </c>
      <c r="D228" s="131" t="s">
        <v>1192</v>
      </c>
      <c r="E228" s="132"/>
      <c r="F228" s="4" t="s">
        <v>1662</v>
      </c>
      <c r="G228" s="68">
        <v>20</v>
      </c>
      <c r="H228" s="16">
        <v>0</v>
      </c>
    </row>
    <row r="229" spans="1:8" ht="12.2" customHeight="1" x14ac:dyDescent="0.2">
      <c r="D229" s="157" t="s">
        <v>1845</v>
      </c>
      <c r="E229" s="158"/>
      <c r="F229" s="158"/>
      <c r="G229" s="47">
        <v>20</v>
      </c>
    </row>
    <row r="230" spans="1:8" x14ac:dyDescent="0.2">
      <c r="A230" s="4" t="s">
        <v>98</v>
      </c>
      <c r="B230" s="4"/>
      <c r="C230" s="4" t="s">
        <v>634</v>
      </c>
      <c r="D230" s="131" t="s">
        <v>1193</v>
      </c>
      <c r="E230" s="132"/>
      <c r="F230" s="4" t="s">
        <v>1662</v>
      </c>
      <c r="G230" s="68">
        <v>20</v>
      </c>
      <c r="H230" s="16">
        <v>0</v>
      </c>
    </row>
    <row r="231" spans="1:8" ht="12.2" customHeight="1" x14ac:dyDescent="0.2">
      <c r="D231" s="157" t="s">
        <v>1845</v>
      </c>
      <c r="E231" s="158"/>
      <c r="F231" s="158"/>
      <c r="G231" s="47">
        <v>20</v>
      </c>
    </row>
    <row r="232" spans="1:8" x14ac:dyDescent="0.2">
      <c r="A232" s="4" t="s">
        <v>99</v>
      </c>
      <c r="B232" s="4"/>
      <c r="C232" s="4" t="s">
        <v>635</v>
      </c>
      <c r="D232" s="131" t="s">
        <v>1194</v>
      </c>
      <c r="E232" s="132"/>
      <c r="F232" s="4" t="s">
        <v>1663</v>
      </c>
      <c r="G232" s="68">
        <v>70</v>
      </c>
      <c r="H232" s="16">
        <v>0</v>
      </c>
    </row>
    <row r="233" spans="1:8" ht="12.2" customHeight="1" x14ac:dyDescent="0.2">
      <c r="D233" s="157" t="s">
        <v>1783</v>
      </c>
      <c r="E233" s="158"/>
      <c r="F233" s="158"/>
      <c r="G233" s="47">
        <v>70</v>
      </c>
    </row>
    <row r="234" spans="1:8" x14ac:dyDescent="0.2">
      <c r="A234" s="4" t="s">
        <v>100</v>
      </c>
      <c r="B234" s="4"/>
      <c r="C234" s="4" t="s">
        <v>636</v>
      </c>
      <c r="D234" s="131" t="s">
        <v>1195</v>
      </c>
      <c r="E234" s="132"/>
      <c r="F234" s="4" t="s">
        <v>1665</v>
      </c>
      <c r="G234" s="68">
        <v>1</v>
      </c>
      <c r="H234" s="16">
        <v>0</v>
      </c>
    </row>
    <row r="235" spans="1:8" ht="12.2" customHeight="1" x14ac:dyDescent="0.2">
      <c r="D235" s="157" t="s">
        <v>1777</v>
      </c>
      <c r="E235" s="158"/>
      <c r="F235" s="158"/>
      <c r="G235" s="47">
        <v>1</v>
      </c>
    </row>
    <row r="236" spans="1:8" x14ac:dyDescent="0.2">
      <c r="A236" s="4" t="s">
        <v>101</v>
      </c>
      <c r="B236" s="4"/>
      <c r="C236" s="4" t="s">
        <v>637</v>
      </c>
      <c r="D236" s="131" t="s">
        <v>1196</v>
      </c>
      <c r="E236" s="132"/>
      <c r="F236" s="4" t="s">
        <v>1665</v>
      </c>
      <c r="G236" s="68">
        <v>2</v>
      </c>
      <c r="H236" s="16">
        <v>0</v>
      </c>
    </row>
    <row r="237" spans="1:8" ht="12.2" customHeight="1" x14ac:dyDescent="0.2">
      <c r="D237" s="157" t="s">
        <v>1846</v>
      </c>
      <c r="E237" s="158"/>
      <c r="F237" s="158"/>
      <c r="G237" s="47">
        <v>2</v>
      </c>
    </row>
    <row r="238" spans="1:8" x14ac:dyDescent="0.2">
      <c r="A238" s="4" t="s">
        <v>102</v>
      </c>
      <c r="B238" s="4"/>
      <c r="C238" s="4" t="s">
        <v>638</v>
      </c>
      <c r="D238" s="131" t="s">
        <v>1197</v>
      </c>
      <c r="E238" s="132"/>
      <c r="F238" s="4" t="s">
        <v>1665</v>
      </c>
      <c r="G238" s="68">
        <v>1</v>
      </c>
      <c r="H238" s="16">
        <v>0</v>
      </c>
    </row>
    <row r="239" spans="1:8" ht="12.2" customHeight="1" x14ac:dyDescent="0.2">
      <c r="D239" s="157" t="s">
        <v>1777</v>
      </c>
      <c r="E239" s="158"/>
      <c r="F239" s="158"/>
      <c r="G239" s="47">
        <v>1</v>
      </c>
    </row>
    <row r="240" spans="1:8" x14ac:dyDescent="0.2">
      <c r="A240" s="4" t="s">
        <v>103</v>
      </c>
      <c r="B240" s="4"/>
      <c r="C240" s="4" t="s">
        <v>639</v>
      </c>
      <c r="D240" s="131" t="s">
        <v>1198</v>
      </c>
      <c r="E240" s="132"/>
      <c r="F240" s="4" t="s">
        <v>1663</v>
      </c>
      <c r="G240" s="68">
        <v>14.728999999999999</v>
      </c>
      <c r="H240" s="16">
        <v>0</v>
      </c>
    </row>
    <row r="241" spans="1:8" ht="12.2" customHeight="1" x14ac:dyDescent="0.2">
      <c r="D241" s="157" t="s">
        <v>1794</v>
      </c>
      <c r="E241" s="158"/>
      <c r="F241" s="158"/>
      <c r="G241" s="47">
        <v>14.728999999999999</v>
      </c>
    </row>
    <row r="242" spans="1:8" x14ac:dyDescent="0.2">
      <c r="A242" s="4" t="s">
        <v>104</v>
      </c>
      <c r="B242" s="4"/>
      <c r="C242" s="4" t="s">
        <v>640</v>
      </c>
      <c r="D242" s="131" t="s">
        <v>1199</v>
      </c>
      <c r="E242" s="132"/>
      <c r="F242" s="4" t="s">
        <v>1663</v>
      </c>
      <c r="G242" s="68">
        <v>56.920999999999999</v>
      </c>
      <c r="H242" s="16">
        <v>0</v>
      </c>
    </row>
    <row r="243" spans="1:8" ht="12.2" customHeight="1" x14ac:dyDescent="0.2">
      <c r="D243" s="157" t="s">
        <v>1802</v>
      </c>
      <c r="E243" s="158"/>
      <c r="F243" s="158"/>
      <c r="G243" s="47">
        <v>56.920999999999999</v>
      </c>
    </row>
    <row r="244" spans="1:8" x14ac:dyDescent="0.2">
      <c r="A244" s="4" t="s">
        <v>105</v>
      </c>
      <c r="B244" s="4"/>
      <c r="C244" s="4" t="s">
        <v>641</v>
      </c>
      <c r="D244" s="131" t="s">
        <v>1200</v>
      </c>
      <c r="E244" s="132"/>
      <c r="F244" s="4" t="s">
        <v>1665</v>
      </c>
      <c r="G244" s="68">
        <v>137</v>
      </c>
      <c r="H244" s="16">
        <v>0</v>
      </c>
    </row>
    <row r="245" spans="1:8" ht="12.2" customHeight="1" x14ac:dyDescent="0.2">
      <c r="D245" s="157" t="s">
        <v>1847</v>
      </c>
      <c r="E245" s="158"/>
      <c r="F245" s="158"/>
      <c r="G245" s="47">
        <v>137</v>
      </c>
    </row>
    <row r="246" spans="1:8" x14ac:dyDescent="0.2">
      <c r="A246" s="4" t="s">
        <v>106</v>
      </c>
      <c r="B246" s="4"/>
      <c r="C246" s="4" t="s">
        <v>642</v>
      </c>
      <c r="D246" s="131" t="s">
        <v>1201</v>
      </c>
      <c r="E246" s="132"/>
      <c r="F246" s="4" t="s">
        <v>1665</v>
      </c>
      <c r="G246" s="68">
        <v>12</v>
      </c>
      <c r="H246" s="16">
        <v>0</v>
      </c>
    </row>
    <row r="247" spans="1:8" ht="12.2" customHeight="1" x14ac:dyDescent="0.2">
      <c r="D247" s="157" t="s">
        <v>1848</v>
      </c>
      <c r="E247" s="158"/>
      <c r="F247" s="158"/>
      <c r="G247" s="47">
        <v>7</v>
      </c>
    </row>
    <row r="248" spans="1:8" ht="12.2" customHeight="1" x14ac:dyDescent="0.2">
      <c r="A248" s="4"/>
      <c r="B248" s="4"/>
      <c r="C248" s="4"/>
      <c r="D248" s="157" t="s">
        <v>1849</v>
      </c>
      <c r="E248" s="158"/>
      <c r="F248" s="157"/>
      <c r="G248" s="70">
        <v>5</v>
      </c>
      <c r="H248" s="27"/>
    </row>
    <row r="249" spans="1:8" x14ac:dyDescent="0.2">
      <c r="A249" s="4" t="s">
        <v>107</v>
      </c>
      <c r="B249" s="4"/>
      <c r="C249" s="4" t="s">
        <v>643</v>
      </c>
      <c r="D249" s="131" t="s">
        <v>1202</v>
      </c>
      <c r="E249" s="132"/>
      <c r="F249" s="4" t="s">
        <v>1663</v>
      </c>
      <c r="G249" s="68">
        <v>43.863</v>
      </c>
      <c r="H249" s="16">
        <v>0</v>
      </c>
    </row>
    <row r="250" spans="1:8" ht="12.2" customHeight="1" x14ac:dyDescent="0.2">
      <c r="D250" s="157" t="s">
        <v>1850</v>
      </c>
      <c r="E250" s="158"/>
      <c r="F250" s="158"/>
      <c r="G250" s="47">
        <v>43.863</v>
      </c>
    </row>
    <row r="251" spans="1:8" x14ac:dyDescent="0.2">
      <c r="A251" s="4" t="s">
        <v>108</v>
      </c>
      <c r="B251" s="4"/>
      <c r="C251" s="4" t="s">
        <v>644</v>
      </c>
      <c r="D251" s="131" t="s">
        <v>1203</v>
      </c>
      <c r="E251" s="132"/>
      <c r="F251" s="4" t="s">
        <v>1663</v>
      </c>
      <c r="G251" s="68">
        <v>5.04</v>
      </c>
      <c r="H251" s="16">
        <v>0</v>
      </c>
    </row>
    <row r="252" spans="1:8" ht="12.2" customHeight="1" x14ac:dyDescent="0.2">
      <c r="D252" s="157" t="s">
        <v>1851</v>
      </c>
      <c r="E252" s="158"/>
      <c r="F252" s="158"/>
      <c r="G252" s="47">
        <v>5.04</v>
      </c>
    </row>
    <row r="253" spans="1:8" x14ac:dyDescent="0.2">
      <c r="A253" s="4" t="s">
        <v>109</v>
      </c>
      <c r="B253" s="4"/>
      <c r="C253" s="4" t="s">
        <v>645</v>
      </c>
      <c r="D253" s="131" t="s">
        <v>1204</v>
      </c>
      <c r="E253" s="132"/>
      <c r="F253" s="4" t="s">
        <v>1663</v>
      </c>
      <c r="G253" s="68">
        <v>79.2</v>
      </c>
      <c r="H253" s="16">
        <v>0</v>
      </c>
    </row>
    <row r="254" spans="1:8" ht="12.2" customHeight="1" x14ac:dyDescent="0.2">
      <c r="D254" s="157" t="s">
        <v>1852</v>
      </c>
      <c r="E254" s="158"/>
      <c r="F254" s="158"/>
      <c r="G254" s="47">
        <v>79.2</v>
      </c>
    </row>
    <row r="255" spans="1:8" x14ac:dyDescent="0.2">
      <c r="A255" s="4" t="s">
        <v>110</v>
      </c>
      <c r="B255" s="4"/>
      <c r="C255" s="4" t="s">
        <v>646</v>
      </c>
      <c r="D255" s="131" t="s">
        <v>1205</v>
      </c>
      <c r="E255" s="132"/>
      <c r="F255" s="4" t="s">
        <v>1663</v>
      </c>
      <c r="G255" s="68">
        <v>37.725000000000001</v>
      </c>
      <c r="H255" s="16">
        <v>0</v>
      </c>
    </row>
    <row r="256" spans="1:8" ht="12.2" customHeight="1" x14ac:dyDescent="0.2">
      <c r="D256" s="157" t="s">
        <v>1853</v>
      </c>
      <c r="E256" s="158"/>
      <c r="F256" s="158"/>
      <c r="G256" s="47">
        <v>37.725000000000001</v>
      </c>
    </row>
    <row r="257" spans="1:8" x14ac:dyDescent="0.2">
      <c r="A257" s="4" t="s">
        <v>111</v>
      </c>
      <c r="B257" s="4"/>
      <c r="C257" s="4" t="s">
        <v>647</v>
      </c>
      <c r="D257" s="131" t="s">
        <v>1206</v>
      </c>
      <c r="E257" s="132"/>
      <c r="F257" s="4" t="s">
        <v>1663</v>
      </c>
      <c r="G257" s="68">
        <v>1.8180000000000001</v>
      </c>
      <c r="H257" s="16">
        <v>0</v>
      </c>
    </row>
    <row r="258" spans="1:8" ht="12.2" customHeight="1" x14ac:dyDescent="0.2">
      <c r="D258" s="157" t="s">
        <v>1854</v>
      </c>
      <c r="E258" s="158"/>
      <c r="F258" s="158"/>
      <c r="G258" s="47">
        <v>1.8180000000000001</v>
      </c>
    </row>
    <row r="259" spans="1:8" x14ac:dyDescent="0.2">
      <c r="A259" s="4" t="s">
        <v>112</v>
      </c>
      <c r="B259" s="4"/>
      <c r="C259" s="4" t="s">
        <v>648</v>
      </c>
      <c r="D259" s="131" t="s">
        <v>1207</v>
      </c>
      <c r="E259" s="132"/>
      <c r="F259" s="4" t="s">
        <v>1663</v>
      </c>
      <c r="G259" s="68">
        <v>33.130000000000003</v>
      </c>
      <c r="H259" s="16">
        <v>0</v>
      </c>
    </row>
    <row r="260" spans="1:8" ht="12.2" customHeight="1" x14ac:dyDescent="0.2">
      <c r="D260" s="157" t="s">
        <v>1855</v>
      </c>
      <c r="E260" s="158"/>
      <c r="F260" s="158"/>
      <c r="G260" s="47">
        <v>33.130000000000003</v>
      </c>
    </row>
    <row r="261" spans="1:8" x14ac:dyDescent="0.2">
      <c r="A261" s="4" t="s">
        <v>113</v>
      </c>
      <c r="B261" s="4"/>
      <c r="C261" s="4" t="s">
        <v>649</v>
      </c>
      <c r="D261" s="131" t="s">
        <v>1208</v>
      </c>
      <c r="E261" s="132"/>
      <c r="F261" s="4" t="s">
        <v>1663</v>
      </c>
      <c r="G261" s="68">
        <v>19.440000000000001</v>
      </c>
      <c r="H261" s="16">
        <v>0</v>
      </c>
    </row>
    <row r="262" spans="1:8" ht="12.2" customHeight="1" x14ac:dyDescent="0.2">
      <c r="D262" s="157" t="s">
        <v>1856</v>
      </c>
      <c r="E262" s="158"/>
      <c r="F262" s="158"/>
      <c r="G262" s="47">
        <v>19.440000000000001</v>
      </c>
    </row>
    <row r="263" spans="1:8" x14ac:dyDescent="0.2">
      <c r="A263" s="4" t="s">
        <v>114</v>
      </c>
      <c r="B263" s="4"/>
      <c r="C263" s="4" t="s">
        <v>650</v>
      </c>
      <c r="D263" s="131" t="s">
        <v>1209</v>
      </c>
      <c r="E263" s="132"/>
      <c r="F263" s="4" t="s">
        <v>1663</v>
      </c>
      <c r="G263" s="68">
        <v>1</v>
      </c>
      <c r="H263" s="16">
        <v>0</v>
      </c>
    </row>
    <row r="264" spans="1:8" ht="12.2" customHeight="1" x14ac:dyDescent="0.2">
      <c r="D264" s="157" t="s">
        <v>1777</v>
      </c>
      <c r="E264" s="158"/>
      <c r="F264" s="158"/>
      <c r="G264" s="47">
        <v>1</v>
      </c>
    </row>
    <row r="265" spans="1:8" x14ac:dyDescent="0.2">
      <c r="A265" s="4" t="s">
        <v>115</v>
      </c>
      <c r="B265" s="4"/>
      <c r="C265" s="4" t="s">
        <v>651</v>
      </c>
      <c r="D265" s="131" t="s">
        <v>1210</v>
      </c>
      <c r="E265" s="132"/>
      <c r="F265" s="4" t="s">
        <v>1666</v>
      </c>
      <c r="G265" s="68">
        <v>87.55</v>
      </c>
      <c r="H265" s="16">
        <v>0</v>
      </c>
    </row>
    <row r="266" spans="1:8" ht="12.2" customHeight="1" x14ac:dyDescent="0.2">
      <c r="D266" s="157" t="s">
        <v>1857</v>
      </c>
      <c r="E266" s="158"/>
      <c r="F266" s="158"/>
      <c r="G266" s="47">
        <v>48</v>
      </c>
    </row>
    <row r="267" spans="1:8" ht="12.2" customHeight="1" x14ac:dyDescent="0.2">
      <c r="A267" s="4"/>
      <c r="B267" s="4"/>
      <c r="C267" s="4"/>
      <c r="D267" s="157" t="s">
        <v>1858</v>
      </c>
      <c r="E267" s="158"/>
      <c r="F267" s="157"/>
      <c r="G267" s="70">
        <v>39.549999999999997</v>
      </c>
      <c r="H267" s="27"/>
    </row>
    <row r="268" spans="1:8" x14ac:dyDescent="0.2">
      <c r="A268" s="4" t="s">
        <v>116</v>
      </c>
      <c r="B268" s="4"/>
      <c r="C268" s="4" t="s">
        <v>652</v>
      </c>
      <c r="D268" s="131" t="s">
        <v>1211</v>
      </c>
      <c r="E268" s="132"/>
      <c r="F268" s="4" t="s">
        <v>1665</v>
      </c>
      <c r="G268" s="68">
        <v>6</v>
      </c>
      <c r="H268" s="16">
        <v>0</v>
      </c>
    </row>
    <row r="269" spans="1:8" ht="12.2" customHeight="1" x14ac:dyDescent="0.2">
      <c r="D269" s="157" t="s">
        <v>1859</v>
      </c>
      <c r="E269" s="158"/>
      <c r="F269" s="158"/>
      <c r="G269" s="47">
        <v>6</v>
      </c>
    </row>
    <row r="270" spans="1:8" x14ac:dyDescent="0.2">
      <c r="A270" s="13"/>
      <c r="B270" s="13"/>
      <c r="C270" s="13" t="s">
        <v>103</v>
      </c>
      <c r="D270" s="136" t="s">
        <v>1212</v>
      </c>
      <c r="E270" s="137"/>
      <c r="F270" s="13"/>
      <c r="G270" s="69"/>
      <c r="H270" s="28"/>
    </row>
    <row r="271" spans="1:8" x14ac:dyDescent="0.2">
      <c r="A271" s="4" t="s">
        <v>117</v>
      </c>
      <c r="B271" s="4"/>
      <c r="C271" s="4" t="s">
        <v>653</v>
      </c>
      <c r="D271" s="131" t="s">
        <v>1213</v>
      </c>
      <c r="E271" s="132"/>
      <c r="F271" s="4" t="s">
        <v>1663</v>
      </c>
      <c r="G271" s="68">
        <v>850.20500000000004</v>
      </c>
      <c r="H271" s="16">
        <v>0</v>
      </c>
    </row>
    <row r="272" spans="1:8" ht="12.2" customHeight="1" x14ac:dyDescent="0.2">
      <c r="D272" s="157" t="s">
        <v>1860</v>
      </c>
      <c r="E272" s="158"/>
      <c r="F272" s="158"/>
      <c r="G272" s="47">
        <v>850.20500000000004</v>
      </c>
    </row>
    <row r="273" spans="1:8" x14ac:dyDescent="0.2">
      <c r="A273" s="4" t="s">
        <v>118</v>
      </c>
      <c r="B273" s="4"/>
      <c r="C273" s="4" t="s">
        <v>653</v>
      </c>
      <c r="D273" s="131" t="s">
        <v>1214</v>
      </c>
      <c r="E273" s="132"/>
      <c r="F273" s="4" t="s">
        <v>1663</v>
      </c>
      <c r="G273" s="68">
        <v>79.632999999999996</v>
      </c>
      <c r="H273" s="16">
        <v>0</v>
      </c>
    </row>
    <row r="274" spans="1:8" ht="12.2" customHeight="1" x14ac:dyDescent="0.2">
      <c r="D274" s="157" t="s">
        <v>1861</v>
      </c>
      <c r="E274" s="158"/>
      <c r="F274" s="158"/>
      <c r="G274" s="47">
        <v>79.632999999999996</v>
      </c>
    </row>
    <row r="275" spans="1:8" x14ac:dyDescent="0.2">
      <c r="A275" s="4" t="s">
        <v>119</v>
      </c>
      <c r="B275" s="4"/>
      <c r="C275" s="4" t="s">
        <v>654</v>
      </c>
      <c r="D275" s="131" t="s">
        <v>1215</v>
      </c>
      <c r="E275" s="132"/>
      <c r="F275" s="4" t="s">
        <v>1666</v>
      </c>
      <c r="G275" s="68">
        <v>1.8</v>
      </c>
      <c r="H275" s="16">
        <v>0</v>
      </c>
    </row>
    <row r="276" spans="1:8" ht="12.2" customHeight="1" x14ac:dyDescent="0.2">
      <c r="D276" s="157" t="s">
        <v>1862</v>
      </c>
      <c r="E276" s="158"/>
      <c r="F276" s="158"/>
      <c r="G276" s="47">
        <v>1.8</v>
      </c>
    </row>
    <row r="277" spans="1:8" x14ac:dyDescent="0.2">
      <c r="A277" s="4" t="s">
        <v>120</v>
      </c>
      <c r="B277" s="4"/>
      <c r="C277" s="4" t="s">
        <v>655</v>
      </c>
      <c r="D277" s="131" t="s">
        <v>1216</v>
      </c>
      <c r="E277" s="132"/>
      <c r="F277" s="4" t="s">
        <v>1666</v>
      </c>
      <c r="G277" s="68">
        <v>0.3</v>
      </c>
      <c r="H277" s="16">
        <v>0</v>
      </c>
    </row>
    <row r="278" spans="1:8" ht="12.2" customHeight="1" x14ac:dyDescent="0.2">
      <c r="D278" s="157" t="s">
        <v>1863</v>
      </c>
      <c r="E278" s="158"/>
      <c r="F278" s="158"/>
      <c r="G278" s="47">
        <v>0.3</v>
      </c>
    </row>
    <row r="279" spans="1:8" x14ac:dyDescent="0.2">
      <c r="A279" s="4" t="s">
        <v>121</v>
      </c>
      <c r="B279" s="4"/>
      <c r="C279" s="4" t="s">
        <v>656</v>
      </c>
      <c r="D279" s="131" t="s">
        <v>1217</v>
      </c>
      <c r="E279" s="132"/>
      <c r="F279" s="4" t="s">
        <v>1666</v>
      </c>
      <c r="G279" s="68">
        <v>1.8</v>
      </c>
      <c r="H279" s="16">
        <v>0</v>
      </c>
    </row>
    <row r="280" spans="1:8" ht="12.2" customHeight="1" x14ac:dyDescent="0.2">
      <c r="D280" s="157" t="s">
        <v>1862</v>
      </c>
      <c r="E280" s="158"/>
      <c r="F280" s="158"/>
      <c r="G280" s="47">
        <v>1.8</v>
      </c>
    </row>
    <row r="281" spans="1:8" x14ac:dyDescent="0.2">
      <c r="A281" s="4" t="s">
        <v>122</v>
      </c>
      <c r="B281" s="4"/>
      <c r="C281" s="4" t="s">
        <v>657</v>
      </c>
      <c r="D281" s="131" t="s">
        <v>1218</v>
      </c>
      <c r="E281" s="132"/>
      <c r="F281" s="4" t="s">
        <v>1666</v>
      </c>
      <c r="G281" s="68">
        <v>0.3</v>
      </c>
      <c r="H281" s="16">
        <v>0</v>
      </c>
    </row>
    <row r="282" spans="1:8" ht="12.2" customHeight="1" x14ac:dyDescent="0.2">
      <c r="D282" s="157" t="s">
        <v>1863</v>
      </c>
      <c r="E282" s="158"/>
      <c r="F282" s="158"/>
      <c r="G282" s="47">
        <v>0.3</v>
      </c>
    </row>
    <row r="283" spans="1:8" x14ac:dyDescent="0.2">
      <c r="A283" s="4" t="s">
        <v>123</v>
      </c>
      <c r="B283" s="4"/>
      <c r="C283" s="4" t="s">
        <v>658</v>
      </c>
      <c r="D283" s="131" t="s">
        <v>1219</v>
      </c>
      <c r="E283" s="132"/>
      <c r="F283" s="4" t="s">
        <v>1662</v>
      </c>
      <c r="G283" s="68">
        <v>0.28599999999999998</v>
      </c>
      <c r="H283" s="16">
        <v>0</v>
      </c>
    </row>
    <row r="284" spans="1:8" ht="12.2" customHeight="1" x14ac:dyDescent="0.2">
      <c r="D284" s="157" t="s">
        <v>1864</v>
      </c>
      <c r="E284" s="158"/>
      <c r="F284" s="158"/>
      <c r="G284" s="47">
        <v>0.28599999999999998</v>
      </c>
    </row>
    <row r="285" spans="1:8" x14ac:dyDescent="0.2">
      <c r="A285" s="4" t="s">
        <v>124</v>
      </c>
      <c r="B285" s="4"/>
      <c r="C285" s="4" t="s">
        <v>659</v>
      </c>
      <c r="D285" s="131" t="s">
        <v>1220</v>
      </c>
      <c r="E285" s="132"/>
      <c r="F285" s="4" t="s">
        <v>1663</v>
      </c>
      <c r="G285" s="68">
        <v>80.691999999999993</v>
      </c>
      <c r="H285" s="16">
        <v>0</v>
      </c>
    </row>
    <row r="286" spans="1:8" ht="12.2" customHeight="1" x14ac:dyDescent="0.2">
      <c r="D286" s="157" t="s">
        <v>1801</v>
      </c>
      <c r="E286" s="158"/>
      <c r="F286" s="158"/>
      <c r="G286" s="47">
        <v>80.691999999999993</v>
      </c>
    </row>
    <row r="287" spans="1:8" x14ac:dyDescent="0.2">
      <c r="A287" s="4" t="s">
        <v>125</v>
      </c>
      <c r="B287" s="4"/>
      <c r="C287" s="4" t="s">
        <v>660</v>
      </c>
      <c r="D287" s="131" t="s">
        <v>1221</v>
      </c>
      <c r="E287" s="132"/>
      <c r="F287" s="4" t="s">
        <v>1663</v>
      </c>
      <c r="G287" s="68">
        <v>3.5529999999999999</v>
      </c>
      <c r="H287" s="16">
        <v>0</v>
      </c>
    </row>
    <row r="288" spans="1:8" ht="12.2" customHeight="1" x14ac:dyDescent="0.2">
      <c r="D288" s="157" t="s">
        <v>1865</v>
      </c>
      <c r="E288" s="158"/>
      <c r="F288" s="158"/>
      <c r="G288" s="47">
        <v>3.5529999999999999</v>
      </c>
    </row>
    <row r="289" spans="1:8" x14ac:dyDescent="0.2">
      <c r="A289" s="13"/>
      <c r="B289" s="13"/>
      <c r="C289" s="13" t="s">
        <v>104</v>
      </c>
      <c r="D289" s="136" t="s">
        <v>1222</v>
      </c>
      <c r="E289" s="137"/>
      <c r="F289" s="13"/>
      <c r="G289" s="69"/>
      <c r="H289" s="28"/>
    </row>
    <row r="290" spans="1:8" x14ac:dyDescent="0.2">
      <c r="A290" s="4" t="s">
        <v>126</v>
      </c>
      <c r="B290" s="4"/>
      <c r="C290" s="4" t="s">
        <v>661</v>
      </c>
      <c r="D290" s="131" t="s">
        <v>1223</v>
      </c>
      <c r="E290" s="132"/>
      <c r="F290" s="4" t="s">
        <v>1662</v>
      </c>
      <c r="G290" s="68">
        <v>16.021999999999998</v>
      </c>
      <c r="H290" s="16">
        <v>0</v>
      </c>
    </row>
    <row r="291" spans="1:8" ht="12.2" customHeight="1" x14ac:dyDescent="0.2">
      <c r="D291" s="157" t="s">
        <v>1866</v>
      </c>
      <c r="E291" s="158"/>
      <c r="F291" s="158"/>
      <c r="G291" s="47">
        <v>16.021999999999998</v>
      </c>
    </row>
    <row r="292" spans="1:8" x14ac:dyDescent="0.2">
      <c r="A292" s="13"/>
      <c r="B292" s="13"/>
      <c r="C292" s="13" t="s">
        <v>662</v>
      </c>
      <c r="D292" s="136" t="s">
        <v>1224</v>
      </c>
      <c r="E292" s="137"/>
      <c r="F292" s="13"/>
      <c r="G292" s="69"/>
      <c r="H292" s="28"/>
    </row>
    <row r="293" spans="1:8" x14ac:dyDescent="0.2">
      <c r="A293" s="4" t="s">
        <v>127</v>
      </c>
      <c r="B293" s="4"/>
      <c r="C293" s="4" t="s">
        <v>663</v>
      </c>
      <c r="D293" s="131" t="s">
        <v>1225</v>
      </c>
      <c r="E293" s="132"/>
      <c r="F293" s="4" t="s">
        <v>1664</v>
      </c>
      <c r="G293" s="68">
        <v>43.255000000000003</v>
      </c>
      <c r="H293" s="16">
        <v>0</v>
      </c>
    </row>
    <row r="294" spans="1:8" ht="12.2" customHeight="1" x14ac:dyDescent="0.2">
      <c r="D294" s="157" t="s">
        <v>1867</v>
      </c>
      <c r="E294" s="158"/>
      <c r="F294" s="158"/>
      <c r="G294" s="47">
        <v>43.255000000000003</v>
      </c>
    </row>
    <row r="295" spans="1:8" x14ac:dyDescent="0.2">
      <c r="A295" s="4" t="s">
        <v>128</v>
      </c>
      <c r="B295" s="4"/>
      <c r="C295" s="4" t="s">
        <v>664</v>
      </c>
      <c r="D295" s="131" t="s">
        <v>1226</v>
      </c>
      <c r="E295" s="132"/>
      <c r="F295" s="4" t="s">
        <v>1664</v>
      </c>
      <c r="G295" s="68">
        <v>216.274</v>
      </c>
      <c r="H295" s="16">
        <v>0</v>
      </c>
    </row>
    <row r="296" spans="1:8" ht="12.2" customHeight="1" x14ac:dyDescent="0.2">
      <c r="D296" s="157" t="s">
        <v>1868</v>
      </c>
      <c r="E296" s="158"/>
      <c r="F296" s="158"/>
      <c r="G296" s="47">
        <v>216.274</v>
      </c>
    </row>
    <row r="297" spans="1:8" x14ac:dyDescent="0.2">
      <c r="A297" s="4" t="s">
        <v>129</v>
      </c>
      <c r="B297" s="4"/>
      <c r="C297" s="4" t="s">
        <v>665</v>
      </c>
      <c r="D297" s="131" t="s">
        <v>1227</v>
      </c>
      <c r="E297" s="132"/>
      <c r="F297" s="4" t="s">
        <v>1664</v>
      </c>
      <c r="G297" s="68">
        <v>33284.328000000001</v>
      </c>
      <c r="H297" s="16">
        <v>0</v>
      </c>
    </row>
    <row r="298" spans="1:8" ht="12.2" customHeight="1" x14ac:dyDescent="0.2">
      <c r="D298" s="157" t="s">
        <v>1869</v>
      </c>
      <c r="E298" s="158"/>
      <c r="F298" s="158"/>
      <c r="G298" s="47">
        <v>33284.328000000001</v>
      </c>
    </row>
    <row r="299" spans="1:8" x14ac:dyDescent="0.2">
      <c r="A299" s="4" t="s">
        <v>130</v>
      </c>
      <c r="B299" s="4"/>
      <c r="C299" s="4" t="s">
        <v>666</v>
      </c>
      <c r="D299" s="131" t="s">
        <v>1228</v>
      </c>
      <c r="E299" s="132"/>
      <c r="F299" s="4" t="s">
        <v>1664</v>
      </c>
      <c r="G299" s="68">
        <v>216.274</v>
      </c>
      <c r="H299" s="16">
        <v>0</v>
      </c>
    </row>
    <row r="300" spans="1:8" ht="12.2" customHeight="1" x14ac:dyDescent="0.2">
      <c r="D300" s="157" t="s">
        <v>1870</v>
      </c>
      <c r="E300" s="158"/>
      <c r="F300" s="158"/>
      <c r="G300" s="47">
        <v>216.274</v>
      </c>
    </row>
    <row r="301" spans="1:8" x14ac:dyDescent="0.2">
      <c r="A301" s="4" t="s">
        <v>131</v>
      </c>
      <c r="B301" s="4"/>
      <c r="C301" s="4" t="s">
        <v>667</v>
      </c>
      <c r="D301" s="131" t="s">
        <v>1229</v>
      </c>
      <c r="E301" s="132"/>
      <c r="F301" s="4" t="s">
        <v>1664</v>
      </c>
      <c r="G301" s="68">
        <v>1081.3699999999999</v>
      </c>
      <c r="H301" s="16">
        <v>0</v>
      </c>
    </row>
    <row r="302" spans="1:8" ht="12.2" customHeight="1" x14ac:dyDescent="0.2">
      <c r="D302" s="157" t="s">
        <v>1871</v>
      </c>
      <c r="E302" s="158"/>
      <c r="F302" s="158"/>
      <c r="G302" s="47">
        <v>1081.3699999999999</v>
      </c>
    </row>
    <row r="303" spans="1:8" x14ac:dyDescent="0.2">
      <c r="A303" s="4" t="s">
        <v>132</v>
      </c>
      <c r="B303" s="4"/>
      <c r="C303" s="4" t="s">
        <v>668</v>
      </c>
      <c r="D303" s="131" t="s">
        <v>1230</v>
      </c>
      <c r="E303" s="132"/>
      <c r="F303" s="4" t="s">
        <v>1664</v>
      </c>
      <c r="G303" s="68">
        <v>216.274</v>
      </c>
      <c r="H303" s="16">
        <v>0</v>
      </c>
    </row>
    <row r="304" spans="1:8" ht="12.2" customHeight="1" x14ac:dyDescent="0.2">
      <c r="D304" s="157" t="s">
        <v>1870</v>
      </c>
      <c r="E304" s="158"/>
      <c r="F304" s="158"/>
      <c r="G304" s="47">
        <v>216.274</v>
      </c>
    </row>
    <row r="305" spans="1:8" x14ac:dyDescent="0.2">
      <c r="A305" s="4" t="s">
        <v>133</v>
      </c>
      <c r="B305" s="4"/>
      <c r="C305" s="4" t="s">
        <v>669</v>
      </c>
      <c r="D305" s="131" t="s">
        <v>1231</v>
      </c>
      <c r="E305" s="132"/>
      <c r="F305" s="4" t="s">
        <v>1664</v>
      </c>
      <c r="G305" s="68">
        <v>216.274</v>
      </c>
      <c r="H305" s="16">
        <v>0</v>
      </c>
    </row>
    <row r="306" spans="1:8" ht="12.2" customHeight="1" x14ac:dyDescent="0.2">
      <c r="D306" s="157" t="s">
        <v>1870</v>
      </c>
      <c r="E306" s="158"/>
      <c r="F306" s="158"/>
      <c r="G306" s="47">
        <v>216.274</v>
      </c>
    </row>
    <row r="307" spans="1:8" x14ac:dyDescent="0.2">
      <c r="A307" s="4" t="s">
        <v>134</v>
      </c>
      <c r="B307" s="4"/>
      <c r="C307" s="4" t="s">
        <v>670</v>
      </c>
      <c r="D307" s="131" t="s">
        <v>1232</v>
      </c>
      <c r="E307" s="132"/>
      <c r="F307" s="4" t="s">
        <v>1664</v>
      </c>
      <c r="G307" s="68">
        <v>54.86</v>
      </c>
      <c r="H307" s="16">
        <v>0</v>
      </c>
    </row>
    <row r="308" spans="1:8" ht="12.2" customHeight="1" x14ac:dyDescent="0.2">
      <c r="D308" s="157" t="s">
        <v>1872</v>
      </c>
      <c r="E308" s="158"/>
      <c r="F308" s="158"/>
      <c r="G308" s="47">
        <v>54.86</v>
      </c>
    </row>
    <row r="309" spans="1:8" x14ac:dyDescent="0.2">
      <c r="A309" s="4" t="s">
        <v>135</v>
      </c>
      <c r="B309" s="4"/>
      <c r="C309" s="4" t="s">
        <v>671</v>
      </c>
      <c r="D309" s="131" t="s">
        <v>1233</v>
      </c>
      <c r="E309" s="132"/>
      <c r="F309" s="4" t="s">
        <v>1664</v>
      </c>
      <c r="G309" s="68">
        <v>71.554000000000002</v>
      </c>
      <c r="H309" s="16">
        <v>0</v>
      </c>
    </row>
    <row r="310" spans="1:8" ht="12.2" customHeight="1" x14ac:dyDescent="0.2">
      <c r="D310" s="157" t="s">
        <v>1873</v>
      </c>
      <c r="E310" s="158"/>
      <c r="F310" s="158"/>
      <c r="G310" s="47">
        <v>71.554000000000002</v>
      </c>
    </row>
    <row r="311" spans="1:8" x14ac:dyDescent="0.2">
      <c r="A311" s="4" t="s">
        <v>136</v>
      </c>
      <c r="B311" s="4"/>
      <c r="C311" s="4" t="s">
        <v>672</v>
      </c>
      <c r="D311" s="131" t="s">
        <v>1234</v>
      </c>
      <c r="E311" s="132"/>
      <c r="F311" s="4" t="s">
        <v>1664</v>
      </c>
      <c r="G311" s="68">
        <v>15.183999999999999</v>
      </c>
      <c r="H311" s="16">
        <v>0</v>
      </c>
    </row>
    <row r="312" spans="1:8" ht="12.2" customHeight="1" x14ac:dyDescent="0.2">
      <c r="D312" s="157" t="s">
        <v>1874</v>
      </c>
      <c r="E312" s="158"/>
      <c r="F312" s="158"/>
      <c r="G312" s="47">
        <v>15.183999999999999</v>
      </c>
    </row>
    <row r="313" spans="1:8" x14ac:dyDescent="0.2">
      <c r="A313" s="4" t="s">
        <v>137</v>
      </c>
      <c r="B313" s="4"/>
      <c r="C313" s="4" t="s">
        <v>673</v>
      </c>
      <c r="D313" s="131" t="s">
        <v>1235</v>
      </c>
      <c r="E313" s="132"/>
      <c r="F313" s="4" t="s">
        <v>1664</v>
      </c>
      <c r="G313" s="68">
        <v>10.426</v>
      </c>
      <c r="H313" s="16">
        <v>0</v>
      </c>
    </row>
    <row r="314" spans="1:8" ht="12.2" customHeight="1" x14ac:dyDescent="0.2">
      <c r="D314" s="157" t="s">
        <v>1875</v>
      </c>
      <c r="E314" s="158"/>
      <c r="F314" s="158"/>
      <c r="G314" s="47">
        <v>10.426</v>
      </c>
    </row>
    <row r="315" spans="1:8" x14ac:dyDescent="0.2">
      <c r="A315" s="4" t="s">
        <v>138</v>
      </c>
      <c r="B315" s="4"/>
      <c r="C315" s="4" t="s">
        <v>674</v>
      </c>
      <c r="D315" s="131" t="s">
        <v>1236</v>
      </c>
      <c r="E315" s="132"/>
      <c r="F315" s="4" t="s">
        <v>1664</v>
      </c>
      <c r="G315" s="68">
        <v>12.535</v>
      </c>
      <c r="H315" s="16">
        <v>0</v>
      </c>
    </row>
    <row r="316" spans="1:8" ht="12.2" customHeight="1" x14ac:dyDescent="0.2">
      <c r="D316" s="157" t="s">
        <v>1876</v>
      </c>
      <c r="E316" s="158"/>
      <c r="F316" s="158"/>
      <c r="G316" s="47">
        <v>12.535</v>
      </c>
    </row>
    <row r="317" spans="1:8" x14ac:dyDescent="0.2">
      <c r="A317" s="4" t="s">
        <v>139</v>
      </c>
      <c r="B317" s="4"/>
      <c r="C317" s="4" t="s">
        <v>675</v>
      </c>
      <c r="D317" s="131" t="s">
        <v>1237</v>
      </c>
      <c r="E317" s="132"/>
      <c r="F317" s="4" t="s">
        <v>1664</v>
      </c>
      <c r="G317" s="68">
        <v>0.316</v>
      </c>
      <c r="H317" s="16">
        <v>0</v>
      </c>
    </row>
    <row r="318" spans="1:8" ht="12.2" customHeight="1" x14ac:dyDescent="0.2">
      <c r="D318" s="157" t="s">
        <v>1877</v>
      </c>
      <c r="E318" s="158"/>
      <c r="F318" s="158"/>
      <c r="G318" s="47">
        <v>0.316</v>
      </c>
    </row>
    <row r="319" spans="1:8" x14ac:dyDescent="0.2">
      <c r="A319" s="4" t="s">
        <v>140</v>
      </c>
      <c r="B319" s="4"/>
      <c r="C319" s="4" t="s">
        <v>676</v>
      </c>
      <c r="D319" s="131" t="s">
        <v>1238</v>
      </c>
      <c r="E319" s="132"/>
      <c r="F319" s="4" t="s">
        <v>1664</v>
      </c>
      <c r="G319" s="68">
        <v>21.346</v>
      </c>
      <c r="H319" s="16">
        <v>0</v>
      </c>
    </row>
    <row r="320" spans="1:8" ht="12.2" customHeight="1" x14ac:dyDescent="0.2">
      <c r="D320" s="157" t="s">
        <v>1878</v>
      </c>
      <c r="E320" s="158"/>
      <c r="F320" s="158"/>
      <c r="G320" s="47">
        <v>21.346</v>
      </c>
    </row>
    <row r="321" spans="1:8" x14ac:dyDescent="0.2">
      <c r="A321" s="4" t="s">
        <v>141</v>
      </c>
      <c r="B321" s="4"/>
      <c r="C321" s="4" t="s">
        <v>677</v>
      </c>
      <c r="D321" s="131" t="s">
        <v>1239</v>
      </c>
      <c r="E321" s="132"/>
      <c r="F321" s="4" t="s">
        <v>1664</v>
      </c>
      <c r="G321" s="68">
        <v>0.67900000000000005</v>
      </c>
      <c r="H321" s="16">
        <v>0</v>
      </c>
    </row>
    <row r="322" spans="1:8" ht="12.2" customHeight="1" x14ac:dyDescent="0.2">
      <c r="D322" s="157" t="s">
        <v>1879</v>
      </c>
      <c r="E322" s="158"/>
      <c r="F322" s="158"/>
      <c r="G322" s="47">
        <v>0.67900000000000005</v>
      </c>
    </row>
    <row r="323" spans="1:8" x14ac:dyDescent="0.2">
      <c r="A323" s="4" t="s">
        <v>142</v>
      </c>
      <c r="B323" s="4"/>
      <c r="C323" s="4" t="s">
        <v>678</v>
      </c>
      <c r="D323" s="131" t="s">
        <v>1240</v>
      </c>
      <c r="E323" s="132"/>
      <c r="F323" s="4" t="s">
        <v>1664</v>
      </c>
      <c r="G323" s="68">
        <v>0.69799999999999995</v>
      </c>
      <c r="H323" s="16">
        <v>0</v>
      </c>
    </row>
    <row r="324" spans="1:8" ht="12.2" customHeight="1" x14ac:dyDescent="0.2">
      <c r="D324" s="157" t="s">
        <v>1880</v>
      </c>
      <c r="E324" s="158"/>
      <c r="F324" s="158"/>
      <c r="G324" s="47">
        <v>0.69799999999999995</v>
      </c>
    </row>
    <row r="325" spans="1:8" x14ac:dyDescent="0.2">
      <c r="A325" s="4" t="s">
        <v>143</v>
      </c>
      <c r="B325" s="4"/>
      <c r="C325" s="4" t="s">
        <v>679</v>
      </c>
      <c r="D325" s="131" t="s">
        <v>1241</v>
      </c>
      <c r="E325" s="132"/>
      <c r="F325" s="4" t="s">
        <v>1664</v>
      </c>
      <c r="G325" s="68">
        <v>8.375</v>
      </c>
      <c r="H325" s="16">
        <v>0</v>
      </c>
    </row>
    <row r="326" spans="1:8" ht="12.2" customHeight="1" x14ac:dyDescent="0.2">
      <c r="D326" s="157" t="s">
        <v>1881</v>
      </c>
      <c r="E326" s="158"/>
      <c r="F326" s="158"/>
      <c r="G326" s="47">
        <v>8.375</v>
      </c>
    </row>
    <row r="327" spans="1:8" x14ac:dyDescent="0.2">
      <c r="A327" s="4" t="s">
        <v>144</v>
      </c>
      <c r="B327" s="4"/>
      <c r="C327" s="4" t="s">
        <v>680</v>
      </c>
      <c r="D327" s="131" t="s">
        <v>1242</v>
      </c>
      <c r="E327" s="132"/>
      <c r="F327" s="4" t="s">
        <v>1664</v>
      </c>
      <c r="G327" s="68">
        <v>10.454000000000001</v>
      </c>
      <c r="H327" s="16">
        <v>0</v>
      </c>
    </row>
    <row r="328" spans="1:8" ht="12.2" customHeight="1" x14ac:dyDescent="0.2">
      <c r="D328" s="157" t="s">
        <v>1882</v>
      </c>
      <c r="E328" s="158"/>
      <c r="F328" s="158"/>
      <c r="G328" s="47">
        <v>10.454000000000001</v>
      </c>
    </row>
    <row r="329" spans="1:8" x14ac:dyDescent="0.2">
      <c r="A329" s="4" t="s">
        <v>145</v>
      </c>
      <c r="B329" s="4"/>
      <c r="C329" s="4" t="s">
        <v>681</v>
      </c>
      <c r="D329" s="131" t="s">
        <v>1243</v>
      </c>
      <c r="E329" s="132"/>
      <c r="F329" s="4" t="s">
        <v>1664</v>
      </c>
      <c r="G329" s="68">
        <v>9.7119999999999997</v>
      </c>
      <c r="H329" s="16">
        <v>0</v>
      </c>
    </row>
    <row r="330" spans="1:8" ht="12.2" customHeight="1" x14ac:dyDescent="0.2">
      <c r="D330" s="157" t="s">
        <v>1883</v>
      </c>
      <c r="E330" s="158"/>
      <c r="F330" s="158"/>
      <c r="G330" s="47">
        <v>9.7119999999999997</v>
      </c>
    </row>
    <row r="331" spans="1:8" x14ac:dyDescent="0.2">
      <c r="A331" s="4" t="s">
        <v>146</v>
      </c>
      <c r="B331" s="4"/>
      <c r="C331" s="4" t="s">
        <v>682</v>
      </c>
      <c r="D331" s="131" t="s">
        <v>1244</v>
      </c>
      <c r="E331" s="132"/>
      <c r="F331" s="4" t="s">
        <v>1664</v>
      </c>
      <c r="G331" s="68">
        <v>0.13500000000000001</v>
      </c>
      <c r="H331" s="16">
        <v>0</v>
      </c>
    </row>
    <row r="332" spans="1:8" ht="12.2" customHeight="1" x14ac:dyDescent="0.2">
      <c r="D332" s="157" t="s">
        <v>1884</v>
      </c>
      <c r="E332" s="158"/>
      <c r="F332" s="158"/>
      <c r="G332" s="47">
        <v>0.13500000000000001</v>
      </c>
    </row>
    <row r="333" spans="1:8" x14ac:dyDescent="0.2">
      <c r="A333" s="13"/>
      <c r="B333" s="13"/>
      <c r="C333" s="13" t="s">
        <v>683</v>
      </c>
      <c r="D333" s="136" t="s">
        <v>1245</v>
      </c>
      <c r="E333" s="137"/>
      <c r="F333" s="13"/>
      <c r="G333" s="69"/>
      <c r="H333" s="28"/>
    </row>
    <row r="334" spans="1:8" x14ac:dyDescent="0.2">
      <c r="A334" s="4" t="s">
        <v>147</v>
      </c>
      <c r="B334" s="4"/>
      <c r="C334" s="4" t="s">
        <v>684</v>
      </c>
      <c r="D334" s="131" t="s">
        <v>1246</v>
      </c>
      <c r="E334" s="132"/>
      <c r="F334" s="4" t="s">
        <v>1664</v>
      </c>
      <c r="G334" s="68">
        <v>241.04400000000001</v>
      </c>
      <c r="H334" s="16">
        <v>0</v>
      </c>
    </row>
    <row r="335" spans="1:8" ht="12.2" customHeight="1" x14ac:dyDescent="0.2">
      <c r="D335" s="157" t="s">
        <v>1885</v>
      </c>
      <c r="E335" s="158"/>
      <c r="F335" s="158"/>
      <c r="G335" s="47">
        <v>241.04400000000001</v>
      </c>
    </row>
    <row r="336" spans="1:8" x14ac:dyDescent="0.2">
      <c r="A336" s="13"/>
      <c r="B336" s="13"/>
      <c r="C336" s="13" t="s">
        <v>685</v>
      </c>
      <c r="D336" s="136" t="s">
        <v>1247</v>
      </c>
      <c r="E336" s="137"/>
      <c r="F336" s="13"/>
      <c r="G336" s="69"/>
      <c r="H336" s="28"/>
    </row>
    <row r="337" spans="1:8" x14ac:dyDescent="0.2">
      <c r="A337" s="4" t="s">
        <v>148</v>
      </c>
      <c r="B337" s="4"/>
      <c r="C337" s="4" t="s">
        <v>686</v>
      </c>
      <c r="D337" s="131" t="s">
        <v>1248</v>
      </c>
      <c r="E337" s="132"/>
      <c r="F337" s="4" t="s">
        <v>1663</v>
      </c>
      <c r="G337" s="68">
        <v>294.10000000000002</v>
      </c>
      <c r="H337" s="16">
        <v>0</v>
      </c>
    </row>
    <row r="338" spans="1:8" ht="12.2" customHeight="1" x14ac:dyDescent="0.2">
      <c r="D338" s="157" t="s">
        <v>1886</v>
      </c>
      <c r="E338" s="158"/>
      <c r="F338" s="158"/>
      <c r="G338" s="47">
        <v>45.15</v>
      </c>
    </row>
    <row r="339" spans="1:8" ht="12.2" customHeight="1" x14ac:dyDescent="0.2">
      <c r="A339" s="4"/>
      <c r="B339" s="4"/>
      <c r="C339" s="4"/>
      <c r="D339" s="157" t="s">
        <v>1887</v>
      </c>
      <c r="E339" s="158"/>
      <c r="F339" s="157"/>
      <c r="G339" s="70">
        <v>248.95</v>
      </c>
      <c r="H339" s="27"/>
    </row>
    <row r="340" spans="1:8" x14ac:dyDescent="0.2">
      <c r="A340" s="4" t="s">
        <v>149</v>
      </c>
      <c r="B340" s="4"/>
      <c r="C340" s="4" t="s">
        <v>687</v>
      </c>
      <c r="D340" s="131" t="s">
        <v>1249</v>
      </c>
      <c r="E340" s="132"/>
      <c r="F340" s="4" t="s">
        <v>1663</v>
      </c>
      <c r="G340" s="68">
        <v>3263.4360000000001</v>
      </c>
      <c r="H340" s="16">
        <v>0</v>
      </c>
    </row>
    <row r="341" spans="1:8" ht="12.2" customHeight="1" x14ac:dyDescent="0.2">
      <c r="D341" s="157" t="s">
        <v>1888</v>
      </c>
      <c r="E341" s="158"/>
      <c r="F341" s="158"/>
      <c r="G341" s="47">
        <v>1114.3800000000001</v>
      </c>
    </row>
    <row r="342" spans="1:8" ht="12.2" customHeight="1" x14ac:dyDescent="0.2">
      <c r="A342" s="4"/>
      <c r="B342" s="4"/>
      <c r="C342" s="4"/>
      <c r="D342" s="157" t="s">
        <v>1889</v>
      </c>
      <c r="E342" s="158"/>
      <c r="F342" s="157"/>
      <c r="G342" s="70">
        <v>2149.056</v>
      </c>
      <c r="H342" s="27"/>
    </row>
    <row r="343" spans="1:8" x14ac:dyDescent="0.2">
      <c r="A343" s="4" t="s">
        <v>150</v>
      </c>
      <c r="B343" s="4"/>
      <c r="C343" s="4" t="s">
        <v>688</v>
      </c>
      <c r="D343" s="131" t="s">
        <v>1250</v>
      </c>
      <c r="E343" s="132"/>
      <c r="F343" s="4" t="s">
        <v>1663</v>
      </c>
      <c r="G343" s="68">
        <v>5.46</v>
      </c>
      <c r="H343" s="16">
        <v>0</v>
      </c>
    </row>
    <row r="344" spans="1:8" ht="12.2" customHeight="1" x14ac:dyDescent="0.2">
      <c r="D344" s="157" t="s">
        <v>1890</v>
      </c>
      <c r="E344" s="158"/>
      <c r="F344" s="158"/>
      <c r="G344" s="47">
        <v>5.46</v>
      </c>
    </row>
    <row r="345" spans="1:8" x14ac:dyDescent="0.2">
      <c r="A345" s="4" t="s">
        <v>151</v>
      </c>
      <c r="B345" s="4"/>
      <c r="C345" s="4" t="s">
        <v>689</v>
      </c>
      <c r="D345" s="131" t="s">
        <v>1251</v>
      </c>
      <c r="E345" s="132"/>
      <c r="F345" s="4" t="s">
        <v>1663</v>
      </c>
      <c r="G345" s="68">
        <v>170.25</v>
      </c>
      <c r="H345" s="16">
        <v>0</v>
      </c>
    </row>
    <row r="346" spans="1:8" ht="12.2" customHeight="1" x14ac:dyDescent="0.2">
      <c r="D346" s="157" t="s">
        <v>1781</v>
      </c>
      <c r="E346" s="158"/>
      <c r="F346" s="158"/>
      <c r="G346" s="47">
        <v>170.25</v>
      </c>
    </row>
    <row r="347" spans="1:8" x14ac:dyDescent="0.2">
      <c r="A347" s="4" t="s">
        <v>152</v>
      </c>
      <c r="B347" s="4"/>
      <c r="C347" s="4" t="s">
        <v>690</v>
      </c>
      <c r="D347" s="131" t="s">
        <v>1253</v>
      </c>
      <c r="E347" s="132"/>
      <c r="F347" s="4" t="s">
        <v>1670</v>
      </c>
      <c r="G347" s="68">
        <v>1</v>
      </c>
      <c r="H347" s="16">
        <v>0</v>
      </c>
    </row>
    <row r="348" spans="1:8" ht="12.2" customHeight="1" x14ac:dyDescent="0.2">
      <c r="D348" s="157" t="s">
        <v>1777</v>
      </c>
      <c r="E348" s="158"/>
      <c r="F348" s="158"/>
      <c r="G348" s="47">
        <v>1</v>
      </c>
    </row>
    <row r="349" spans="1:8" x14ac:dyDescent="0.2">
      <c r="A349" s="4" t="s">
        <v>153</v>
      </c>
      <c r="B349" s="4"/>
      <c r="C349" s="4" t="s">
        <v>691</v>
      </c>
      <c r="D349" s="131" t="s">
        <v>1254</v>
      </c>
      <c r="E349" s="132"/>
      <c r="F349" s="4" t="s">
        <v>1663</v>
      </c>
      <c r="G349" s="68">
        <v>5.46</v>
      </c>
      <c r="H349" s="16">
        <v>0</v>
      </c>
    </row>
    <row r="350" spans="1:8" ht="12.2" customHeight="1" x14ac:dyDescent="0.2">
      <c r="D350" s="157" t="s">
        <v>1890</v>
      </c>
      <c r="E350" s="158"/>
      <c r="F350" s="158"/>
      <c r="G350" s="47">
        <v>5.46</v>
      </c>
    </row>
    <row r="351" spans="1:8" x14ac:dyDescent="0.2">
      <c r="A351" s="4" t="s">
        <v>154</v>
      </c>
      <c r="B351" s="4"/>
      <c r="C351" s="4" t="s">
        <v>691</v>
      </c>
      <c r="D351" s="131" t="s">
        <v>1255</v>
      </c>
      <c r="E351" s="132"/>
      <c r="F351" s="4" t="s">
        <v>1663</v>
      </c>
      <c r="G351" s="68">
        <v>170.25</v>
      </c>
      <c r="H351" s="16">
        <v>0</v>
      </c>
    </row>
    <row r="352" spans="1:8" ht="12.2" customHeight="1" x14ac:dyDescent="0.2">
      <c r="D352" s="157" t="s">
        <v>1781</v>
      </c>
      <c r="E352" s="158"/>
      <c r="F352" s="158"/>
      <c r="G352" s="47">
        <v>170.25</v>
      </c>
    </row>
    <row r="353" spans="1:8" x14ac:dyDescent="0.2">
      <c r="A353" s="4" t="s">
        <v>155</v>
      </c>
      <c r="B353" s="4"/>
      <c r="C353" s="4" t="s">
        <v>692</v>
      </c>
      <c r="D353" s="131" t="s">
        <v>1256</v>
      </c>
      <c r="E353" s="132"/>
      <c r="F353" s="4" t="s">
        <v>1664</v>
      </c>
      <c r="G353" s="68">
        <v>21.79</v>
      </c>
      <c r="H353" s="16">
        <v>0</v>
      </c>
    </row>
    <row r="354" spans="1:8" ht="12.2" customHeight="1" x14ac:dyDescent="0.2">
      <c r="D354" s="157" t="s">
        <v>1891</v>
      </c>
      <c r="E354" s="158"/>
      <c r="F354" s="158"/>
      <c r="G354" s="47">
        <v>21.79</v>
      </c>
    </row>
    <row r="355" spans="1:8" x14ac:dyDescent="0.2">
      <c r="A355" s="13"/>
      <c r="B355" s="13"/>
      <c r="C355" s="13" t="s">
        <v>693</v>
      </c>
      <c r="D355" s="136" t="s">
        <v>1257</v>
      </c>
      <c r="E355" s="137"/>
      <c r="F355" s="13"/>
      <c r="G355" s="69"/>
      <c r="H355" s="28"/>
    </row>
    <row r="356" spans="1:8" x14ac:dyDescent="0.2">
      <c r="A356" s="4" t="s">
        <v>156</v>
      </c>
      <c r="B356" s="4"/>
      <c r="C356" s="4" t="s">
        <v>694</v>
      </c>
      <c r="D356" s="131" t="s">
        <v>1258</v>
      </c>
      <c r="E356" s="132"/>
      <c r="F356" s="4" t="s">
        <v>1663</v>
      </c>
      <c r="G356" s="68">
        <v>1450.9079999999999</v>
      </c>
      <c r="H356" s="16">
        <v>0</v>
      </c>
    </row>
    <row r="357" spans="1:8" ht="12.2" customHeight="1" x14ac:dyDescent="0.2">
      <c r="D357" s="157" t="s">
        <v>1892</v>
      </c>
      <c r="E357" s="158"/>
      <c r="F357" s="158"/>
      <c r="G357" s="47">
        <v>1450.9079999999999</v>
      </c>
    </row>
    <row r="358" spans="1:8" x14ac:dyDescent="0.2">
      <c r="A358" s="4" t="s">
        <v>157</v>
      </c>
      <c r="B358" s="4"/>
      <c r="C358" s="4" t="s">
        <v>695</v>
      </c>
      <c r="D358" s="131" t="s">
        <v>1259</v>
      </c>
      <c r="E358" s="132"/>
      <c r="F358" s="4" t="s">
        <v>1663</v>
      </c>
      <c r="G358" s="68">
        <v>222.876</v>
      </c>
      <c r="H358" s="16">
        <v>0</v>
      </c>
    </row>
    <row r="359" spans="1:8" ht="12.2" customHeight="1" x14ac:dyDescent="0.2">
      <c r="D359" s="157" t="s">
        <v>1893</v>
      </c>
      <c r="E359" s="158"/>
      <c r="F359" s="158"/>
      <c r="G359" s="47">
        <v>222.876</v>
      </c>
    </row>
    <row r="360" spans="1:8" x14ac:dyDescent="0.2">
      <c r="A360" s="4" t="s">
        <v>158</v>
      </c>
      <c r="B360" s="4"/>
      <c r="C360" s="4" t="s">
        <v>696</v>
      </c>
      <c r="D360" s="131" t="s">
        <v>1260</v>
      </c>
      <c r="E360" s="132"/>
      <c r="F360" s="4" t="s">
        <v>1663</v>
      </c>
      <c r="G360" s="68">
        <v>4.0890000000000004</v>
      </c>
      <c r="H360" s="16">
        <v>0</v>
      </c>
    </row>
    <row r="361" spans="1:8" ht="12.2" customHeight="1" x14ac:dyDescent="0.2">
      <c r="D361" s="157" t="s">
        <v>1816</v>
      </c>
      <c r="E361" s="158"/>
      <c r="F361" s="158"/>
      <c r="G361" s="47">
        <v>4.0890000000000004</v>
      </c>
    </row>
    <row r="362" spans="1:8" x14ac:dyDescent="0.2">
      <c r="A362" s="4" t="s">
        <v>159</v>
      </c>
      <c r="B362" s="4"/>
      <c r="C362" s="4" t="s">
        <v>697</v>
      </c>
      <c r="D362" s="131" t="s">
        <v>1261</v>
      </c>
      <c r="E362" s="132"/>
      <c r="F362" s="4" t="s">
        <v>1663</v>
      </c>
      <c r="G362" s="68">
        <v>169.625</v>
      </c>
      <c r="H362" s="16">
        <v>0</v>
      </c>
    </row>
    <row r="363" spans="1:8" ht="12.2" customHeight="1" x14ac:dyDescent="0.2">
      <c r="D363" s="157" t="s">
        <v>1886</v>
      </c>
      <c r="E363" s="158"/>
      <c r="F363" s="158"/>
      <c r="G363" s="47">
        <v>45.15</v>
      </c>
    </row>
    <row r="364" spans="1:8" ht="12.2" customHeight="1" x14ac:dyDescent="0.2">
      <c r="A364" s="4"/>
      <c r="B364" s="4"/>
      <c r="C364" s="4"/>
      <c r="D364" s="157" t="s">
        <v>1894</v>
      </c>
      <c r="E364" s="158"/>
      <c r="F364" s="157"/>
      <c r="G364" s="70">
        <v>124.47499999999999</v>
      </c>
      <c r="H364" s="27"/>
    </row>
    <row r="365" spans="1:8" x14ac:dyDescent="0.2">
      <c r="A365" s="4" t="s">
        <v>160</v>
      </c>
      <c r="B365" s="4"/>
      <c r="C365" s="4" t="s">
        <v>698</v>
      </c>
      <c r="D365" s="131" t="s">
        <v>1262</v>
      </c>
      <c r="E365" s="132"/>
      <c r="F365" s="4" t="s">
        <v>1663</v>
      </c>
      <c r="G365" s="68">
        <v>836.89200000000005</v>
      </c>
      <c r="H365" s="16">
        <v>0</v>
      </c>
    </row>
    <row r="366" spans="1:8" ht="12.2" customHeight="1" x14ac:dyDescent="0.2">
      <c r="D366" s="157" t="s">
        <v>1895</v>
      </c>
      <c r="E366" s="158"/>
      <c r="F366" s="158"/>
      <c r="G366" s="47">
        <v>836.89200000000005</v>
      </c>
    </row>
    <row r="367" spans="1:8" x14ac:dyDescent="0.2">
      <c r="A367" s="4" t="s">
        <v>161</v>
      </c>
      <c r="B367" s="4"/>
      <c r="C367" s="4" t="s">
        <v>699</v>
      </c>
      <c r="D367" s="131" t="s">
        <v>1263</v>
      </c>
      <c r="E367" s="132"/>
      <c r="F367" s="4" t="s">
        <v>1663</v>
      </c>
      <c r="G367" s="68">
        <v>614.01599999999996</v>
      </c>
      <c r="H367" s="16">
        <v>0</v>
      </c>
    </row>
    <row r="368" spans="1:8" ht="12.2" customHeight="1" x14ac:dyDescent="0.2">
      <c r="D368" s="157" t="s">
        <v>1896</v>
      </c>
      <c r="E368" s="158"/>
      <c r="F368" s="158"/>
      <c r="G368" s="47">
        <v>614.01599999999996</v>
      </c>
    </row>
    <row r="369" spans="1:8" x14ac:dyDescent="0.2">
      <c r="A369" s="4" t="s">
        <v>162</v>
      </c>
      <c r="B369" s="4"/>
      <c r="C369" s="4" t="s">
        <v>700</v>
      </c>
      <c r="D369" s="131" t="s">
        <v>1264</v>
      </c>
      <c r="E369" s="132"/>
      <c r="F369" s="4" t="s">
        <v>1663</v>
      </c>
      <c r="G369" s="68">
        <v>222.876</v>
      </c>
      <c r="H369" s="16">
        <v>0</v>
      </c>
    </row>
    <row r="370" spans="1:8" ht="12.2" customHeight="1" x14ac:dyDescent="0.2">
      <c r="D370" s="157" t="s">
        <v>1893</v>
      </c>
      <c r="E370" s="158"/>
      <c r="F370" s="158"/>
      <c r="G370" s="47">
        <v>222.876</v>
      </c>
    </row>
    <row r="371" spans="1:8" x14ac:dyDescent="0.2">
      <c r="A371" s="4" t="s">
        <v>163</v>
      </c>
      <c r="B371" s="4"/>
      <c r="C371" s="4" t="s">
        <v>701</v>
      </c>
      <c r="D371" s="131" t="s">
        <v>1265</v>
      </c>
      <c r="E371" s="132"/>
      <c r="F371" s="4" t="s">
        <v>1663</v>
      </c>
      <c r="G371" s="68">
        <v>222.876</v>
      </c>
      <c r="H371" s="16">
        <v>0</v>
      </c>
    </row>
    <row r="372" spans="1:8" ht="12.2" customHeight="1" x14ac:dyDescent="0.2">
      <c r="D372" s="157" t="s">
        <v>1893</v>
      </c>
      <c r="E372" s="158"/>
      <c r="F372" s="158"/>
      <c r="G372" s="47">
        <v>222.876</v>
      </c>
    </row>
    <row r="373" spans="1:8" x14ac:dyDescent="0.2">
      <c r="A373" s="6" t="s">
        <v>164</v>
      </c>
      <c r="B373" s="6"/>
      <c r="C373" s="6" t="s">
        <v>702</v>
      </c>
      <c r="D373" s="144" t="s">
        <v>1266</v>
      </c>
      <c r="E373" s="139"/>
      <c r="F373" s="6" t="s">
        <v>1663</v>
      </c>
      <c r="G373" s="71">
        <v>234.02</v>
      </c>
      <c r="H373" s="17">
        <v>0</v>
      </c>
    </row>
    <row r="374" spans="1:8" ht="12.2" customHeight="1" x14ac:dyDescent="0.2">
      <c r="D374" s="160" t="s">
        <v>1893</v>
      </c>
      <c r="E374" s="161"/>
      <c r="F374" s="161"/>
      <c r="G374" s="48">
        <v>222.876</v>
      </c>
    </row>
    <row r="375" spans="1:8" ht="12.2" customHeight="1" x14ac:dyDescent="0.2">
      <c r="A375" s="6"/>
      <c r="B375" s="6"/>
      <c r="C375" s="6"/>
      <c r="D375" s="160" t="s">
        <v>1897</v>
      </c>
      <c r="E375" s="161"/>
      <c r="F375" s="160"/>
      <c r="G375" s="72">
        <v>11.144</v>
      </c>
      <c r="H375" s="29"/>
    </row>
    <row r="376" spans="1:8" x14ac:dyDescent="0.2">
      <c r="A376" s="6" t="s">
        <v>165</v>
      </c>
      <c r="B376" s="6"/>
      <c r="C376" s="6" t="s">
        <v>703</v>
      </c>
      <c r="D376" s="144" t="s">
        <v>1267</v>
      </c>
      <c r="E376" s="139"/>
      <c r="F376" s="6" t="s">
        <v>1663</v>
      </c>
      <c r="G376" s="71">
        <v>234.02</v>
      </c>
      <c r="H376" s="17">
        <v>0</v>
      </c>
    </row>
    <row r="377" spans="1:8" ht="12.2" customHeight="1" x14ac:dyDescent="0.2">
      <c r="D377" s="160" t="s">
        <v>1893</v>
      </c>
      <c r="E377" s="161"/>
      <c r="F377" s="161"/>
      <c r="G377" s="48">
        <v>222.876</v>
      </c>
    </row>
    <row r="378" spans="1:8" ht="12.2" customHeight="1" x14ac:dyDescent="0.2">
      <c r="A378" s="6"/>
      <c r="B378" s="6"/>
      <c r="C378" s="6"/>
      <c r="D378" s="160" t="s">
        <v>1897</v>
      </c>
      <c r="E378" s="161"/>
      <c r="F378" s="160"/>
      <c r="G378" s="72">
        <v>11.144</v>
      </c>
      <c r="H378" s="29"/>
    </row>
    <row r="379" spans="1:8" x14ac:dyDescent="0.2">
      <c r="A379" s="4" t="s">
        <v>166</v>
      </c>
      <c r="B379" s="4"/>
      <c r="C379" s="4" t="s">
        <v>701</v>
      </c>
      <c r="D379" s="131" t="s">
        <v>1268</v>
      </c>
      <c r="E379" s="132"/>
      <c r="F379" s="4" t="s">
        <v>1663</v>
      </c>
      <c r="G379" s="68">
        <v>614.01599999999996</v>
      </c>
      <c r="H379" s="16">
        <v>0</v>
      </c>
    </row>
    <row r="380" spans="1:8" ht="12.2" customHeight="1" x14ac:dyDescent="0.2">
      <c r="D380" s="157" t="s">
        <v>1896</v>
      </c>
      <c r="E380" s="158"/>
      <c r="F380" s="158"/>
      <c r="G380" s="47">
        <v>614.01599999999996</v>
      </c>
    </row>
    <row r="381" spans="1:8" x14ac:dyDescent="0.2">
      <c r="A381" s="6" t="s">
        <v>167</v>
      </c>
      <c r="B381" s="6"/>
      <c r="C381" s="6" t="s">
        <v>704</v>
      </c>
      <c r="D381" s="144" t="s">
        <v>1269</v>
      </c>
      <c r="E381" s="139"/>
      <c r="F381" s="6" t="s">
        <v>1663</v>
      </c>
      <c r="G381" s="71">
        <v>644.71699999999998</v>
      </c>
      <c r="H381" s="17">
        <v>0</v>
      </c>
    </row>
    <row r="382" spans="1:8" ht="12.2" customHeight="1" x14ac:dyDescent="0.2">
      <c r="D382" s="160" t="s">
        <v>1896</v>
      </c>
      <c r="E382" s="161"/>
      <c r="F382" s="161"/>
      <c r="G382" s="48">
        <v>614.01599999999996</v>
      </c>
    </row>
    <row r="383" spans="1:8" ht="12.2" customHeight="1" x14ac:dyDescent="0.2">
      <c r="A383" s="6"/>
      <c r="B383" s="6"/>
      <c r="C383" s="6"/>
      <c r="D383" s="160" t="s">
        <v>1898</v>
      </c>
      <c r="E383" s="161"/>
      <c r="F383" s="160"/>
      <c r="G383" s="72">
        <v>30.701000000000001</v>
      </c>
      <c r="H383" s="29"/>
    </row>
    <row r="384" spans="1:8" x14ac:dyDescent="0.2">
      <c r="A384" s="6" t="s">
        <v>168</v>
      </c>
      <c r="B384" s="6"/>
      <c r="C384" s="6" t="s">
        <v>705</v>
      </c>
      <c r="D384" s="144" t="s">
        <v>1270</v>
      </c>
      <c r="E384" s="139"/>
      <c r="F384" s="6" t="s">
        <v>1663</v>
      </c>
      <c r="G384" s="71">
        <v>644.71699999999998</v>
      </c>
      <c r="H384" s="17">
        <v>0</v>
      </c>
    </row>
    <row r="385" spans="1:8" ht="12.2" customHeight="1" x14ac:dyDescent="0.2">
      <c r="D385" s="160" t="s">
        <v>1896</v>
      </c>
      <c r="E385" s="161"/>
      <c r="F385" s="161"/>
      <c r="G385" s="48">
        <v>614.01599999999996</v>
      </c>
    </row>
    <row r="386" spans="1:8" ht="12.2" customHeight="1" x14ac:dyDescent="0.2">
      <c r="A386" s="6"/>
      <c r="B386" s="6"/>
      <c r="C386" s="6"/>
      <c r="D386" s="160" t="s">
        <v>1898</v>
      </c>
      <c r="E386" s="161"/>
      <c r="F386" s="160"/>
      <c r="G386" s="72">
        <v>30.701000000000001</v>
      </c>
      <c r="H386" s="29"/>
    </row>
    <row r="387" spans="1:8" x14ac:dyDescent="0.2">
      <c r="A387" s="4" t="s">
        <v>169</v>
      </c>
      <c r="B387" s="4"/>
      <c r="C387" s="4" t="s">
        <v>706</v>
      </c>
      <c r="D387" s="131" t="s">
        <v>1271</v>
      </c>
      <c r="E387" s="132"/>
      <c r="F387" s="4" t="s">
        <v>1663</v>
      </c>
      <c r="G387" s="68">
        <v>170.25</v>
      </c>
      <c r="H387" s="16">
        <v>0</v>
      </c>
    </row>
    <row r="388" spans="1:8" ht="12.2" customHeight="1" x14ac:dyDescent="0.2">
      <c r="D388" s="157" t="s">
        <v>1781</v>
      </c>
      <c r="E388" s="158"/>
      <c r="F388" s="158"/>
      <c r="G388" s="47">
        <v>170.25</v>
      </c>
    </row>
    <row r="389" spans="1:8" x14ac:dyDescent="0.2">
      <c r="A389" s="4" t="s">
        <v>170</v>
      </c>
      <c r="B389" s="4"/>
      <c r="C389" s="4" t="s">
        <v>707</v>
      </c>
      <c r="D389" s="131" t="s">
        <v>1272</v>
      </c>
      <c r="E389" s="132"/>
      <c r="F389" s="4" t="s">
        <v>1663</v>
      </c>
      <c r="G389" s="68">
        <v>170.25</v>
      </c>
      <c r="H389" s="16">
        <v>0</v>
      </c>
    </row>
    <row r="390" spans="1:8" ht="12.2" customHeight="1" x14ac:dyDescent="0.2">
      <c r="D390" s="157" t="s">
        <v>1781</v>
      </c>
      <c r="E390" s="158"/>
      <c r="F390" s="158"/>
      <c r="G390" s="47">
        <v>170.25</v>
      </c>
    </row>
    <row r="391" spans="1:8" x14ac:dyDescent="0.2">
      <c r="A391" s="6" t="s">
        <v>171</v>
      </c>
      <c r="B391" s="6"/>
      <c r="C391" s="6" t="s">
        <v>708</v>
      </c>
      <c r="D391" s="144" t="s">
        <v>1273</v>
      </c>
      <c r="E391" s="139"/>
      <c r="F391" s="6" t="s">
        <v>1663</v>
      </c>
      <c r="G391" s="71">
        <v>178.76300000000001</v>
      </c>
      <c r="H391" s="17">
        <v>0</v>
      </c>
    </row>
    <row r="392" spans="1:8" ht="12.2" customHeight="1" x14ac:dyDescent="0.2">
      <c r="D392" s="160" t="s">
        <v>1781</v>
      </c>
      <c r="E392" s="161"/>
      <c r="F392" s="161"/>
      <c r="G392" s="48">
        <v>170.25</v>
      </c>
    </row>
    <row r="393" spans="1:8" ht="12.2" customHeight="1" x14ac:dyDescent="0.2">
      <c r="A393" s="6"/>
      <c r="B393" s="6"/>
      <c r="C393" s="6"/>
      <c r="D393" s="160" t="s">
        <v>1899</v>
      </c>
      <c r="E393" s="161"/>
      <c r="F393" s="160"/>
      <c r="G393" s="72">
        <v>8.5129999999999999</v>
      </c>
      <c r="H393" s="29"/>
    </row>
    <row r="394" spans="1:8" x14ac:dyDescent="0.2">
      <c r="A394" s="4" t="s">
        <v>172</v>
      </c>
      <c r="B394" s="4"/>
      <c r="C394" s="4" t="s">
        <v>707</v>
      </c>
      <c r="D394" s="131" t="s">
        <v>1274</v>
      </c>
      <c r="E394" s="132"/>
      <c r="F394" s="4" t="s">
        <v>1663</v>
      </c>
      <c r="G394" s="68">
        <v>340.5</v>
      </c>
      <c r="H394" s="16">
        <v>0</v>
      </c>
    </row>
    <row r="395" spans="1:8" ht="12.2" customHeight="1" x14ac:dyDescent="0.2">
      <c r="D395" s="157" t="s">
        <v>1900</v>
      </c>
      <c r="E395" s="158"/>
      <c r="F395" s="158"/>
      <c r="G395" s="47">
        <v>340.5</v>
      </c>
    </row>
    <row r="396" spans="1:8" x14ac:dyDescent="0.2">
      <c r="A396" s="6" t="s">
        <v>173</v>
      </c>
      <c r="B396" s="6"/>
      <c r="C396" s="6" t="s">
        <v>709</v>
      </c>
      <c r="D396" s="144" t="s">
        <v>1275</v>
      </c>
      <c r="E396" s="139"/>
      <c r="F396" s="6" t="s">
        <v>1663</v>
      </c>
      <c r="G396" s="71">
        <v>178.76300000000001</v>
      </c>
      <c r="H396" s="17">
        <v>0</v>
      </c>
    </row>
    <row r="397" spans="1:8" ht="12.2" customHeight="1" x14ac:dyDescent="0.2">
      <c r="D397" s="160" t="s">
        <v>1781</v>
      </c>
      <c r="E397" s="161"/>
      <c r="F397" s="161"/>
      <c r="G397" s="48">
        <v>170.25</v>
      </c>
    </row>
    <row r="398" spans="1:8" ht="12.2" customHeight="1" x14ac:dyDescent="0.2">
      <c r="A398" s="6"/>
      <c r="B398" s="6"/>
      <c r="C398" s="6"/>
      <c r="D398" s="160" t="s">
        <v>1899</v>
      </c>
      <c r="E398" s="161"/>
      <c r="F398" s="160"/>
      <c r="G398" s="72">
        <v>8.5129999999999999</v>
      </c>
      <c r="H398" s="29"/>
    </row>
    <row r="399" spans="1:8" x14ac:dyDescent="0.2">
      <c r="A399" s="6" t="s">
        <v>174</v>
      </c>
      <c r="B399" s="6"/>
      <c r="C399" s="6" t="s">
        <v>710</v>
      </c>
      <c r="D399" s="144" t="s">
        <v>1276</v>
      </c>
      <c r="E399" s="139"/>
      <c r="F399" s="6" t="s">
        <v>1663</v>
      </c>
      <c r="G399" s="71">
        <v>178.76300000000001</v>
      </c>
      <c r="H399" s="17">
        <v>0</v>
      </c>
    </row>
    <row r="400" spans="1:8" ht="12.2" customHeight="1" x14ac:dyDescent="0.2">
      <c r="D400" s="160" t="s">
        <v>1781</v>
      </c>
      <c r="E400" s="161"/>
      <c r="F400" s="161"/>
      <c r="G400" s="48">
        <v>170.25</v>
      </c>
    </row>
    <row r="401" spans="1:8" ht="12.2" customHeight="1" x14ac:dyDescent="0.2">
      <c r="A401" s="6"/>
      <c r="B401" s="6"/>
      <c r="C401" s="6"/>
      <c r="D401" s="160" t="s">
        <v>1899</v>
      </c>
      <c r="E401" s="161"/>
      <c r="F401" s="160"/>
      <c r="G401" s="72">
        <v>8.5129999999999999</v>
      </c>
      <c r="H401" s="29"/>
    </row>
    <row r="402" spans="1:8" x14ac:dyDescent="0.2">
      <c r="A402" s="4" t="s">
        <v>175</v>
      </c>
      <c r="B402" s="4"/>
      <c r="C402" s="4" t="s">
        <v>711</v>
      </c>
      <c r="D402" s="131" t="s">
        <v>1277</v>
      </c>
      <c r="E402" s="132"/>
      <c r="F402" s="4" t="s">
        <v>1663</v>
      </c>
      <c r="G402" s="68">
        <v>170.25</v>
      </c>
      <c r="H402" s="16">
        <v>0</v>
      </c>
    </row>
    <row r="403" spans="1:8" ht="12.2" customHeight="1" x14ac:dyDescent="0.2">
      <c r="D403" s="157" t="s">
        <v>1781</v>
      </c>
      <c r="E403" s="158"/>
      <c r="F403" s="158"/>
      <c r="G403" s="47">
        <v>170.25</v>
      </c>
    </row>
    <row r="404" spans="1:8" x14ac:dyDescent="0.2">
      <c r="A404" s="6" t="s">
        <v>176</v>
      </c>
      <c r="B404" s="6"/>
      <c r="C404" s="6" t="s">
        <v>712</v>
      </c>
      <c r="D404" s="144" t="s">
        <v>1278</v>
      </c>
      <c r="E404" s="139"/>
      <c r="F404" s="6" t="s">
        <v>1663</v>
      </c>
      <c r="G404" s="71">
        <v>178.76300000000001</v>
      </c>
      <c r="H404" s="17">
        <v>0</v>
      </c>
    </row>
    <row r="405" spans="1:8" ht="12.2" customHeight="1" x14ac:dyDescent="0.2">
      <c r="D405" s="160" t="s">
        <v>1781</v>
      </c>
      <c r="E405" s="161"/>
      <c r="F405" s="161"/>
      <c r="G405" s="48">
        <v>170.25</v>
      </c>
    </row>
    <row r="406" spans="1:8" ht="12.2" customHeight="1" x14ac:dyDescent="0.2">
      <c r="A406" s="6"/>
      <c r="B406" s="6"/>
      <c r="C406" s="6"/>
      <c r="D406" s="160" t="s">
        <v>1899</v>
      </c>
      <c r="E406" s="161"/>
      <c r="F406" s="160"/>
      <c r="G406" s="72">
        <v>8.5129999999999999</v>
      </c>
      <c r="H406" s="29"/>
    </row>
    <row r="407" spans="1:8" x14ac:dyDescent="0.2">
      <c r="A407" s="4" t="s">
        <v>177</v>
      </c>
      <c r="B407" s="4"/>
      <c r="C407" s="4" t="s">
        <v>713</v>
      </c>
      <c r="D407" s="131" t="s">
        <v>1279</v>
      </c>
      <c r="E407" s="132"/>
      <c r="F407" s="4" t="s">
        <v>1664</v>
      </c>
      <c r="G407" s="68">
        <v>23.524999999999999</v>
      </c>
      <c r="H407" s="16">
        <v>0</v>
      </c>
    </row>
    <row r="408" spans="1:8" ht="12.2" customHeight="1" x14ac:dyDescent="0.2">
      <c r="D408" s="157" t="s">
        <v>1901</v>
      </c>
      <c r="E408" s="158"/>
      <c r="F408" s="158"/>
      <c r="G408" s="47">
        <v>23.524999999999999</v>
      </c>
    </row>
    <row r="409" spans="1:8" x14ac:dyDescent="0.2">
      <c r="A409" s="13"/>
      <c r="B409" s="13"/>
      <c r="C409" s="13" t="s">
        <v>714</v>
      </c>
      <c r="D409" s="136" t="s">
        <v>1280</v>
      </c>
      <c r="E409" s="137"/>
      <c r="F409" s="13"/>
      <c r="G409" s="69"/>
      <c r="H409" s="28"/>
    </row>
    <row r="410" spans="1:8" x14ac:dyDescent="0.2">
      <c r="A410" s="4" t="s">
        <v>178</v>
      </c>
      <c r="B410" s="4"/>
      <c r="C410" s="4" t="s">
        <v>715</v>
      </c>
      <c r="D410" s="131" t="s">
        <v>1281</v>
      </c>
      <c r="E410" s="132"/>
      <c r="F410" s="4" t="s">
        <v>1666</v>
      </c>
      <c r="G410" s="68">
        <v>6.5</v>
      </c>
      <c r="H410" s="16">
        <v>0</v>
      </c>
    </row>
    <row r="411" spans="1:8" x14ac:dyDescent="0.2">
      <c r="A411" s="4" t="s">
        <v>179</v>
      </c>
      <c r="B411" s="4"/>
      <c r="C411" s="4" t="s">
        <v>716</v>
      </c>
      <c r="D411" s="131" t="s">
        <v>1283</v>
      </c>
      <c r="E411" s="132"/>
      <c r="F411" s="4" t="s">
        <v>1665</v>
      </c>
      <c r="G411" s="68">
        <v>1</v>
      </c>
      <c r="H411" s="16">
        <v>0</v>
      </c>
    </row>
    <row r="412" spans="1:8" x14ac:dyDescent="0.2">
      <c r="A412" s="4" t="s">
        <v>180</v>
      </c>
      <c r="B412" s="4"/>
      <c r="C412" s="4" t="s">
        <v>717</v>
      </c>
      <c r="D412" s="131" t="s">
        <v>1284</v>
      </c>
      <c r="E412" s="132"/>
      <c r="F412" s="4" t="s">
        <v>1665</v>
      </c>
      <c r="G412" s="68">
        <v>1</v>
      </c>
      <c r="H412" s="16">
        <v>0</v>
      </c>
    </row>
    <row r="413" spans="1:8" x14ac:dyDescent="0.2">
      <c r="A413" s="4" t="s">
        <v>181</v>
      </c>
      <c r="B413" s="4"/>
      <c r="C413" s="4" t="s">
        <v>718</v>
      </c>
      <c r="D413" s="131" t="s">
        <v>1285</v>
      </c>
      <c r="E413" s="132"/>
      <c r="F413" s="4" t="s">
        <v>1666</v>
      </c>
      <c r="G413" s="68">
        <v>8</v>
      </c>
      <c r="H413" s="16">
        <v>0</v>
      </c>
    </row>
    <row r="414" spans="1:8" x14ac:dyDescent="0.2">
      <c r="A414" s="4" t="s">
        <v>182</v>
      </c>
      <c r="B414" s="4"/>
      <c r="C414" s="4" t="s">
        <v>719</v>
      </c>
      <c r="D414" s="131" t="s">
        <v>1287</v>
      </c>
      <c r="E414" s="132"/>
      <c r="F414" s="4" t="s">
        <v>1665</v>
      </c>
      <c r="G414" s="68">
        <v>1</v>
      </c>
      <c r="H414" s="16">
        <v>0</v>
      </c>
    </row>
    <row r="415" spans="1:8" x14ac:dyDescent="0.2">
      <c r="A415" s="4" t="s">
        <v>183</v>
      </c>
      <c r="B415" s="4"/>
      <c r="C415" s="4" t="s">
        <v>720</v>
      </c>
      <c r="D415" s="131" t="s">
        <v>1289</v>
      </c>
      <c r="E415" s="132"/>
      <c r="F415" s="4" t="s">
        <v>1665</v>
      </c>
      <c r="G415" s="68">
        <v>1</v>
      </c>
      <c r="H415" s="16">
        <v>0</v>
      </c>
    </row>
    <row r="416" spans="1:8" x14ac:dyDescent="0.2">
      <c r="A416" s="4" t="s">
        <v>184</v>
      </c>
      <c r="B416" s="4"/>
      <c r="C416" s="4" t="s">
        <v>721</v>
      </c>
      <c r="D416" s="131" t="s">
        <v>1291</v>
      </c>
      <c r="E416" s="132"/>
      <c r="F416" s="4" t="s">
        <v>1665</v>
      </c>
      <c r="G416" s="68">
        <v>1</v>
      </c>
      <c r="H416" s="16">
        <v>0</v>
      </c>
    </row>
    <row r="417" spans="1:8" x14ac:dyDescent="0.2">
      <c r="A417" s="4" t="s">
        <v>185</v>
      </c>
      <c r="B417" s="4"/>
      <c r="C417" s="4" t="s">
        <v>722</v>
      </c>
      <c r="D417" s="131" t="s">
        <v>1293</v>
      </c>
      <c r="E417" s="132"/>
      <c r="F417" s="4" t="s">
        <v>1665</v>
      </c>
      <c r="G417" s="68">
        <v>2</v>
      </c>
      <c r="H417" s="16">
        <v>0</v>
      </c>
    </row>
    <row r="418" spans="1:8" x14ac:dyDescent="0.2">
      <c r="A418" s="4" t="s">
        <v>186</v>
      </c>
      <c r="B418" s="4"/>
      <c r="C418" s="4" t="s">
        <v>723</v>
      </c>
      <c r="D418" s="131" t="s">
        <v>1295</v>
      </c>
      <c r="E418" s="132"/>
      <c r="F418" s="4" t="s">
        <v>1668</v>
      </c>
      <c r="G418" s="68">
        <v>10</v>
      </c>
      <c r="H418" s="16">
        <v>0</v>
      </c>
    </row>
    <row r="419" spans="1:8" x14ac:dyDescent="0.2">
      <c r="A419" s="4" t="s">
        <v>187</v>
      </c>
      <c r="B419" s="4"/>
      <c r="C419" s="4" t="s">
        <v>724</v>
      </c>
      <c r="D419" s="131" t="s">
        <v>1296</v>
      </c>
      <c r="E419" s="132"/>
      <c r="F419" s="4" t="s">
        <v>1670</v>
      </c>
      <c r="G419" s="68">
        <v>1</v>
      </c>
      <c r="H419" s="16">
        <v>0</v>
      </c>
    </row>
    <row r="420" spans="1:8" x14ac:dyDescent="0.2">
      <c r="A420" s="4" t="s">
        <v>188</v>
      </c>
      <c r="B420" s="4"/>
      <c r="C420" s="4" t="s">
        <v>725</v>
      </c>
      <c r="D420" s="131" t="s">
        <v>1297</v>
      </c>
      <c r="E420" s="132"/>
      <c r="F420" s="4" t="s">
        <v>1670</v>
      </c>
      <c r="G420" s="68">
        <v>1</v>
      </c>
      <c r="H420" s="16">
        <v>0</v>
      </c>
    </row>
    <row r="421" spans="1:8" x14ac:dyDescent="0.2">
      <c r="A421" s="4" t="s">
        <v>189</v>
      </c>
      <c r="B421" s="4"/>
      <c r="C421" s="4" t="s">
        <v>726</v>
      </c>
      <c r="D421" s="131" t="s">
        <v>1298</v>
      </c>
      <c r="E421" s="132"/>
      <c r="F421" s="4" t="s">
        <v>1670</v>
      </c>
      <c r="G421" s="68">
        <v>1</v>
      </c>
      <c r="H421" s="16">
        <v>0</v>
      </c>
    </row>
    <row r="422" spans="1:8" x14ac:dyDescent="0.2">
      <c r="A422" s="4" t="s">
        <v>190</v>
      </c>
      <c r="B422" s="4"/>
      <c r="C422" s="4" t="s">
        <v>727</v>
      </c>
      <c r="D422" s="131" t="s">
        <v>1299</v>
      </c>
      <c r="E422" s="132"/>
      <c r="F422" s="4" t="s">
        <v>1665</v>
      </c>
      <c r="G422" s="68">
        <v>1</v>
      </c>
      <c r="H422" s="16">
        <v>0</v>
      </c>
    </row>
    <row r="423" spans="1:8" x14ac:dyDescent="0.2">
      <c r="A423" s="4" t="s">
        <v>191</v>
      </c>
      <c r="B423" s="4"/>
      <c r="C423" s="4" t="s">
        <v>728</v>
      </c>
      <c r="D423" s="131" t="s">
        <v>1300</v>
      </c>
      <c r="E423" s="132"/>
      <c r="F423" s="4" t="s">
        <v>1665</v>
      </c>
      <c r="G423" s="68">
        <v>1</v>
      </c>
      <c r="H423" s="16">
        <v>0</v>
      </c>
    </row>
    <row r="424" spans="1:8" x14ac:dyDescent="0.2">
      <c r="A424" s="4" t="s">
        <v>192</v>
      </c>
      <c r="B424" s="4"/>
      <c r="C424" s="4" t="s">
        <v>729</v>
      </c>
      <c r="D424" s="131" t="s">
        <v>1301</v>
      </c>
      <c r="E424" s="132"/>
      <c r="F424" s="4" t="s">
        <v>1670</v>
      </c>
      <c r="G424" s="68">
        <v>1</v>
      </c>
      <c r="H424" s="16">
        <v>0</v>
      </c>
    </row>
    <row r="425" spans="1:8" x14ac:dyDescent="0.2">
      <c r="A425" s="4" t="s">
        <v>193</v>
      </c>
      <c r="B425" s="4"/>
      <c r="C425" s="4" t="s">
        <v>730</v>
      </c>
      <c r="D425" s="131" t="s">
        <v>1302</v>
      </c>
      <c r="E425" s="132"/>
      <c r="F425" s="4" t="s">
        <v>1670</v>
      </c>
      <c r="G425" s="68">
        <v>1</v>
      </c>
      <c r="H425" s="16">
        <v>0</v>
      </c>
    </row>
    <row r="426" spans="1:8" x14ac:dyDescent="0.2">
      <c r="A426" s="4" t="s">
        <v>194</v>
      </c>
      <c r="B426" s="4"/>
      <c r="C426" s="4" t="s">
        <v>731</v>
      </c>
      <c r="D426" s="131" t="s">
        <v>1303</v>
      </c>
      <c r="E426" s="132"/>
      <c r="F426" s="4" t="s">
        <v>1665</v>
      </c>
      <c r="G426" s="68">
        <v>1</v>
      </c>
      <c r="H426" s="16">
        <v>0</v>
      </c>
    </row>
    <row r="427" spans="1:8" x14ac:dyDescent="0.2">
      <c r="A427" s="4" t="s">
        <v>195</v>
      </c>
      <c r="B427" s="4"/>
      <c r="C427" s="4" t="s">
        <v>732</v>
      </c>
      <c r="D427" s="131" t="s">
        <v>1304</v>
      </c>
      <c r="E427" s="132"/>
      <c r="F427" s="4" t="s">
        <v>1665</v>
      </c>
      <c r="G427" s="68">
        <v>1</v>
      </c>
      <c r="H427" s="16">
        <v>0</v>
      </c>
    </row>
    <row r="428" spans="1:8" x14ac:dyDescent="0.2">
      <c r="A428" s="4" t="s">
        <v>196</v>
      </c>
      <c r="B428" s="4"/>
      <c r="C428" s="4" t="s">
        <v>733</v>
      </c>
      <c r="D428" s="131" t="s">
        <v>1305</v>
      </c>
      <c r="E428" s="132"/>
      <c r="F428" s="4" t="s">
        <v>1665</v>
      </c>
      <c r="G428" s="68">
        <v>1</v>
      </c>
      <c r="H428" s="16">
        <v>0</v>
      </c>
    </row>
    <row r="429" spans="1:8" x14ac:dyDescent="0.2">
      <c r="A429" s="13"/>
      <c r="B429" s="13"/>
      <c r="C429" s="13" t="s">
        <v>734</v>
      </c>
      <c r="D429" s="136" t="s">
        <v>1307</v>
      </c>
      <c r="E429" s="137"/>
      <c r="F429" s="13"/>
      <c r="G429" s="69"/>
      <c r="H429" s="28"/>
    </row>
    <row r="430" spans="1:8" x14ac:dyDescent="0.2">
      <c r="A430" s="4" t="s">
        <v>197</v>
      </c>
      <c r="B430" s="4"/>
      <c r="C430" s="4" t="s">
        <v>735</v>
      </c>
      <c r="D430" s="131" t="s">
        <v>1308</v>
      </c>
      <c r="E430" s="132"/>
      <c r="F430" s="4" t="s">
        <v>1666</v>
      </c>
      <c r="G430" s="68">
        <v>7.5</v>
      </c>
      <c r="H430" s="16">
        <v>0</v>
      </c>
    </row>
    <row r="431" spans="1:8" x14ac:dyDescent="0.2">
      <c r="A431" s="4" t="s">
        <v>198</v>
      </c>
      <c r="B431" s="4"/>
      <c r="C431" s="4" t="s">
        <v>736</v>
      </c>
      <c r="D431" s="131" t="s">
        <v>1310</v>
      </c>
      <c r="E431" s="132"/>
      <c r="F431" s="4" t="s">
        <v>1665</v>
      </c>
      <c r="G431" s="68">
        <v>1</v>
      </c>
      <c r="H431" s="16">
        <v>0</v>
      </c>
    </row>
    <row r="432" spans="1:8" x14ac:dyDescent="0.2">
      <c r="A432" s="4" t="s">
        <v>199</v>
      </c>
      <c r="B432" s="4"/>
      <c r="C432" s="4" t="s">
        <v>737</v>
      </c>
      <c r="D432" s="131" t="s">
        <v>1311</v>
      </c>
      <c r="E432" s="132"/>
      <c r="F432" s="4" t="s">
        <v>1665</v>
      </c>
      <c r="G432" s="68">
        <v>2</v>
      </c>
      <c r="H432" s="16">
        <v>0</v>
      </c>
    </row>
    <row r="433" spans="1:8" x14ac:dyDescent="0.2">
      <c r="A433" s="4" t="s">
        <v>200</v>
      </c>
      <c r="B433" s="4"/>
      <c r="C433" s="4" t="s">
        <v>738</v>
      </c>
      <c r="D433" s="131" t="s">
        <v>1312</v>
      </c>
      <c r="E433" s="132"/>
      <c r="F433" s="4" t="s">
        <v>1666</v>
      </c>
      <c r="G433" s="68">
        <v>13.5</v>
      </c>
      <c r="H433" s="16">
        <v>0</v>
      </c>
    </row>
    <row r="434" spans="1:8" x14ac:dyDescent="0.2">
      <c r="A434" s="4" t="s">
        <v>201</v>
      </c>
      <c r="B434" s="4"/>
      <c r="C434" s="4" t="s">
        <v>739</v>
      </c>
      <c r="D434" s="131" t="s">
        <v>1314</v>
      </c>
      <c r="E434" s="132"/>
      <c r="F434" s="4" t="s">
        <v>1666</v>
      </c>
      <c r="G434" s="68">
        <v>13.5</v>
      </c>
      <c r="H434" s="16">
        <v>0</v>
      </c>
    </row>
    <row r="435" spans="1:8" x14ac:dyDescent="0.2">
      <c r="A435" s="4" t="s">
        <v>202</v>
      </c>
      <c r="B435" s="4"/>
      <c r="C435" s="4" t="s">
        <v>740</v>
      </c>
      <c r="D435" s="131" t="s">
        <v>1316</v>
      </c>
      <c r="E435" s="132"/>
      <c r="F435" s="4" t="s">
        <v>1665</v>
      </c>
      <c r="G435" s="68">
        <v>4</v>
      </c>
      <c r="H435" s="16">
        <v>0</v>
      </c>
    </row>
    <row r="436" spans="1:8" x14ac:dyDescent="0.2">
      <c r="A436" s="4" t="s">
        <v>203</v>
      </c>
      <c r="B436" s="4"/>
      <c r="C436" s="4" t="s">
        <v>741</v>
      </c>
      <c r="D436" s="131" t="s">
        <v>1318</v>
      </c>
      <c r="E436" s="132"/>
      <c r="F436" s="4" t="s">
        <v>1665</v>
      </c>
      <c r="G436" s="68">
        <v>1</v>
      </c>
      <c r="H436" s="16">
        <v>0</v>
      </c>
    </row>
    <row r="437" spans="1:8" x14ac:dyDescent="0.2">
      <c r="A437" s="4" t="s">
        <v>204</v>
      </c>
      <c r="B437" s="4"/>
      <c r="C437" s="4" t="s">
        <v>742</v>
      </c>
      <c r="D437" s="131" t="s">
        <v>1320</v>
      </c>
      <c r="E437" s="132"/>
      <c r="F437" s="4" t="s">
        <v>1665</v>
      </c>
      <c r="G437" s="68">
        <v>1</v>
      </c>
      <c r="H437" s="16">
        <v>0</v>
      </c>
    </row>
    <row r="438" spans="1:8" x14ac:dyDescent="0.2">
      <c r="A438" s="4" t="s">
        <v>205</v>
      </c>
      <c r="B438" s="4"/>
      <c r="C438" s="4" t="s">
        <v>743</v>
      </c>
      <c r="D438" s="131" t="s">
        <v>1322</v>
      </c>
      <c r="E438" s="132"/>
      <c r="F438" s="4" t="s">
        <v>1665</v>
      </c>
      <c r="G438" s="68">
        <v>1</v>
      </c>
      <c r="H438" s="16">
        <v>0</v>
      </c>
    </row>
    <row r="439" spans="1:8" x14ac:dyDescent="0.2">
      <c r="A439" s="4" t="s">
        <v>206</v>
      </c>
      <c r="B439" s="4"/>
      <c r="C439" s="4" t="s">
        <v>744</v>
      </c>
      <c r="D439" s="131" t="s">
        <v>1323</v>
      </c>
      <c r="E439" s="132"/>
      <c r="F439" s="4" t="s">
        <v>1665</v>
      </c>
      <c r="G439" s="68">
        <v>1</v>
      </c>
      <c r="H439" s="16">
        <v>0</v>
      </c>
    </row>
    <row r="440" spans="1:8" x14ac:dyDescent="0.2">
      <c r="A440" s="4" t="s">
        <v>207</v>
      </c>
      <c r="B440" s="4"/>
      <c r="C440" s="4" t="s">
        <v>745</v>
      </c>
      <c r="D440" s="131" t="s">
        <v>1324</v>
      </c>
      <c r="E440" s="132"/>
      <c r="F440" s="4" t="s">
        <v>1665</v>
      </c>
      <c r="G440" s="68">
        <v>1</v>
      </c>
      <c r="H440" s="16">
        <v>0</v>
      </c>
    </row>
    <row r="441" spans="1:8" x14ac:dyDescent="0.2">
      <c r="A441" s="4" t="s">
        <v>208</v>
      </c>
      <c r="B441" s="4"/>
      <c r="C441" s="4" t="s">
        <v>746</v>
      </c>
      <c r="D441" s="131" t="s">
        <v>1325</v>
      </c>
      <c r="E441" s="132"/>
      <c r="F441" s="4" t="s">
        <v>1665</v>
      </c>
      <c r="G441" s="68">
        <v>1</v>
      </c>
      <c r="H441" s="16">
        <v>0</v>
      </c>
    </row>
    <row r="442" spans="1:8" x14ac:dyDescent="0.2">
      <c r="A442" s="4" t="s">
        <v>209</v>
      </c>
      <c r="B442" s="4"/>
      <c r="C442" s="4" t="s">
        <v>747</v>
      </c>
      <c r="D442" s="131" t="s">
        <v>1326</v>
      </c>
      <c r="E442" s="132"/>
      <c r="F442" s="4" t="s">
        <v>1665</v>
      </c>
      <c r="G442" s="68">
        <v>1</v>
      </c>
      <c r="H442" s="16">
        <v>0</v>
      </c>
    </row>
    <row r="443" spans="1:8" x14ac:dyDescent="0.2">
      <c r="A443" s="4" t="s">
        <v>210</v>
      </c>
      <c r="B443" s="4"/>
      <c r="C443" s="4" t="s">
        <v>748</v>
      </c>
      <c r="D443" s="131" t="s">
        <v>1327</v>
      </c>
      <c r="E443" s="132"/>
      <c r="F443" s="4" t="s">
        <v>1665</v>
      </c>
      <c r="G443" s="68">
        <v>2</v>
      </c>
      <c r="H443" s="16">
        <v>0</v>
      </c>
    </row>
    <row r="444" spans="1:8" x14ac:dyDescent="0.2">
      <c r="A444" s="4" t="s">
        <v>211</v>
      </c>
      <c r="B444" s="4"/>
      <c r="C444" s="4" t="s">
        <v>749</v>
      </c>
      <c r="D444" s="131" t="s">
        <v>1328</v>
      </c>
      <c r="E444" s="132"/>
      <c r="F444" s="4" t="s">
        <v>1665</v>
      </c>
      <c r="G444" s="68">
        <v>2</v>
      </c>
      <c r="H444" s="16">
        <v>0</v>
      </c>
    </row>
    <row r="445" spans="1:8" x14ac:dyDescent="0.2">
      <c r="A445" s="4" t="s">
        <v>212</v>
      </c>
      <c r="B445" s="4"/>
      <c r="C445" s="4" t="s">
        <v>750</v>
      </c>
      <c r="D445" s="131" t="s">
        <v>1330</v>
      </c>
      <c r="E445" s="132"/>
      <c r="F445" s="4" t="s">
        <v>1665</v>
      </c>
      <c r="G445" s="68">
        <v>2</v>
      </c>
      <c r="H445" s="16">
        <v>0</v>
      </c>
    </row>
    <row r="446" spans="1:8" x14ac:dyDescent="0.2">
      <c r="A446" s="4" t="s">
        <v>213</v>
      </c>
      <c r="B446" s="4"/>
      <c r="C446" s="4" t="s">
        <v>751</v>
      </c>
      <c r="D446" s="131" t="s">
        <v>1295</v>
      </c>
      <c r="E446" s="132"/>
      <c r="F446" s="4" t="s">
        <v>1668</v>
      </c>
      <c r="G446" s="68">
        <v>15</v>
      </c>
      <c r="H446" s="16">
        <v>0</v>
      </c>
    </row>
    <row r="447" spans="1:8" x14ac:dyDescent="0.2">
      <c r="A447" s="4" t="s">
        <v>214</v>
      </c>
      <c r="B447" s="4"/>
      <c r="C447" s="4" t="s">
        <v>752</v>
      </c>
      <c r="D447" s="131" t="s">
        <v>1331</v>
      </c>
      <c r="E447" s="132"/>
      <c r="F447" s="4" t="s">
        <v>1665</v>
      </c>
      <c r="G447" s="68">
        <v>1</v>
      </c>
      <c r="H447" s="16">
        <v>0</v>
      </c>
    </row>
    <row r="448" spans="1:8" x14ac:dyDescent="0.2">
      <c r="A448" s="4" t="s">
        <v>215</v>
      </c>
      <c r="B448" s="4"/>
      <c r="C448" s="4" t="s">
        <v>753</v>
      </c>
      <c r="D448" s="131" t="s">
        <v>1332</v>
      </c>
      <c r="E448" s="132"/>
      <c r="F448" s="4" t="s">
        <v>1665</v>
      </c>
      <c r="G448" s="68">
        <v>1</v>
      </c>
      <c r="H448" s="16">
        <v>0</v>
      </c>
    </row>
    <row r="449" spans="1:8" x14ac:dyDescent="0.2">
      <c r="A449" s="4" t="s">
        <v>216</v>
      </c>
      <c r="B449" s="4"/>
      <c r="C449" s="4" t="s">
        <v>754</v>
      </c>
      <c r="D449" s="131" t="s">
        <v>1333</v>
      </c>
      <c r="E449" s="132"/>
      <c r="F449" s="4" t="s">
        <v>1665</v>
      </c>
      <c r="G449" s="68">
        <v>1</v>
      </c>
      <c r="H449" s="16">
        <v>0</v>
      </c>
    </row>
    <row r="450" spans="1:8" x14ac:dyDescent="0.2">
      <c r="A450" s="4" t="s">
        <v>217</v>
      </c>
      <c r="B450" s="4"/>
      <c r="C450" s="4" t="s">
        <v>755</v>
      </c>
      <c r="D450" s="131" t="s">
        <v>1334</v>
      </c>
      <c r="E450" s="132"/>
      <c r="F450" s="4" t="s">
        <v>1670</v>
      </c>
      <c r="G450" s="68">
        <v>1</v>
      </c>
      <c r="H450" s="16">
        <v>0</v>
      </c>
    </row>
    <row r="451" spans="1:8" x14ac:dyDescent="0.2">
      <c r="A451" s="4" t="s">
        <v>218</v>
      </c>
      <c r="B451" s="4"/>
      <c r="C451" s="4" t="s">
        <v>756</v>
      </c>
      <c r="D451" s="131" t="s">
        <v>1335</v>
      </c>
      <c r="E451" s="132"/>
      <c r="F451" s="4" t="s">
        <v>1670</v>
      </c>
      <c r="G451" s="68">
        <v>1</v>
      </c>
      <c r="H451" s="16">
        <v>0</v>
      </c>
    </row>
    <row r="452" spans="1:8" x14ac:dyDescent="0.2">
      <c r="A452" s="4" t="s">
        <v>219</v>
      </c>
      <c r="B452" s="4"/>
      <c r="C452" s="4" t="s">
        <v>757</v>
      </c>
      <c r="D452" s="131" t="s">
        <v>1336</v>
      </c>
      <c r="E452" s="132"/>
      <c r="F452" s="4" t="s">
        <v>1670</v>
      </c>
      <c r="G452" s="68">
        <v>1</v>
      </c>
      <c r="H452" s="16">
        <v>0</v>
      </c>
    </row>
    <row r="453" spans="1:8" x14ac:dyDescent="0.2">
      <c r="A453" s="4" t="s">
        <v>220</v>
      </c>
      <c r="B453" s="4"/>
      <c r="C453" s="4" t="s">
        <v>758</v>
      </c>
      <c r="D453" s="131" t="s">
        <v>1337</v>
      </c>
      <c r="E453" s="132"/>
      <c r="F453" s="4" t="s">
        <v>1668</v>
      </c>
      <c r="G453" s="68">
        <v>20</v>
      </c>
      <c r="H453" s="16">
        <v>0</v>
      </c>
    </row>
    <row r="454" spans="1:8" x14ac:dyDescent="0.2">
      <c r="A454" s="4" t="s">
        <v>221</v>
      </c>
      <c r="B454" s="4"/>
      <c r="C454" s="4" t="s">
        <v>759</v>
      </c>
      <c r="D454" s="131" t="s">
        <v>1303</v>
      </c>
      <c r="E454" s="132"/>
      <c r="F454" s="4" t="s">
        <v>1665</v>
      </c>
      <c r="G454" s="68">
        <v>1</v>
      </c>
      <c r="H454" s="16">
        <v>0</v>
      </c>
    </row>
    <row r="455" spans="1:8" x14ac:dyDescent="0.2">
      <c r="A455" s="4" t="s">
        <v>222</v>
      </c>
      <c r="B455" s="4"/>
      <c r="C455" s="4" t="s">
        <v>760</v>
      </c>
      <c r="D455" s="131" t="s">
        <v>1304</v>
      </c>
      <c r="E455" s="132"/>
      <c r="F455" s="4" t="s">
        <v>1665</v>
      </c>
      <c r="G455" s="68">
        <v>1</v>
      </c>
      <c r="H455" s="16">
        <v>0</v>
      </c>
    </row>
    <row r="456" spans="1:8" x14ac:dyDescent="0.2">
      <c r="A456" s="4" t="s">
        <v>223</v>
      </c>
      <c r="B456" s="4"/>
      <c r="C456" s="4" t="s">
        <v>761</v>
      </c>
      <c r="D456" s="131" t="s">
        <v>1305</v>
      </c>
      <c r="E456" s="132"/>
      <c r="F456" s="4" t="s">
        <v>1665</v>
      </c>
      <c r="G456" s="68">
        <v>1</v>
      </c>
      <c r="H456" s="16">
        <v>0</v>
      </c>
    </row>
    <row r="457" spans="1:8" x14ac:dyDescent="0.2">
      <c r="A457" s="13"/>
      <c r="B457" s="13"/>
      <c r="C457" s="13" t="s">
        <v>762</v>
      </c>
      <c r="D457" s="136" t="s">
        <v>1338</v>
      </c>
      <c r="E457" s="137"/>
      <c r="F457" s="13"/>
      <c r="G457" s="69"/>
      <c r="H457" s="28"/>
    </row>
    <row r="458" spans="1:8" x14ac:dyDescent="0.2">
      <c r="A458" s="4" t="s">
        <v>224</v>
      </c>
      <c r="B458" s="4"/>
      <c r="C458" s="4" t="s">
        <v>763</v>
      </c>
      <c r="D458" s="131" t="s">
        <v>1339</v>
      </c>
      <c r="E458" s="132"/>
      <c r="F458" s="4" t="s">
        <v>1665</v>
      </c>
      <c r="G458" s="68">
        <v>1</v>
      </c>
      <c r="H458" s="16">
        <v>0</v>
      </c>
    </row>
    <row r="459" spans="1:8" x14ac:dyDescent="0.2">
      <c r="A459" s="4" t="s">
        <v>225</v>
      </c>
      <c r="B459" s="4"/>
      <c r="C459" s="4" t="s">
        <v>764</v>
      </c>
      <c r="D459" s="131" t="s">
        <v>1341</v>
      </c>
      <c r="E459" s="132"/>
      <c r="F459" s="4" t="s">
        <v>1671</v>
      </c>
      <c r="G459" s="68">
        <v>1</v>
      </c>
      <c r="H459" s="16">
        <v>0</v>
      </c>
    </row>
    <row r="460" spans="1:8" x14ac:dyDescent="0.2">
      <c r="A460" s="4" t="s">
        <v>226</v>
      </c>
      <c r="B460" s="4"/>
      <c r="C460" s="4" t="s">
        <v>765</v>
      </c>
      <c r="D460" s="131" t="s">
        <v>1342</v>
      </c>
      <c r="E460" s="132"/>
      <c r="F460" s="4" t="s">
        <v>1665</v>
      </c>
      <c r="G460" s="68">
        <v>4</v>
      </c>
      <c r="H460" s="16">
        <v>0</v>
      </c>
    </row>
    <row r="461" spans="1:8" x14ac:dyDescent="0.2">
      <c r="A461" s="4" t="s">
        <v>227</v>
      </c>
      <c r="B461" s="4"/>
      <c r="C461" s="4" t="s">
        <v>766</v>
      </c>
      <c r="D461" s="131" t="s">
        <v>1343</v>
      </c>
      <c r="E461" s="132"/>
      <c r="F461" s="4" t="s">
        <v>1665</v>
      </c>
      <c r="G461" s="68">
        <v>2</v>
      </c>
      <c r="H461" s="16">
        <v>0</v>
      </c>
    </row>
    <row r="462" spans="1:8" x14ac:dyDescent="0.2">
      <c r="A462" s="4" t="s">
        <v>228</v>
      </c>
      <c r="B462" s="4"/>
      <c r="C462" s="4" t="s">
        <v>767</v>
      </c>
      <c r="D462" s="131" t="s">
        <v>1344</v>
      </c>
      <c r="E462" s="132"/>
      <c r="F462" s="4" t="s">
        <v>1665</v>
      </c>
      <c r="G462" s="68">
        <v>2</v>
      </c>
      <c r="H462" s="16">
        <v>0</v>
      </c>
    </row>
    <row r="463" spans="1:8" x14ac:dyDescent="0.2">
      <c r="A463" s="4" t="s">
        <v>229</v>
      </c>
      <c r="B463" s="4"/>
      <c r="C463" s="4" t="s">
        <v>768</v>
      </c>
      <c r="D463" s="131" t="s">
        <v>1345</v>
      </c>
      <c r="E463" s="132"/>
      <c r="F463" s="4" t="s">
        <v>1665</v>
      </c>
      <c r="G463" s="68">
        <v>4</v>
      </c>
      <c r="H463" s="16">
        <v>0</v>
      </c>
    </row>
    <row r="464" spans="1:8" x14ac:dyDescent="0.2">
      <c r="A464" s="4" t="s">
        <v>230</v>
      </c>
      <c r="B464" s="4"/>
      <c r="C464" s="4" t="s">
        <v>769</v>
      </c>
      <c r="D464" s="131" t="s">
        <v>1346</v>
      </c>
      <c r="E464" s="132"/>
      <c r="F464" s="4" t="s">
        <v>1665</v>
      </c>
      <c r="G464" s="68">
        <v>2</v>
      </c>
      <c r="H464" s="16">
        <v>0</v>
      </c>
    </row>
    <row r="465" spans="1:8" x14ac:dyDescent="0.2">
      <c r="A465" s="4" t="s">
        <v>231</v>
      </c>
      <c r="B465" s="4"/>
      <c r="C465" s="4" t="s">
        <v>770</v>
      </c>
      <c r="D465" s="131" t="s">
        <v>1347</v>
      </c>
      <c r="E465" s="132"/>
      <c r="F465" s="4" t="s">
        <v>1665</v>
      </c>
      <c r="G465" s="68">
        <v>2</v>
      </c>
      <c r="H465" s="16">
        <v>0</v>
      </c>
    </row>
    <row r="466" spans="1:8" x14ac:dyDescent="0.2">
      <c r="A466" s="4" t="s">
        <v>232</v>
      </c>
      <c r="B466" s="4"/>
      <c r="C466" s="4" t="s">
        <v>771</v>
      </c>
      <c r="D466" s="131" t="s">
        <v>1348</v>
      </c>
      <c r="E466" s="132"/>
      <c r="F466" s="4" t="s">
        <v>1666</v>
      </c>
      <c r="G466" s="68">
        <v>2</v>
      </c>
      <c r="H466" s="16">
        <v>0</v>
      </c>
    </row>
    <row r="467" spans="1:8" x14ac:dyDescent="0.2">
      <c r="A467" s="4" t="s">
        <v>233</v>
      </c>
      <c r="B467" s="4"/>
      <c r="C467" s="4" t="s">
        <v>772</v>
      </c>
      <c r="D467" s="131" t="s">
        <v>1350</v>
      </c>
      <c r="E467" s="132"/>
      <c r="F467" s="4" t="s">
        <v>1666</v>
      </c>
      <c r="G467" s="68">
        <v>35</v>
      </c>
      <c r="H467" s="16">
        <v>0</v>
      </c>
    </row>
    <row r="468" spans="1:8" x14ac:dyDescent="0.2">
      <c r="A468" s="4" t="s">
        <v>234</v>
      </c>
      <c r="B468" s="4"/>
      <c r="C468" s="4" t="s">
        <v>773</v>
      </c>
      <c r="D468" s="131" t="s">
        <v>1352</v>
      </c>
      <c r="E468" s="132"/>
      <c r="F468" s="4" t="s">
        <v>1666</v>
      </c>
      <c r="G468" s="68">
        <v>30</v>
      </c>
      <c r="H468" s="16">
        <v>0</v>
      </c>
    </row>
    <row r="469" spans="1:8" x14ac:dyDescent="0.2">
      <c r="A469" s="4" t="s">
        <v>235</v>
      </c>
      <c r="B469" s="4"/>
      <c r="C469" s="4" t="s">
        <v>774</v>
      </c>
      <c r="D469" s="131" t="s">
        <v>1353</v>
      </c>
      <c r="E469" s="132"/>
      <c r="F469" s="4" t="s">
        <v>1663</v>
      </c>
      <c r="G469" s="68">
        <v>5</v>
      </c>
      <c r="H469" s="16">
        <v>0</v>
      </c>
    </row>
    <row r="470" spans="1:8" x14ac:dyDescent="0.2">
      <c r="A470" s="4" t="s">
        <v>236</v>
      </c>
      <c r="B470" s="4"/>
      <c r="C470" s="4" t="s">
        <v>775</v>
      </c>
      <c r="D470" s="131" t="s">
        <v>1354</v>
      </c>
      <c r="E470" s="132"/>
      <c r="F470" s="4" t="s">
        <v>1663</v>
      </c>
      <c r="G470" s="68">
        <v>35</v>
      </c>
      <c r="H470" s="16">
        <v>0</v>
      </c>
    </row>
    <row r="471" spans="1:8" x14ac:dyDescent="0.2">
      <c r="A471" s="4" t="s">
        <v>237</v>
      </c>
      <c r="B471" s="4"/>
      <c r="C471" s="4" t="s">
        <v>776</v>
      </c>
      <c r="D471" s="131" t="s">
        <v>1355</v>
      </c>
      <c r="E471" s="132"/>
      <c r="F471" s="4" t="s">
        <v>1665</v>
      </c>
      <c r="G471" s="68">
        <v>1</v>
      </c>
      <c r="H471" s="16">
        <v>0</v>
      </c>
    </row>
    <row r="472" spans="1:8" x14ac:dyDescent="0.2">
      <c r="A472" s="4" t="s">
        <v>238</v>
      </c>
      <c r="B472" s="4"/>
      <c r="C472" s="4" t="s">
        <v>777</v>
      </c>
      <c r="D472" s="131" t="s">
        <v>1341</v>
      </c>
      <c r="E472" s="132"/>
      <c r="F472" s="4" t="s">
        <v>1671</v>
      </c>
      <c r="G472" s="68">
        <v>1</v>
      </c>
      <c r="H472" s="16">
        <v>0</v>
      </c>
    </row>
    <row r="473" spans="1:8" x14ac:dyDescent="0.2">
      <c r="A473" s="4" t="s">
        <v>239</v>
      </c>
      <c r="B473" s="4"/>
      <c r="C473" s="4" t="s">
        <v>778</v>
      </c>
      <c r="D473" s="131" t="s">
        <v>1357</v>
      </c>
      <c r="E473" s="132"/>
      <c r="F473" s="4" t="s">
        <v>1665</v>
      </c>
      <c r="G473" s="68">
        <v>4</v>
      </c>
      <c r="H473" s="16">
        <v>0</v>
      </c>
    </row>
    <row r="474" spans="1:8" x14ac:dyDescent="0.2">
      <c r="A474" s="4" t="s">
        <v>240</v>
      </c>
      <c r="B474" s="4"/>
      <c r="C474" s="4" t="s">
        <v>779</v>
      </c>
      <c r="D474" s="131" t="s">
        <v>1358</v>
      </c>
      <c r="E474" s="132"/>
      <c r="F474" s="4" t="s">
        <v>1665</v>
      </c>
      <c r="G474" s="68">
        <v>2</v>
      </c>
      <c r="H474" s="16">
        <v>0</v>
      </c>
    </row>
    <row r="475" spans="1:8" x14ac:dyDescent="0.2">
      <c r="A475" s="4" t="s">
        <v>241</v>
      </c>
      <c r="B475" s="4"/>
      <c r="C475" s="4" t="s">
        <v>780</v>
      </c>
      <c r="D475" s="131" t="s">
        <v>1359</v>
      </c>
      <c r="E475" s="132"/>
      <c r="F475" s="4" t="s">
        <v>1665</v>
      </c>
      <c r="G475" s="68">
        <v>2</v>
      </c>
      <c r="H475" s="16">
        <v>0</v>
      </c>
    </row>
    <row r="476" spans="1:8" x14ac:dyDescent="0.2">
      <c r="A476" s="4" t="s">
        <v>242</v>
      </c>
      <c r="B476" s="4"/>
      <c r="C476" s="4" t="s">
        <v>781</v>
      </c>
      <c r="D476" s="131" t="s">
        <v>1360</v>
      </c>
      <c r="E476" s="132"/>
      <c r="F476" s="4" t="s">
        <v>1665</v>
      </c>
      <c r="G476" s="68">
        <v>3</v>
      </c>
      <c r="H476" s="16">
        <v>0</v>
      </c>
    </row>
    <row r="477" spans="1:8" x14ac:dyDescent="0.2">
      <c r="A477" s="4" t="s">
        <v>243</v>
      </c>
      <c r="B477" s="4"/>
      <c r="C477" s="4" t="s">
        <v>782</v>
      </c>
      <c r="D477" s="131" t="s">
        <v>1361</v>
      </c>
      <c r="E477" s="132"/>
      <c r="F477" s="4" t="s">
        <v>1665</v>
      </c>
      <c r="G477" s="68">
        <v>5</v>
      </c>
      <c r="H477" s="16">
        <v>0</v>
      </c>
    </row>
    <row r="478" spans="1:8" x14ac:dyDescent="0.2">
      <c r="A478" s="4" t="s">
        <v>244</v>
      </c>
      <c r="B478" s="4"/>
      <c r="C478" s="4" t="s">
        <v>783</v>
      </c>
      <c r="D478" s="131" t="s">
        <v>1348</v>
      </c>
      <c r="E478" s="132"/>
      <c r="F478" s="4" t="s">
        <v>1666</v>
      </c>
      <c r="G478" s="68">
        <v>2</v>
      </c>
      <c r="H478" s="16">
        <v>0</v>
      </c>
    </row>
    <row r="479" spans="1:8" x14ac:dyDescent="0.2">
      <c r="A479" s="4" t="s">
        <v>245</v>
      </c>
      <c r="B479" s="4"/>
      <c r="C479" s="4" t="s">
        <v>784</v>
      </c>
      <c r="D479" s="131" t="s">
        <v>1350</v>
      </c>
      <c r="E479" s="132"/>
      <c r="F479" s="4" t="s">
        <v>1666</v>
      </c>
      <c r="G479" s="68">
        <v>36</v>
      </c>
      <c r="H479" s="16">
        <v>0</v>
      </c>
    </row>
    <row r="480" spans="1:8" x14ac:dyDescent="0.2">
      <c r="A480" s="4" t="s">
        <v>246</v>
      </c>
      <c r="B480" s="4"/>
      <c r="C480" s="4" t="s">
        <v>785</v>
      </c>
      <c r="D480" s="131" t="s">
        <v>1362</v>
      </c>
      <c r="E480" s="132"/>
      <c r="F480" s="4" t="s">
        <v>1666</v>
      </c>
      <c r="G480" s="68">
        <v>32</v>
      </c>
      <c r="H480" s="16">
        <v>0</v>
      </c>
    </row>
    <row r="481" spans="1:8" x14ac:dyDescent="0.2">
      <c r="A481" s="4" t="s">
        <v>247</v>
      </c>
      <c r="B481" s="4"/>
      <c r="C481" s="4" t="s">
        <v>786</v>
      </c>
      <c r="D481" s="131" t="s">
        <v>1353</v>
      </c>
      <c r="E481" s="132"/>
      <c r="F481" s="4" t="s">
        <v>1663</v>
      </c>
      <c r="G481" s="68">
        <v>10</v>
      </c>
      <c r="H481" s="16">
        <v>0</v>
      </c>
    </row>
    <row r="482" spans="1:8" x14ac:dyDescent="0.2">
      <c r="A482" s="4" t="s">
        <v>248</v>
      </c>
      <c r="B482" s="4"/>
      <c r="C482" s="4" t="s">
        <v>787</v>
      </c>
      <c r="D482" s="131" t="s">
        <v>1354</v>
      </c>
      <c r="E482" s="132"/>
      <c r="F482" s="4" t="s">
        <v>1663</v>
      </c>
      <c r="G482" s="68">
        <v>28</v>
      </c>
      <c r="H482" s="16">
        <v>0</v>
      </c>
    </row>
    <row r="483" spans="1:8" x14ac:dyDescent="0.2">
      <c r="A483" s="4" t="s">
        <v>249</v>
      </c>
      <c r="B483" s="4"/>
      <c r="C483" s="4" t="s">
        <v>788</v>
      </c>
      <c r="D483" s="131" t="s">
        <v>1363</v>
      </c>
      <c r="E483" s="132"/>
      <c r="F483" s="4" t="s">
        <v>1671</v>
      </c>
      <c r="G483" s="68">
        <v>1</v>
      </c>
      <c r="H483" s="16">
        <v>0</v>
      </c>
    </row>
    <row r="484" spans="1:8" x14ac:dyDescent="0.2">
      <c r="A484" s="4" t="s">
        <v>250</v>
      </c>
      <c r="B484" s="4"/>
      <c r="C484" s="4" t="s">
        <v>789</v>
      </c>
      <c r="D484" s="131" t="s">
        <v>1365</v>
      </c>
      <c r="E484" s="132"/>
      <c r="F484" s="4" t="s">
        <v>1670</v>
      </c>
      <c r="G484" s="68">
        <v>1</v>
      </c>
      <c r="H484" s="16">
        <v>0</v>
      </c>
    </row>
    <row r="485" spans="1:8" x14ac:dyDescent="0.2">
      <c r="A485" s="4" t="s">
        <v>251</v>
      </c>
      <c r="B485" s="4"/>
      <c r="C485" s="4" t="s">
        <v>790</v>
      </c>
      <c r="D485" s="131" t="s">
        <v>1366</v>
      </c>
      <c r="E485" s="132"/>
      <c r="F485" s="4" t="s">
        <v>1670</v>
      </c>
      <c r="G485" s="68">
        <v>1</v>
      </c>
      <c r="H485" s="16">
        <v>0</v>
      </c>
    </row>
    <row r="486" spans="1:8" x14ac:dyDescent="0.2">
      <c r="A486" s="4" t="s">
        <v>252</v>
      </c>
      <c r="B486" s="4"/>
      <c r="C486" s="4" t="s">
        <v>791</v>
      </c>
      <c r="D486" s="131" t="s">
        <v>1368</v>
      </c>
      <c r="E486" s="132"/>
      <c r="F486" s="4" t="s">
        <v>1670</v>
      </c>
      <c r="G486" s="68">
        <v>1</v>
      </c>
      <c r="H486" s="16">
        <v>0</v>
      </c>
    </row>
    <row r="487" spans="1:8" x14ac:dyDescent="0.2">
      <c r="A487" s="4" t="s">
        <v>253</v>
      </c>
      <c r="B487" s="4"/>
      <c r="C487" s="4" t="s">
        <v>792</v>
      </c>
      <c r="D487" s="131" t="s">
        <v>1369</v>
      </c>
      <c r="E487" s="132"/>
      <c r="F487" s="4" t="s">
        <v>1670</v>
      </c>
      <c r="G487" s="68">
        <v>1</v>
      </c>
      <c r="H487" s="16">
        <v>0</v>
      </c>
    </row>
    <row r="488" spans="1:8" x14ac:dyDescent="0.2">
      <c r="A488" s="4" t="s">
        <v>254</v>
      </c>
      <c r="B488" s="4"/>
      <c r="C488" s="4" t="s">
        <v>793</v>
      </c>
      <c r="D488" s="131" t="s">
        <v>1370</v>
      </c>
      <c r="E488" s="132"/>
      <c r="F488" s="4" t="s">
        <v>1670</v>
      </c>
      <c r="G488" s="68">
        <v>1</v>
      </c>
      <c r="H488" s="16">
        <v>0</v>
      </c>
    </row>
    <row r="489" spans="1:8" x14ac:dyDescent="0.2">
      <c r="A489" s="4" t="s">
        <v>255</v>
      </c>
      <c r="B489" s="4"/>
      <c r="C489" s="4" t="s">
        <v>794</v>
      </c>
      <c r="D489" s="131" t="s">
        <v>1371</v>
      </c>
      <c r="E489" s="132"/>
      <c r="F489" s="4" t="s">
        <v>1670</v>
      </c>
      <c r="G489" s="68">
        <v>1</v>
      </c>
      <c r="H489" s="16">
        <v>0</v>
      </c>
    </row>
    <row r="490" spans="1:8" x14ac:dyDescent="0.2">
      <c r="A490" s="4" t="s">
        <v>256</v>
      </c>
      <c r="B490" s="4"/>
      <c r="C490" s="4" t="s">
        <v>795</v>
      </c>
      <c r="D490" s="131" t="s">
        <v>1372</v>
      </c>
      <c r="E490" s="132"/>
      <c r="F490" s="4" t="s">
        <v>1670</v>
      </c>
      <c r="G490" s="68">
        <v>1</v>
      </c>
      <c r="H490" s="16">
        <v>0</v>
      </c>
    </row>
    <row r="491" spans="1:8" x14ac:dyDescent="0.2">
      <c r="A491" s="4" t="s">
        <v>257</v>
      </c>
      <c r="B491" s="4"/>
      <c r="C491" s="4" t="s">
        <v>796</v>
      </c>
      <c r="D491" s="131" t="s">
        <v>1373</v>
      </c>
      <c r="E491" s="132"/>
      <c r="F491" s="4" t="s">
        <v>1670</v>
      </c>
      <c r="G491" s="68">
        <v>1</v>
      </c>
      <c r="H491" s="16">
        <v>0</v>
      </c>
    </row>
    <row r="492" spans="1:8" x14ac:dyDescent="0.2">
      <c r="A492" s="4" t="s">
        <v>258</v>
      </c>
      <c r="B492" s="4"/>
      <c r="C492" s="4" t="s">
        <v>797</v>
      </c>
      <c r="D492" s="131" t="s">
        <v>1374</v>
      </c>
      <c r="E492" s="132"/>
      <c r="F492" s="4" t="s">
        <v>1670</v>
      </c>
      <c r="G492" s="68">
        <v>1</v>
      </c>
      <c r="H492" s="16">
        <v>0</v>
      </c>
    </row>
    <row r="493" spans="1:8" x14ac:dyDescent="0.2">
      <c r="A493" s="4" t="s">
        <v>259</v>
      </c>
      <c r="B493" s="4"/>
      <c r="C493" s="4" t="s">
        <v>798</v>
      </c>
      <c r="D493" s="131" t="s">
        <v>1375</v>
      </c>
      <c r="E493" s="132"/>
      <c r="F493" s="4" t="s">
        <v>1670</v>
      </c>
      <c r="G493" s="68">
        <v>1</v>
      </c>
      <c r="H493" s="16">
        <v>0</v>
      </c>
    </row>
    <row r="494" spans="1:8" x14ac:dyDescent="0.2">
      <c r="A494" s="13"/>
      <c r="B494" s="13"/>
      <c r="C494" s="13" t="s">
        <v>799</v>
      </c>
      <c r="D494" s="136" t="s">
        <v>1376</v>
      </c>
      <c r="E494" s="137"/>
      <c r="F494" s="13"/>
      <c r="G494" s="69"/>
      <c r="H494" s="28"/>
    </row>
    <row r="495" spans="1:8" x14ac:dyDescent="0.2">
      <c r="A495" s="4" t="s">
        <v>260</v>
      </c>
      <c r="B495" s="4"/>
      <c r="C495" s="4" t="s">
        <v>800</v>
      </c>
      <c r="D495" s="131" t="s">
        <v>1377</v>
      </c>
      <c r="E495" s="132"/>
      <c r="F495" s="4" t="s">
        <v>1666</v>
      </c>
      <c r="G495" s="68">
        <v>96</v>
      </c>
      <c r="H495" s="16">
        <v>0</v>
      </c>
    </row>
    <row r="496" spans="1:8" x14ac:dyDescent="0.2">
      <c r="A496" s="4" t="s">
        <v>261</v>
      </c>
      <c r="B496" s="4"/>
      <c r="C496" s="4" t="s">
        <v>801</v>
      </c>
      <c r="D496" s="131" t="s">
        <v>1379</v>
      </c>
      <c r="E496" s="132"/>
      <c r="F496" s="4" t="s">
        <v>1665</v>
      </c>
      <c r="G496" s="68">
        <v>50</v>
      </c>
      <c r="H496" s="16">
        <v>0</v>
      </c>
    </row>
    <row r="497" spans="1:8" x14ac:dyDescent="0.2">
      <c r="A497" s="4" t="s">
        <v>262</v>
      </c>
      <c r="B497" s="4"/>
      <c r="C497" s="4" t="s">
        <v>802</v>
      </c>
      <c r="D497" s="131" t="s">
        <v>1380</v>
      </c>
      <c r="E497" s="132"/>
      <c r="F497" s="4" t="s">
        <v>1665</v>
      </c>
      <c r="G497" s="68">
        <v>4</v>
      </c>
      <c r="H497" s="16">
        <v>0</v>
      </c>
    </row>
    <row r="498" spans="1:8" x14ac:dyDescent="0.2">
      <c r="A498" s="4" t="s">
        <v>263</v>
      </c>
      <c r="B498" s="4"/>
      <c r="C498" s="4" t="s">
        <v>803</v>
      </c>
      <c r="D498" s="131" t="s">
        <v>1381</v>
      </c>
      <c r="E498" s="132"/>
      <c r="F498" s="4" t="s">
        <v>1665</v>
      </c>
      <c r="G498" s="68">
        <v>1</v>
      </c>
      <c r="H498" s="16">
        <v>0</v>
      </c>
    </row>
    <row r="499" spans="1:8" x14ac:dyDescent="0.2">
      <c r="A499" s="4" t="s">
        <v>264</v>
      </c>
      <c r="B499" s="4"/>
      <c r="C499" s="4" t="s">
        <v>804</v>
      </c>
      <c r="D499" s="131" t="s">
        <v>1382</v>
      </c>
      <c r="E499" s="132"/>
      <c r="F499" s="4" t="s">
        <v>1666</v>
      </c>
      <c r="G499" s="68">
        <v>12</v>
      </c>
      <c r="H499" s="16">
        <v>0</v>
      </c>
    </row>
    <row r="500" spans="1:8" x14ac:dyDescent="0.2">
      <c r="A500" s="4" t="s">
        <v>265</v>
      </c>
      <c r="B500" s="4"/>
      <c r="C500" s="4" t="s">
        <v>805</v>
      </c>
      <c r="D500" s="131" t="s">
        <v>1384</v>
      </c>
      <c r="E500" s="132"/>
      <c r="F500" s="4" t="s">
        <v>1666</v>
      </c>
      <c r="G500" s="68">
        <v>41.5</v>
      </c>
      <c r="H500" s="16">
        <v>0</v>
      </c>
    </row>
    <row r="501" spans="1:8" x14ac:dyDescent="0.2">
      <c r="A501" s="4" t="s">
        <v>266</v>
      </c>
      <c r="B501" s="4"/>
      <c r="C501" s="4" t="s">
        <v>806</v>
      </c>
      <c r="D501" s="131" t="s">
        <v>1385</v>
      </c>
      <c r="E501" s="132"/>
      <c r="F501" s="4" t="s">
        <v>1666</v>
      </c>
      <c r="G501" s="68">
        <v>77.5</v>
      </c>
      <c r="H501" s="16">
        <v>0</v>
      </c>
    </row>
    <row r="502" spans="1:8" x14ac:dyDescent="0.2">
      <c r="A502" s="4" t="s">
        <v>267</v>
      </c>
      <c r="B502" s="4"/>
      <c r="C502" s="4" t="s">
        <v>807</v>
      </c>
      <c r="D502" s="131" t="s">
        <v>1386</v>
      </c>
      <c r="E502" s="132"/>
      <c r="F502" s="4" t="s">
        <v>1665</v>
      </c>
      <c r="G502" s="68">
        <v>108</v>
      </c>
      <c r="H502" s="16">
        <v>0</v>
      </c>
    </row>
    <row r="503" spans="1:8" x14ac:dyDescent="0.2">
      <c r="A503" s="4" t="s">
        <v>268</v>
      </c>
      <c r="B503" s="4"/>
      <c r="C503" s="4" t="s">
        <v>808</v>
      </c>
      <c r="D503" s="131" t="s">
        <v>1387</v>
      </c>
      <c r="E503" s="132"/>
      <c r="F503" s="4" t="s">
        <v>1665</v>
      </c>
      <c r="G503" s="68">
        <v>2</v>
      </c>
      <c r="H503" s="16">
        <v>0</v>
      </c>
    </row>
    <row r="504" spans="1:8" x14ac:dyDescent="0.2">
      <c r="A504" s="4" t="s">
        <v>269</v>
      </c>
      <c r="B504" s="4"/>
      <c r="C504" s="4" t="s">
        <v>809</v>
      </c>
      <c r="D504" s="131" t="s">
        <v>1388</v>
      </c>
      <c r="E504" s="132"/>
      <c r="F504" s="4" t="s">
        <v>1665</v>
      </c>
      <c r="G504" s="68">
        <v>54</v>
      </c>
      <c r="H504" s="16">
        <v>0</v>
      </c>
    </row>
    <row r="505" spans="1:8" x14ac:dyDescent="0.2">
      <c r="A505" s="4" t="s">
        <v>270</v>
      </c>
      <c r="B505" s="4"/>
      <c r="C505" s="4" t="s">
        <v>810</v>
      </c>
      <c r="D505" s="131" t="s">
        <v>1389</v>
      </c>
      <c r="E505" s="132"/>
      <c r="F505" s="4" t="s">
        <v>1665</v>
      </c>
      <c r="G505" s="68">
        <v>54</v>
      </c>
      <c r="H505" s="16">
        <v>0</v>
      </c>
    </row>
    <row r="506" spans="1:8" x14ac:dyDescent="0.2">
      <c r="A506" s="4" t="s">
        <v>271</v>
      </c>
      <c r="B506" s="4"/>
      <c r="C506" s="4" t="s">
        <v>811</v>
      </c>
      <c r="D506" s="131" t="s">
        <v>1390</v>
      </c>
      <c r="E506" s="132"/>
      <c r="F506" s="4" t="s">
        <v>1665</v>
      </c>
      <c r="G506" s="68">
        <v>54</v>
      </c>
      <c r="H506" s="16">
        <v>0</v>
      </c>
    </row>
    <row r="507" spans="1:8" x14ac:dyDescent="0.2">
      <c r="A507" s="4" t="s">
        <v>272</v>
      </c>
      <c r="B507" s="4"/>
      <c r="C507" s="4" t="s">
        <v>812</v>
      </c>
      <c r="D507" s="131" t="s">
        <v>1392</v>
      </c>
      <c r="E507" s="132"/>
      <c r="F507" s="4" t="s">
        <v>1665</v>
      </c>
      <c r="G507" s="68">
        <v>54</v>
      </c>
      <c r="H507" s="16">
        <v>0</v>
      </c>
    </row>
    <row r="508" spans="1:8" x14ac:dyDescent="0.2">
      <c r="A508" s="4" t="s">
        <v>273</v>
      </c>
      <c r="B508" s="4"/>
      <c r="C508" s="4" t="s">
        <v>813</v>
      </c>
      <c r="D508" s="131" t="s">
        <v>1393</v>
      </c>
      <c r="E508" s="132"/>
      <c r="F508" s="4" t="s">
        <v>1665</v>
      </c>
      <c r="G508" s="68">
        <v>54</v>
      </c>
      <c r="H508" s="16">
        <v>0</v>
      </c>
    </row>
    <row r="509" spans="1:8" x14ac:dyDescent="0.2">
      <c r="A509" s="4" t="s">
        <v>274</v>
      </c>
      <c r="B509" s="4"/>
      <c r="C509" s="4" t="s">
        <v>814</v>
      </c>
      <c r="D509" s="131" t="s">
        <v>1394</v>
      </c>
      <c r="E509" s="132"/>
      <c r="F509" s="4" t="s">
        <v>1665</v>
      </c>
      <c r="G509" s="68">
        <v>54</v>
      </c>
      <c r="H509" s="16">
        <v>0</v>
      </c>
    </row>
    <row r="510" spans="1:8" x14ac:dyDescent="0.2">
      <c r="A510" s="4" t="s">
        <v>275</v>
      </c>
      <c r="B510" s="4"/>
      <c r="C510" s="4" t="s">
        <v>815</v>
      </c>
      <c r="D510" s="131" t="s">
        <v>1395</v>
      </c>
      <c r="E510" s="132"/>
      <c r="F510" s="4" t="s">
        <v>1665</v>
      </c>
      <c r="G510" s="68">
        <v>402</v>
      </c>
      <c r="H510" s="16">
        <v>0</v>
      </c>
    </row>
    <row r="511" spans="1:8" x14ac:dyDescent="0.2">
      <c r="A511" s="4" t="s">
        <v>276</v>
      </c>
      <c r="B511" s="4"/>
      <c r="C511" s="4" t="s">
        <v>816</v>
      </c>
      <c r="D511" s="131" t="s">
        <v>1396</v>
      </c>
      <c r="E511" s="132"/>
      <c r="F511" s="4" t="s">
        <v>1665</v>
      </c>
      <c r="G511" s="68">
        <v>54</v>
      </c>
      <c r="H511" s="16">
        <v>0</v>
      </c>
    </row>
    <row r="512" spans="1:8" x14ac:dyDescent="0.2">
      <c r="A512" s="4" t="s">
        <v>277</v>
      </c>
      <c r="B512" s="4"/>
      <c r="C512" s="4" t="s">
        <v>817</v>
      </c>
      <c r="D512" s="131" t="s">
        <v>1397</v>
      </c>
      <c r="E512" s="132"/>
      <c r="F512" s="4" t="s">
        <v>1668</v>
      </c>
      <c r="G512" s="68">
        <v>50</v>
      </c>
      <c r="H512" s="16">
        <v>0</v>
      </c>
    </row>
    <row r="513" spans="1:8" x14ac:dyDescent="0.2">
      <c r="A513" s="4" t="s">
        <v>278</v>
      </c>
      <c r="B513" s="4"/>
      <c r="C513" s="4" t="s">
        <v>818</v>
      </c>
      <c r="D513" s="131" t="s">
        <v>1398</v>
      </c>
      <c r="E513" s="132"/>
      <c r="F513" s="4" t="s">
        <v>1668</v>
      </c>
      <c r="G513" s="68">
        <v>40</v>
      </c>
      <c r="H513" s="16">
        <v>0</v>
      </c>
    </row>
    <row r="514" spans="1:8" x14ac:dyDescent="0.2">
      <c r="A514" s="4" t="s">
        <v>279</v>
      </c>
      <c r="B514" s="4"/>
      <c r="C514" s="4" t="s">
        <v>819</v>
      </c>
      <c r="D514" s="131" t="s">
        <v>1399</v>
      </c>
      <c r="E514" s="132"/>
      <c r="F514" s="4" t="s">
        <v>1665</v>
      </c>
      <c r="G514" s="68">
        <v>58</v>
      </c>
      <c r="H514" s="16">
        <v>0</v>
      </c>
    </row>
    <row r="515" spans="1:8" x14ac:dyDescent="0.2">
      <c r="A515" s="4" t="s">
        <v>280</v>
      </c>
      <c r="B515" s="4"/>
      <c r="C515" s="4" t="s">
        <v>820</v>
      </c>
      <c r="D515" s="131" t="s">
        <v>1401</v>
      </c>
      <c r="E515" s="132"/>
      <c r="F515" s="4" t="s">
        <v>1665</v>
      </c>
      <c r="G515" s="68">
        <v>1</v>
      </c>
      <c r="H515" s="16">
        <v>0</v>
      </c>
    </row>
    <row r="516" spans="1:8" x14ac:dyDescent="0.2">
      <c r="A516" s="4" t="s">
        <v>281</v>
      </c>
      <c r="B516" s="4"/>
      <c r="C516" s="4" t="s">
        <v>821</v>
      </c>
      <c r="D516" s="131" t="s">
        <v>1295</v>
      </c>
      <c r="E516" s="132"/>
      <c r="F516" s="4" t="s">
        <v>1670</v>
      </c>
      <c r="G516" s="68">
        <v>1</v>
      </c>
      <c r="H516" s="16">
        <v>0</v>
      </c>
    </row>
    <row r="517" spans="1:8" x14ac:dyDescent="0.2">
      <c r="A517" s="4" t="s">
        <v>282</v>
      </c>
      <c r="B517" s="4"/>
      <c r="C517" s="4" t="s">
        <v>822</v>
      </c>
      <c r="D517" s="131" t="s">
        <v>1402</v>
      </c>
      <c r="E517" s="132"/>
      <c r="F517" s="4" t="s">
        <v>1670</v>
      </c>
      <c r="G517" s="68">
        <v>1</v>
      </c>
      <c r="H517" s="16">
        <v>0</v>
      </c>
    </row>
    <row r="518" spans="1:8" x14ac:dyDescent="0.2">
      <c r="A518" s="4" t="s">
        <v>283</v>
      </c>
      <c r="B518" s="4"/>
      <c r="C518" s="4" t="s">
        <v>823</v>
      </c>
      <c r="D518" s="131" t="s">
        <v>1403</v>
      </c>
      <c r="E518" s="132"/>
      <c r="F518" s="4" t="s">
        <v>1670</v>
      </c>
      <c r="G518" s="68">
        <v>1</v>
      </c>
      <c r="H518" s="16">
        <v>0</v>
      </c>
    </row>
    <row r="519" spans="1:8" x14ac:dyDescent="0.2">
      <c r="A519" s="4" t="s">
        <v>284</v>
      </c>
      <c r="B519" s="4"/>
      <c r="C519" s="4" t="s">
        <v>824</v>
      </c>
      <c r="D519" s="131" t="s">
        <v>1404</v>
      </c>
      <c r="E519" s="132"/>
      <c r="F519" s="4" t="s">
        <v>1665</v>
      </c>
      <c r="G519" s="68">
        <v>1</v>
      </c>
      <c r="H519" s="16">
        <v>0</v>
      </c>
    </row>
    <row r="520" spans="1:8" x14ac:dyDescent="0.2">
      <c r="A520" s="4" t="s">
        <v>285</v>
      </c>
      <c r="B520" s="4"/>
      <c r="C520" s="4" t="s">
        <v>825</v>
      </c>
      <c r="D520" s="131" t="s">
        <v>1405</v>
      </c>
      <c r="E520" s="132"/>
      <c r="F520" s="4" t="s">
        <v>1665</v>
      </c>
      <c r="G520" s="68">
        <v>1</v>
      </c>
      <c r="H520" s="16">
        <v>0</v>
      </c>
    </row>
    <row r="521" spans="1:8" x14ac:dyDescent="0.2">
      <c r="A521" s="4" t="s">
        <v>286</v>
      </c>
      <c r="B521" s="4"/>
      <c r="C521" s="4" t="s">
        <v>826</v>
      </c>
      <c r="D521" s="131" t="s">
        <v>1406</v>
      </c>
      <c r="E521" s="132"/>
      <c r="F521" s="4" t="s">
        <v>1670</v>
      </c>
      <c r="G521" s="68">
        <v>1</v>
      </c>
      <c r="H521" s="16">
        <v>0</v>
      </c>
    </row>
    <row r="522" spans="1:8" x14ac:dyDescent="0.2">
      <c r="A522" s="4" t="s">
        <v>287</v>
      </c>
      <c r="B522" s="4"/>
      <c r="C522" s="4" t="s">
        <v>827</v>
      </c>
      <c r="D522" s="131" t="s">
        <v>1303</v>
      </c>
      <c r="E522" s="132"/>
      <c r="F522" s="4" t="s">
        <v>1665</v>
      </c>
      <c r="G522" s="68">
        <v>1</v>
      </c>
      <c r="H522" s="16">
        <v>0</v>
      </c>
    </row>
    <row r="523" spans="1:8" x14ac:dyDescent="0.2">
      <c r="A523" s="4" t="s">
        <v>288</v>
      </c>
      <c r="B523" s="4"/>
      <c r="C523" s="4" t="s">
        <v>828</v>
      </c>
      <c r="D523" s="131" t="s">
        <v>1304</v>
      </c>
      <c r="E523" s="132"/>
      <c r="F523" s="4" t="s">
        <v>1665</v>
      </c>
      <c r="G523" s="68">
        <v>1</v>
      </c>
      <c r="H523" s="16">
        <v>0</v>
      </c>
    </row>
    <row r="524" spans="1:8" x14ac:dyDescent="0.2">
      <c r="A524" s="4" t="s">
        <v>289</v>
      </c>
      <c r="B524" s="4"/>
      <c r="C524" s="4" t="s">
        <v>829</v>
      </c>
      <c r="D524" s="131" t="s">
        <v>1305</v>
      </c>
      <c r="E524" s="132"/>
      <c r="F524" s="4" t="s">
        <v>1670</v>
      </c>
      <c r="G524" s="68">
        <v>1</v>
      </c>
      <c r="H524" s="16">
        <v>0</v>
      </c>
    </row>
    <row r="525" spans="1:8" x14ac:dyDescent="0.2">
      <c r="A525" s="13"/>
      <c r="B525" s="13"/>
      <c r="C525" s="13" t="s">
        <v>830</v>
      </c>
      <c r="D525" s="136" t="s">
        <v>1408</v>
      </c>
      <c r="E525" s="137"/>
      <c r="F525" s="13"/>
      <c r="G525" s="69"/>
      <c r="H525" s="28"/>
    </row>
    <row r="526" spans="1:8" x14ac:dyDescent="0.2">
      <c r="A526" s="4" t="s">
        <v>290</v>
      </c>
      <c r="B526" s="4"/>
      <c r="C526" s="4" t="s">
        <v>831</v>
      </c>
      <c r="D526" s="131" t="s">
        <v>1409</v>
      </c>
      <c r="E526" s="132"/>
      <c r="F526" s="4" t="s">
        <v>1665</v>
      </c>
      <c r="G526" s="68">
        <v>2</v>
      </c>
      <c r="H526" s="16">
        <v>0</v>
      </c>
    </row>
    <row r="527" spans="1:8" ht="12.2" customHeight="1" x14ac:dyDescent="0.2">
      <c r="D527" s="157" t="s">
        <v>1841</v>
      </c>
      <c r="E527" s="158"/>
      <c r="F527" s="158"/>
      <c r="G527" s="47">
        <v>2</v>
      </c>
    </row>
    <row r="528" spans="1:8" x14ac:dyDescent="0.2">
      <c r="A528" s="4" t="s">
        <v>291</v>
      </c>
      <c r="B528" s="4"/>
      <c r="C528" s="4" t="s">
        <v>832</v>
      </c>
      <c r="D528" s="131" t="s">
        <v>1410</v>
      </c>
      <c r="E528" s="132"/>
      <c r="F528" s="4" t="s">
        <v>1665</v>
      </c>
      <c r="G528" s="68">
        <v>2</v>
      </c>
      <c r="H528" s="16">
        <v>0</v>
      </c>
    </row>
    <row r="529" spans="1:8" ht="12.2" customHeight="1" x14ac:dyDescent="0.2">
      <c r="D529" s="157" t="s">
        <v>1841</v>
      </c>
      <c r="E529" s="158"/>
      <c r="F529" s="158"/>
      <c r="G529" s="47">
        <v>2</v>
      </c>
    </row>
    <row r="530" spans="1:8" x14ac:dyDescent="0.2">
      <c r="A530" s="4" t="s">
        <v>292</v>
      </c>
      <c r="B530" s="4"/>
      <c r="C530" s="4" t="s">
        <v>833</v>
      </c>
      <c r="D530" s="131" t="s">
        <v>1411</v>
      </c>
      <c r="E530" s="132"/>
      <c r="F530" s="4" t="s">
        <v>1663</v>
      </c>
      <c r="G530" s="68">
        <v>222.876</v>
      </c>
      <c r="H530" s="16">
        <v>0</v>
      </c>
    </row>
    <row r="531" spans="1:8" ht="12.2" customHeight="1" x14ac:dyDescent="0.2">
      <c r="D531" s="157" t="s">
        <v>1893</v>
      </c>
      <c r="E531" s="158"/>
      <c r="F531" s="158"/>
      <c r="G531" s="47">
        <v>222.876</v>
      </c>
    </row>
    <row r="532" spans="1:8" x14ac:dyDescent="0.2">
      <c r="A532" s="4" t="s">
        <v>293</v>
      </c>
      <c r="B532" s="4"/>
      <c r="C532" s="4" t="s">
        <v>834</v>
      </c>
      <c r="D532" s="131" t="s">
        <v>1413</v>
      </c>
      <c r="E532" s="132"/>
      <c r="F532" s="4" t="s">
        <v>1665</v>
      </c>
      <c r="G532" s="68">
        <v>124.47499999999999</v>
      </c>
      <c r="H532" s="16">
        <v>0</v>
      </c>
    </row>
    <row r="533" spans="1:8" ht="12.2" customHeight="1" x14ac:dyDescent="0.2">
      <c r="D533" s="157" t="s">
        <v>1894</v>
      </c>
      <c r="E533" s="158"/>
      <c r="F533" s="158"/>
      <c r="G533" s="47">
        <v>124.47499999999999</v>
      </c>
    </row>
    <row r="534" spans="1:8" x14ac:dyDescent="0.2">
      <c r="A534" s="4" t="s">
        <v>294</v>
      </c>
      <c r="B534" s="4"/>
      <c r="C534" s="4" t="s">
        <v>835</v>
      </c>
      <c r="D534" s="131" t="s">
        <v>1415</v>
      </c>
      <c r="E534" s="132"/>
      <c r="F534" s="4" t="s">
        <v>1663</v>
      </c>
      <c r="G534" s="68">
        <v>169.625</v>
      </c>
      <c r="H534" s="16">
        <v>0</v>
      </c>
    </row>
    <row r="535" spans="1:8" ht="12.2" customHeight="1" x14ac:dyDescent="0.2">
      <c r="D535" s="157" t="s">
        <v>1886</v>
      </c>
      <c r="E535" s="158"/>
      <c r="F535" s="158"/>
      <c r="G535" s="47">
        <v>45.15</v>
      </c>
    </row>
    <row r="536" spans="1:8" ht="12.2" customHeight="1" x14ac:dyDescent="0.2">
      <c r="A536" s="4"/>
      <c r="B536" s="4"/>
      <c r="C536" s="4"/>
      <c r="D536" s="157" t="s">
        <v>1894</v>
      </c>
      <c r="E536" s="158"/>
      <c r="F536" s="157"/>
      <c r="G536" s="70">
        <v>124.47499999999999</v>
      </c>
      <c r="H536" s="27"/>
    </row>
    <row r="537" spans="1:8" x14ac:dyDescent="0.2">
      <c r="A537" s="4" t="s">
        <v>295</v>
      </c>
      <c r="B537" s="4"/>
      <c r="C537" s="4" t="s">
        <v>836</v>
      </c>
      <c r="D537" s="131" t="s">
        <v>1416</v>
      </c>
      <c r="E537" s="132"/>
      <c r="F537" s="4" t="s">
        <v>1663</v>
      </c>
      <c r="G537" s="68">
        <v>5.46</v>
      </c>
      <c r="H537" s="16">
        <v>0</v>
      </c>
    </row>
    <row r="538" spans="1:8" ht="12.2" customHeight="1" x14ac:dyDescent="0.2">
      <c r="D538" s="157" t="s">
        <v>1902</v>
      </c>
      <c r="E538" s="158"/>
      <c r="F538" s="158"/>
      <c r="G538" s="47">
        <v>5.46</v>
      </c>
    </row>
    <row r="539" spans="1:8" x14ac:dyDescent="0.2">
      <c r="A539" s="4" t="s">
        <v>296</v>
      </c>
      <c r="B539" s="4"/>
      <c r="C539" s="4" t="s">
        <v>837</v>
      </c>
      <c r="D539" s="131" t="s">
        <v>1417</v>
      </c>
      <c r="E539" s="132"/>
      <c r="F539" s="4" t="s">
        <v>1663</v>
      </c>
      <c r="G539" s="68">
        <v>169.625</v>
      </c>
      <c r="H539" s="16">
        <v>0</v>
      </c>
    </row>
    <row r="540" spans="1:8" ht="12.2" customHeight="1" x14ac:dyDescent="0.2">
      <c r="D540" s="157" t="s">
        <v>1886</v>
      </c>
      <c r="E540" s="158"/>
      <c r="F540" s="158"/>
      <c r="G540" s="47">
        <v>45.15</v>
      </c>
    </row>
    <row r="541" spans="1:8" ht="12.2" customHeight="1" x14ac:dyDescent="0.2">
      <c r="A541" s="4"/>
      <c r="B541" s="4"/>
      <c r="C541" s="4"/>
      <c r="D541" s="157" t="s">
        <v>1894</v>
      </c>
      <c r="E541" s="158"/>
      <c r="F541" s="157"/>
      <c r="G541" s="70">
        <v>124.47499999999999</v>
      </c>
      <c r="H541" s="27"/>
    </row>
    <row r="542" spans="1:8" x14ac:dyDescent="0.2">
      <c r="A542" s="4" t="s">
        <v>297</v>
      </c>
      <c r="B542" s="4"/>
      <c r="C542" s="4" t="s">
        <v>838</v>
      </c>
      <c r="D542" s="131" t="s">
        <v>1418</v>
      </c>
      <c r="E542" s="132"/>
      <c r="F542" s="4" t="s">
        <v>1663</v>
      </c>
      <c r="G542" s="68">
        <v>222.876</v>
      </c>
      <c r="H542" s="16">
        <v>0</v>
      </c>
    </row>
    <row r="543" spans="1:8" ht="12.2" customHeight="1" x14ac:dyDescent="0.2">
      <c r="D543" s="157" t="s">
        <v>1903</v>
      </c>
      <c r="E543" s="158"/>
      <c r="F543" s="158"/>
      <c r="G543" s="47">
        <v>222.876</v>
      </c>
    </row>
    <row r="544" spans="1:8" x14ac:dyDescent="0.2">
      <c r="A544" s="4" t="s">
        <v>298</v>
      </c>
      <c r="B544" s="4"/>
      <c r="C544" s="4" t="s">
        <v>839</v>
      </c>
      <c r="D544" s="131" t="s">
        <v>1419</v>
      </c>
      <c r="E544" s="132"/>
      <c r="F544" s="4" t="s">
        <v>1664</v>
      </c>
      <c r="G544" s="68">
        <v>12.442</v>
      </c>
      <c r="H544" s="16">
        <v>0</v>
      </c>
    </row>
    <row r="545" spans="1:8" ht="12.2" customHeight="1" x14ac:dyDescent="0.2">
      <c r="D545" s="157" t="s">
        <v>1904</v>
      </c>
      <c r="E545" s="158"/>
      <c r="F545" s="158"/>
      <c r="G545" s="47">
        <v>12.442</v>
      </c>
    </row>
    <row r="546" spans="1:8" x14ac:dyDescent="0.2">
      <c r="A546" s="13"/>
      <c r="B546" s="13"/>
      <c r="C546" s="13" t="s">
        <v>840</v>
      </c>
      <c r="D546" s="136" t="s">
        <v>1420</v>
      </c>
      <c r="E546" s="137"/>
      <c r="F546" s="13"/>
      <c r="G546" s="69"/>
      <c r="H546" s="28"/>
    </row>
    <row r="547" spans="1:8" x14ac:dyDescent="0.2">
      <c r="A547" s="4" t="s">
        <v>299</v>
      </c>
      <c r="B547" s="4"/>
      <c r="C547" s="4" t="s">
        <v>841</v>
      </c>
      <c r="D547" s="131" t="s">
        <v>1421</v>
      </c>
      <c r="E547" s="132"/>
      <c r="F547" s="4" t="s">
        <v>1663</v>
      </c>
      <c r="G547" s="68">
        <v>294.10000000000002</v>
      </c>
      <c r="H547" s="16">
        <v>0</v>
      </c>
    </row>
    <row r="548" spans="1:8" ht="12.2" customHeight="1" x14ac:dyDescent="0.2">
      <c r="D548" s="157" t="s">
        <v>1886</v>
      </c>
      <c r="E548" s="158"/>
      <c r="F548" s="158"/>
      <c r="G548" s="47">
        <v>45.15</v>
      </c>
    </row>
    <row r="549" spans="1:8" ht="12.2" customHeight="1" x14ac:dyDescent="0.2">
      <c r="A549" s="4"/>
      <c r="B549" s="4"/>
      <c r="C549" s="4"/>
      <c r="D549" s="157" t="s">
        <v>1887</v>
      </c>
      <c r="E549" s="158"/>
      <c r="F549" s="157"/>
      <c r="G549" s="70">
        <v>248.95</v>
      </c>
      <c r="H549" s="27"/>
    </row>
    <row r="550" spans="1:8" x14ac:dyDescent="0.2">
      <c r="A550" s="4" t="s">
        <v>300</v>
      </c>
      <c r="B550" s="4"/>
      <c r="C550" s="4" t="s">
        <v>842</v>
      </c>
      <c r="D550" s="131" t="s">
        <v>1422</v>
      </c>
      <c r="E550" s="132"/>
      <c r="F550" s="4" t="s">
        <v>1663</v>
      </c>
      <c r="G550" s="68">
        <v>4.0890000000000004</v>
      </c>
      <c r="H550" s="16">
        <v>0</v>
      </c>
    </row>
    <row r="551" spans="1:8" ht="12.2" customHeight="1" x14ac:dyDescent="0.2">
      <c r="D551" s="157" t="s">
        <v>1816</v>
      </c>
      <c r="E551" s="158"/>
      <c r="F551" s="158"/>
      <c r="G551" s="47">
        <v>4.0890000000000004</v>
      </c>
    </row>
    <row r="552" spans="1:8" x14ac:dyDescent="0.2">
      <c r="A552" s="4" t="s">
        <v>301</v>
      </c>
      <c r="B552" s="4"/>
      <c r="C552" s="4" t="s">
        <v>843</v>
      </c>
      <c r="D552" s="131" t="s">
        <v>1423</v>
      </c>
      <c r="E552" s="132"/>
      <c r="F552" s="4" t="s">
        <v>1666</v>
      </c>
      <c r="G552" s="68">
        <v>203.55</v>
      </c>
      <c r="H552" s="16">
        <v>0</v>
      </c>
    </row>
    <row r="553" spans="1:8" ht="12.2" customHeight="1" x14ac:dyDescent="0.2">
      <c r="D553" s="157" t="s">
        <v>1905</v>
      </c>
      <c r="E553" s="158"/>
      <c r="F553" s="158"/>
      <c r="G553" s="47">
        <v>203.55</v>
      </c>
    </row>
    <row r="554" spans="1:8" x14ac:dyDescent="0.2">
      <c r="A554" s="4" t="s">
        <v>302</v>
      </c>
      <c r="B554" s="4"/>
      <c r="C554" s="4" t="s">
        <v>844</v>
      </c>
      <c r="D554" s="131" t="s">
        <v>1424</v>
      </c>
      <c r="E554" s="132"/>
      <c r="F554" s="4" t="s">
        <v>1665</v>
      </c>
      <c r="G554" s="68">
        <v>14</v>
      </c>
      <c r="H554" s="16">
        <v>0</v>
      </c>
    </row>
    <row r="555" spans="1:8" ht="12.2" customHeight="1" x14ac:dyDescent="0.2">
      <c r="D555" s="157" t="s">
        <v>1906</v>
      </c>
      <c r="E555" s="158"/>
      <c r="F555" s="158"/>
      <c r="G555" s="47">
        <v>14</v>
      </c>
    </row>
    <row r="556" spans="1:8" x14ac:dyDescent="0.2">
      <c r="A556" s="4" t="s">
        <v>303</v>
      </c>
      <c r="B556" s="4"/>
      <c r="C556" s="4" t="s">
        <v>845</v>
      </c>
      <c r="D556" s="131" t="s">
        <v>1425</v>
      </c>
      <c r="E556" s="132"/>
      <c r="F556" s="4" t="s">
        <v>1666</v>
      </c>
      <c r="G556" s="68">
        <v>58.92</v>
      </c>
      <c r="H556" s="16">
        <v>0</v>
      </c>
    </row>
    <row r="557" spans="1:8" ht="12.2" customHeight="1" x14ac:dyDescent="0.2">
      <c r="D557" s="157" t="s">
        <v>1907</v>
      </c>
      <c r="E557" s="158"/>
      <c r="F557" s="158"/>
      <c r="G557" s="47">
        <v>58.92</v>
      </c>
    </row>
    <row r="558" spans="1:8" x14ac:dyDescent="0.2">
      <c r="A558" s="4" t="s">
        <v>304</v>
      </c>
      <c r="B558" s="4"/>
      <c r="C558" s="4" t="s">
        <v>846</v>
      </c>
      <c r="D558" s="131" t="s">
        <v>1426</v>
      </c>
      <c r="E558" s="132"/>
      <c r="F558" s="4" t="s">
        <v>1666</v>
      </c>
      <c r="G558" s="68">
        <v>21</v>
      </c>
      <c r="H558" s="16">
        <v>0</v>
      </c>
    </row>
    <row r="559" spans="1:8" ht="12.2" customHeight="1" x14ac:dyDescent="0.2">
      <c r="D559" s="157" t="s">
        <v>1908</v>
      </c>
      <c r="E559" s="158"/>
      <c r="F559" s="158"/>
      <c r="G559" s="47">
        <v>21</v>
      </c>
    </row>
    <row r="560" spans="1:8" x14ac:dyDescent="0.2">
      <c r="A560" s="4" t="s">
        <v>305</v>
      </c>
      <c r="B560" s="4"/>
      <c r="C560" s="4" t="s">
        <v>847</v>
      </c>
      <c r="D560" s="131" t="s">
        <v>1427</v>
      </c>
      <c r="E560" s="132"/>
      <c r="F560" s="4" t="s">
        <v>1666</v>
      </c>
      <c r="G560" s="68">
        <v>57.3</v>
      </c>
      <c r="H560" s="16">
        <v>0</v>
      </c>
    </row>
    <row r="561" spans="1:8" ht="12.2" customHeight="1" x14ac:dyDescent="0.2">
      <c r="D561" s="157" t="s">
        <v>1909</v>
      </c>
      <c r="E561" s="158"/>
      <c r="F561" s="158"/>
      <c r="G561" s="47">
        <v>57.3</v>
      </c>
    </row>
    <row r="562" spans="1:8" x14ac:dyDescent="0.2">
      <c r="A562" s="4" t="s">
        <v>306</v>
      </c>
      <c r="B562" s="4"/>
      <c r="C562" s="4" t="s">
        <v>848</v>
      </c>
      <c r="D562" s="131" t="s">
        <v>1428</v>
      </c>
      <c r="E562" s="132"/>
      <c r="F562" s="4" t="s">
        <v>1666</v>
      </c>
      <c r="G562" s="68">
        <v>289.06</v>
      </c>
      <c r="H562" s="16">
        <v>0</v>
      </c>
    </row>
    <row r="563" spans="1:8" ht="12.2" customHeight="1" x14ac:dyDescent="0.2">
      <c r="D563" s="157" t="s">
        <v>1910</v>
      </c>
      <c r="E563" s="158"/>
      <c r="F563" s="158"/>
      <c r="G563" s="47">
        <v>37.15</v>
      </c>
    </row>
    <row r="564" spans="1:8" ht="12.2" customHeight="1" x14ac:dyDescent="0.2">
      <c r="A564" s="4"/>
      <c r="B564" s="4"/>
      <c r="C564" s="4"/>
      <c r="D564" s="157" t="s">
        <v>1911</v>
      </c>
      <c r="E564" s="158"/>
      <c r="F564" s="157"/>
      <c r="G564" s="70">
        <v>18.760000000000002</v>
      </c>
      <c r="H564" s="27"/>
    </row>
    <row r="565" spans="1:8" ht="12.2" customHeight="1" x14ac:dyDescent="0.2">
      <c r="A565" s="4"/>
      <c r="B565" s="4"/>
      <c r="C565" s="4"/>
      <c r="D565" s="157" t="s">
        <v>1912</v>
      </c>
      <c r="E565" s="158"/>
      <c r="F565" s="157"/>
      <c r="G565" s="70">
        <v>233.15</v>
      </c>
      <c r="H565" s="27"/>
    </row>
    <row r="566" spans="1:8" x14ac:dyDescent="0.2">
      <c r="A566" s="4" t="s">
        <v>307</v>
      </c>
      <c r="B566" s="4"/>
      <c r="C566" s="4" t="s">
        <v>849</v>
      </c>
      <c r="D566" s="131" t="s">
        <v>1429</v>
      </c>
      <c r="E566" s="132"/>
      <c r="F566" s="4" t="s">
        <v>1665</v>
      </c>
      <c r="G566" s="68">
        <v>14</v>
      </c>
      <c r="H566" s="16">
        <v>0</v>
      </c>
    </row>
    <row r="567" spans="1:8" ht="12.2" customHeight="1" x14ac:dyDescent="0.2">
      <c r="D567" s="157" t="s">
        <v>1906</v>
      </c>
      <c r="E567" s="158"/>
      <c r="F567" s="158"/>
      <c r="G567" s="47">
        <v>14</v>
      </c>
    </row>
    <row r="568" spans="1:8" x14ac:dyDescent="0.2">
      <c r="A568" s="4" t="s">
        <v>308</v>
      </c>
      <c r="B568" s="4"/>
      <c r="C568" s="4" t="s">
        <v>850</v>
      </c>
      <c r="D568" s="131" t="s">
        <v>1430</v>
      </c>
      <c r="E568" s="132"/>
      <c r="F568" s="4" t="s">
        <v>1666</v>
      </c>
      <c r="G568" s="68">
        <v>47</v>
      </c>
      <c r="H568" s="16">
        <v>0</v>
      </c>
    </row>
    <row r="569" spans="1:8" ht="12.2" customHeight="1" x14ac:dyDescent="0.2">
      <c r="D569" s="157" t="s">
        <v>1913</v>
      </c>
      <c r="E569" s="158"/>
      <c r="F569" s="158"/>
      <c r="G569" s="47">
        <v>47</v>
      </c>
    </row>
    <row r="570" spans="1:8" x14ac:dyDescent="0.2">
      <c r="A570" s="4" t="s">
        <v>309</v>
      </c>
      <c r="B570" s="4"/>
      <c r="C570" s="4" t="s">
        <v>851</v>
      </c>
      <c r="D570" s="131" t="s">
        <v>1431</v>
      </c>
      <c r="E570" s="132"/>
      <c r="F570" s="4" t="s">
        <v>1665</v>
      </c>
      <c r="G570" s="68">
        <v>11</v>
      </c>
      <c r="H570" s="16">
        <v>0</v>
      </c>
    </row>
    <row r="571" spans="1:8" ht="12.2" customHeight="1" x14ac:dyDescent="0.2">
      <c r="D571" s="157" t="s">
        <v>1914</v>
      </c>
      <c r="E571" s="158"/>
      <c r="F571" s="158"/>
      <c r="G571" s="47">
        <v>11</v>
      </c>
    </row>
    <row r="572" spans="1:8" x14ac:dyDescent="0.2">
      <c r="A572" s="4" t="s">
        <v>310</v>
      </c>
      <c r="B572" s="4"/>
      <c r="C572" s="4" t="s">
        <v>852</v>
      </c>
      <c r="D572" s="131" t="s">
        <v>1432</v>
      </c>
      <c r="E572" s="132"/>
      <c r="F572" s="4" t="s">
        <v>1666</v>
      </c>
      <c r="G572" s="68">
        <v>1.42</v>
      </c>
      <c r="H572" s="16">
        <v>0</v>
      </c>
    </row>
    <row r="573" spans="1:8" ht="12.2" customHeight="1" x14ac:dyDescent="0.2">
      <c r="D573" s="157" t="s">
        <v>1915</v>
      </c>
      <c r="E573" s="158"/>
      <c r="F573" s="158"/>
      <c r="G573" s="47">
        <v>1.42</v>
      </c>
    </row>
    <row r="574" spans="1:8" x14ac:dyDescent="0.2">
      <c r="A574" s="4" t="s">
        <v>311</v>
      </c>
      <c r="B574" s="4"/>
      <c r="C574" s="4" t="s">
        <v>853</v>
      </c>
      <c r="D574" s="131" t="s">
        <v>1433</v>
      </c>
      <c r="E574" s="132"/>
      <c r="F574" s="4" t="s">
        <v>1666</v>
      </c>
      <c r="G574" s="68">
        <v>80</v>
      </c>
      <c r="H574" s="16">
        <v>0</v>
      </c>
    </row>
    <row r="575" spans="1:8" ht="12.2" customHeight="1" x14ac:dyDescent="0.2">
      <c r="D575" s="157" t="s">
        <v>1916</v>
      </c>
      <c r="E575" s="158"/>
      <c r="F575" s="158"/>
      <c r="G575" s="47">
        <v>80</v>
      </c>
    </row>
    <row r="576" spans="1:8" x14ac:dyDescent="0.2">
      <c r="A576" s="4" t="s">
        <v>312</v>
      </c>
      <c r="B576" s="4"/>
      <c r="C576" s="4" t="s">
        <v>854</v>
      </c>
      <c r="D576" s="131" t="s">
        <v>1434</v>
      </c>
      <c r="E576" s="132"/>
      <c r="F576" s="4" t="s">
        <v>1666</v>
      </c>
      <c r="G576" s="68">
        <v>5</v>
      </c>
      <c r="H576" s="16">
        <v>0</v>
      </c>
    </row>
    <row r="577" spans="1:8" ht="12.2" customHeight="1" x14ac:dyDescent="0.2">
      <c r="D577" s="157" t="s">
        <v>1917</v>
      </c>
      <c r="E577" s="158"/>
      <c r="F577" s="158"/>
      <c r="G577" s="47">
        <v>5</v>
      </c>
    </row>
    <row r="578" spans="1:8" x14ac:dyDescent="0.2">
      <c r="A578" s="4" t="s">
        <v>313</v>
      </c>
      <c r="B578" s="4"/>
      <c r="C578" s="4" t="s">
        <v>855</v>
      </c>
      <c r="D578" s="131" t="s">
        <v>1435</v>
      </c>
      <c r="E578" s="132"/>
      <c r="F578" s="4" t="s">
        <v>1666</v>
      </c>
      <c r="G578" s="68">
        <v>75</v>
      </c>
      <c r="H578" s="16">
        <v>0</v>
      </c>
    </row>
    <row r="579" spans="1:8" ht="12.2" customHeight="1" x14ac:dyDescent="0.2">
      <c r="D579" s="157" t="s">
        <v>1775</v>
      </c>
      <c r="E579" s="158"/>
      <c r="F579" s="158"/>
      <c r="G579" s="47">
        <v>75</v>
      </c>
    </row>
    <row r="580" spans="1:8" x14ac:dyDescent="0.2">
      <c r="A580" s="4" t="s">
        <v>314</v>
      </c>
      <c r="B580" s="4"/>
      <c r="C580" s="4" t="s">
        <v>856</v>
      </c>
      <c r="D580" s="131" t="s">
        <v>1436</v>
      </c>
      <c r="E580" s="132"/>
      <c r="F580" s="4" t="s">
        <v>1666</v>
      </c>
      <c r="G580" s="68">
        <v>5</v>
      </c>
      <c r="H580" s="16">
        <v>0</v>
      </c>
    </row>
    <row r="581" spans="1:8" ht="12.2" customHeight="1" x14ac:dyDescent="0.2">
      <c r="D581" s="157" t="s">
        <v>1917</v>
      </c>
      <c r="E581" s="158"/>
      <c r="F581" s="158"/>
      <c r="G581" s="47">
        <v>5</v>
      </c>
    </row>
    <row r="582" spans="1:8" x14ac:dyDescent="0.2">
      <c r="A582" s="4" t="s">
        <v>315</v>
      </c>
      <c r="B582" s="4"/>
      <c r="C582" s="4" t="s">
        <v>857</v>
      </c>
      <c r="D582" s="131" t="s">
        <v>1437</v>
      </c>
      <c r="E582" s="132"/>
      <c r="F582" s="4" t="s">
        <v>1666</v>
      </c>
      <c r="G582" s="68">
        <v>204.3</v>
      </c>
      <c r="H582" s="16">
        <v>0</v>
      </c>
    </row>
    <row r="583" spans="1:8" ht="12.2" customHeight="1" x14ac:dyDescent="0.2">
      <c r="D583" s="157" t="s">
        <v>1918</v>
      </c>
      <c r="E583" s="158"/>
      <c r="F583" s="158"/>
      <c r="G583" s="47">
        <v>204.3</v>
      </c>
    </row>
    <row r="584" spans="1:8" x14ac:dyDescent="0.2">
      <c r="A584" s="4" t="s">
        <v>316</v>
      </c>
      <c r="B584" s="4"/>
      <c r="C584" s="4" t="s">
        <v>858</v>
      </c>
      <c r="D584" s="131" t="s">
        <v>1438</v>
      </c>
      <c r="E584" s="132"/>
      <c r="F584" s="4" t="s">
        <v>1666</v>
      </c>
      <c r="G584" s="68">
        <v>45</v>
      </c>
      <c r="H584" s="16">
        <v>0</v>
      </c>
    </row>
    <row r="585" spans="1:8" ht="12.2" customHeight="1" x14ac:dyDescent="0.2">
      <c r="D585" s="157" t="s">
        <v>1919</v>
      </c>
      <c r="E585" s="158"/>
      <c r="F585" s="158"/>
      <c r="G585" s="47">
        <v>45</v>
      </c>
    </row>
    <row r="586" spans="1:8" x14ac:dyDescent="0.2">
      <c r="A586" s="4" t="s">
        <v>317</v>
      </c>
      <c r="B586" s="4"/>
      <c r="C586" s="4" t="s">
        <v>859</v>
      </c>
      <c r="D586" s="131" t="s">
        <v>1439</v>
      </c>
      <c r="E586" s="132"/>
      <c r="F586" s="4" t="s">
        <v>1664</v>
      </c>
      <c r="G586" s="68">
        <v>5.68</v>
      </c>
      <c r="H586" s="16">
        <v>0</v>
      </c>
    </row>
    <row r="587" spans="1:8" ht="12.2" customHeight="1" x14ac:dyDescent="0.2">
      <c r="D587" s="157" t="s">
        <v>1920</v>
      </c>
      <c r="E587" s="158"/>
      <c r="F587" s="158"/>
      <c r="G587" s="47">
        <v>5.68</v>
      </c>
    </row>
    <row r="588" spans="1:8" x14ac:dyDescent="0.2">
      <c r="A588" s="13"/>
      <c r="B588" s="13"/>
      <c r="C588" s="13" t="s">
        <v>860</v>
      </c>
      <c r="D588" s="136" t="s">
        <v>1440</v>
      </c>
      <c r="E588" s="137"/>
      <c r="F588" s="13"/>
      <c r="G588" s="69"/>
      <c r="H588" s="28"/>
    </row>
    <row r="589" spans="1:8" x14ac:dyDescent="0.2">
      <c r="A589" s="4" t="s">
        <v>318</v>
      </c>
      <c r="B589" s="4"/>
      <c r="C589" s="4" t="s">
        <v>861</v>
      </c>
      <c r="D589" s="131" t="s">
        <v>1441</v>
      </c>
      <c r="E589" s="132"/>
      <c r="F589" s="4" t="s">
        <v>1663</v>
      </c>
      <c r="G589" s="68">
        <v>4.0890000000000004</v>
      </c>
      <c r="H589" s="16">
        <v>0</v>
      </c>
    </row>
    <row r="590" spans="1:8" ht="12.2" customHeight="1" x14ac:dyDescent="0.2">
      <c r="D590" s="157" t="s">
        <v>1816</v>
      </c>
      <c r="E590" s="158"/>
      <c r="F590" s="158"/>
      <c r="G590" s="47">
        <v>4.0890000000000004</v>
      </c>
    </row>
    <row r="591" spans="1:8" x14ac:dyDescent="0.2">
      <c r="A591" s="4" t="s">
        <v>319</v>
      </c>
      <c r="B591" s="4"/>
      <c r="C591" s="4" t="s">
        <v>862</v>
      </c>
      <c r="D591" s="131" t="s">
        <v>1442</v>
      </c>
      <c r="E591" s="132"/>
      <c r="F591" s="4" t="s">
        <v>1663</v>
      </c>
      <c r="G591" s="68">
        <v>4.0890000000000004</v>
      </c>
      <c r="H591" s="16">
        <v>0</v>
      </c>
    </row>
    <row r="592" spans="1:8" ht="12.2" customHeight="1" x14ac:dyDescent="0.2">
      <c r="D592" s="157" t="s">
        <v>1816</v>
      </c>
      <c r="E592" s="158"/>
      <c r="F592" s="158"/>
      <c r="G592" s="47">
        <v>4.0890000000000004</v>
      </c>
    </row>
    <row r="593" spans="1:8" x14ac:dyDescent="0.2">
      <c r="A593" s="4" t="s">
        <v>320</v>
      </c>
      <c r="B593" s="4"/>
      <c r="C593" s="4" t="s">
        <v>863</v>
      </c>
      <c r="D593" s="131" t="s">
        <v>1443</v>
      </c>
      <c r="E593" s="132"/>
      <c r="F593" s="4" t="s">
        <v>1663</v>
      </c>
      <c r="G593" s="68">
        <v>4.0890000000000004</v>
      </c>
      <c r="H593" s="16">
        <v>0</v>
      </c>
    </row>
    <row r="594" spans="1:8" ht="12.2" customHeight="1" x14ac:dyDescent="0.2">
      <c r="D594" s="157" t="s">
        <v>1816</v>
      </c>
      <c r="E594" s="158"/>
      <c r="F594" s="158"/>
      <c r="G594" s="47">
        <v>4.0890000000000004</v>
      </c>
    </row>
    <row r="595" spans="1:8" x14ac:dyDescent="0.2">
      <c r="A595" s="4" t="s">
        <v>321</v>
      </c>
      <c r="B595" s="4"/>
      <c r="C595" s="4" t="s">
        <v>864</v>
      </c>
      <c r="D595" s="131" t="s">
        <v>1444</v>
      </c>
      <c r="E595" s="132"/>
      <c r="F595" s="4" t="s">
        <v>1663</v>
      </c>
      <c r="G595" s="68">
        <v>45.15</v>
      </c>
      <c r="H595" s="16">
        <v>0</v>
      </c>
    </row>
    <row r="596" spans="1:8" ht="12.2" customHeight="1" x14ac:dyDescent="0.2">
      <c r="D596" s="157" t="s">
        <v>1886</v>
      </c>
      <c r="E596" s="158"/>
      <c r="F596" s="158"/>
      <c r="G596" s="47">
        <v>45.15</v>
      </c>
    </row>
    <row r="597" spans="1:8" x14ac:dyDescent="0.2">
      <c r="A597" s="4" t="s">
        <v>322</v>
      </c>
      <c r="B597" s="4"/>
      <c r="C597" s="4" t="s">
        <v>865</v>
      </c>
      <c r="D597" s="131" t="s">
        <v>1445</v>
      </c>
      <c r="E597" s="132"/>
      <c r="F597" s="4" t="s">
        <v>1663</v>
      </c>
      <c r="G597" s="68">
        <v>45.15</v>
      </c>
      <c r="H597" s="16">
        <v>0</v>
      </c>
    </row>
    <row r="598" spans="1:8" ht="12.2" customHeight="1" x14ac:dyDescent="0.2">
      <c r="D598" s="157" t="s">
        <v>1886</v>
      </c>
      <c r="E598" s="158"/>
      <c r="F598" s="158"/>
      <c r="G598" s="47">
        <v>45.15</v>
      </c>
    </row>
    <row r="599" spans="1:8" x14ac:dyDescent="0.2">
      <c r="A599" s="4" t="s">
        <v>323</v>
      </c>
      <c r="B599" s="4"/>
      <c r="C599" s="4" t="s">
        <v>866</v>
      </c>
      <c r="D599" s="131" t="s">
        <v>1446</v>
      </c>
      <c r="E599" s="132"/>
      <c r="F599" s="4" t="s">
        <v>1665</v>
      </c>
      <c r="G599" s="68">
        <v>1</v>
      </c>
      <c r="H599" s="16">
        <v>0</v>
      </c>
    </row>
    <row r="600" spans="1:8" ht="12.2" customHeight="1" x14ac:dyDescent="0.2">
      <c r="D600" s="157" t="s">
        <v>1777</v>
      </c>
      <c r="E600" s="158"/>
      <c r="F600" s="158"/>
      <c r="G600" s="47">
        <v>1</v>
      </c>
    </row>
    <row r="601" spans="1:8" x14ac:dyDescent="0.2">
      <c r="A601" s="4" t="s">
        <v>324</v>
      </c>
      <c r="B601" s="4"/>
      <c r="C601" s="4" t="s">
        <v>867</v>
      </c>
      <c r="D601" s="131" t="s">
        <v>1447</v>
      </c>
      <c r="E601" s="132"/>
      <c r="F601" s="4" t="s">
        <v>1666</v>
      </c>
      <c r="G601" s="68">
        <v>444.38499999999999</v>
      </c>
      <c r="H601" s="16">
        <v>0</v>
      </c>
    </row>
    <row r="602" spans="1:8" ht="12.2" customHeight="1" x14ac:dyDescent="0.2">
      <c r="D602" s="157" t="s">
        <v>1821</v>
      </c>
      <c r="E602" s="158"/>
      <c r="F602" s="158"/>
      <c r="G602" s="47">
        <v>165.62</v>
      </c>
    </row>
    <row r="603" spans="1:8" ht="12.2" customHeight="1" x14ac:dyDescent="0.2">
      <c r="A603" s="4"/>
      <c r="B603" s="4"/>
      <c r="C603" s="4"/>
      <c r="D603" s="157" t="s">
        <v>1921</v>
      </c>
      <c r="E603" s="158"/>
      <c r="F603" s="157"/>
      <c r="G603" s="70">
        <v>59.25</v>
      </c>
      <c r="H603" s="27"/>
    </row>
    <row r="604" spans="1:8" ht="12.2" customHeight="1" x14ac:dyDescent="0.2">
      <c r="A604" s="4"/>
      <c r="B604" s="4"/>
      <c r="C604" s="4"/>
      <c r="D604" s="157" t="s">
        <v>1822</v>
      </c>
      <c r="E604" s="158"/>
      <c r="F604" s="157"/>
      <c r="G604" s="70">
        <v>219.51499999999999</v>
      </c>
      <c r="H604" s="27"/>
    </row>
    <row r="605" spans="1:8" x14ac:dyDescent="0.2">
      <c r="A605" s="4" t="s">
        <v>325</v>
      </c>
      <c r="B605" s="4"/>
      <c r="C605" s="4" t="s">
        <v>868</v>
      </c>
      <c r="D605" s="131" t="s">
        <v>1448</v>
      </c>
      <c r="E605" s="132"/>
      <c r="F605" s="4" t="s">
        <v>1666</v>
      </c>
      <c r="G605" s="68">
        <v>236.76499999999999</v>
      </c>
      <c r="H605" s="16">
        <v>0</v>
      </c>
    </row>
    <row r="606" spans="1:8" ht="12.2" customHeight="1" x14ac:dyDescent="0.2">
      <c r="D606" s="157" t="s">
        <v>1922</v>
      </c>
      <c r="E606" s="158"/>
      <c r="F606" s="158"/>
      <c r="G606" s="47">
        <v>57.3</v>
      </c>
    </row>
    <row r="607" spans="1:8" ht="12.2" customHeight="1" x14ac:dyDescent="0.2">
      <c r="A607" s="4"/>
      <c r="B607" s="4"/>
      <c r="C607" s="4"/>
      <c r="D607" s="157" t="s">
        <v>1923</v>
      </c>
      <c r="E607" s="158"/>
      <c r="F607" s="157"/>
      <c r="G607" s="70">
        <v>30.25</v>
      </c>
      <c r="H607" s="27"/>
    </row>
    <row r="608" spans="1:8" ht="12.2" customHeight="1" x14ac:dyDescent="0.2">
      <c r="A608" s="4"/>
      <c r="B608" s="4"/>
      <c r="C608" s="4"/>
      <c r="D608" s="157" t="s">
        <v>1924</v>
      </c>
      <c r="E608" s="158"/>
      <c r="F608" s="157"/>
      <c r="G608" s="70">
        <v>149.215</v>
      </c>
      <c r="H608" s="27"/>
    </row>
    <row r="609" spans="1:8" x14ac:dyDescent="0.2">
      <c r="A609" s="4" t="s">
        <v>326</v>
      </c>
      <c r="B609" s="4"/>
      <c r="C609" s="4" t="s">
        <v>869</v>
      </c>
      <c r="D609" s="131" t="s">
        <v>1449</v>
      </c>
      <c r="E609" s="132"/>
      <c r="F609" s="4" t="s">
        <v>1665</v>
      </c>
      <c r="G609" s="68">
        <v>3</v>
      </c>
      <c r="H609" s="16">
        <v>0</v>
      </c>
    </row>
    <row r="610" spans="1:8" ht="12.2" customHeight="1" x14ac:dyDescent="0.2">
      <c r="D610" s="157" t="s">
        <v>1925</v>
      </c>
      <c r="E610" s="158"/>
      <c r="F610" s="158"/>
      <c r="G610" s="47">
        <v>3</v>
      </c>
    </row>
    <row r="611" spans="1:8" x14ac:dyDescent="0.2">
      <c r="A611" s="4" t="s">
        <v>327</v>
      </c>
      <c r="B611" s="4"/>
      <c r="C611" s="4" t="s">
        <v>870</v>
      </c>
      <c r="D611" s="131" t="s">
        <v>1450</v>
      </c>
      <c r="E611" s="132"/>
      <c r="F611" s="4" t="s">
        <v>1665</v>
      </c>
      <c r="G611" s="68">
        <v>5</v>
      </c>
      <c r="H611" s="16">
        <v>0</v>
      </c>
    </row>
    <row r="612" spans="1:8" ht="12.2" customHeight="1" x14ac:dyDescent="0.2">
      <c r="D612" s="157" t="s">
        <v>1917</v>
      </c>
      <c r="E612" s="158"/>
      <c r="F612" s="158"/>
      <c r="G612" s="47">
        <v>5</v>
      </c>
    </row>
    <row r="613" spans="1:8" x14ac:dyDescent="0.2">
      <c r="A613" s="4" t="s">
        <v>328</v>
      </c>
      <c r="B613" s="4"/>
      <c r="C613" s="4" t="s">
        <v>871</v>
      </c>
      <c r="D613" s="131" t="s">
        <v>1451</v>
      </c>
      <c r="E613" s="132"/>
      <c r="F613" s="4" t="s">
        <v>1665</v>
      </c>
      <c r="G613" s="68">
        <v>13</v>
      </c>
      <c r="H613" s="16">
        <v>0</v>
      </c>
    </row>
    <row r="614" spans="1:8" ht="12.2" customHeight="1" x14ac:dyDescent="0.2">
      <c r="D614" s="157" t="s">
        <v>1926</v>
      </c>
      <c r="E614" s="158"/>
      <c r="F614" s="158"/>
      <c r="G614" s="47">
        <v>13</v>
      </c>
    </row>
    <row r="615" spans="1:8" x14ac:dyDescent="0.2">
      <c r="A615" s="4" t="s">
        <v>329</v>
      </c>
      <c r="B615" s="4"/>
      <c r="C615" s="4" t="s">
        <v>872</v>
      </c>
      <c r="D615" s="131" t="s">
        <v>1452</v>
      </c>
      <c r="E615" s="132"/>
      <c r="F615" s="4" t="s">
        <v>1665</v>
      </c>
      <c r="G615" s="68">
        <v>9</v>
      </c>
      <c r="H615" s="16">
        <v>0</v>
      </c>
    </row>
    <row r="616" spans="1:8" ht="12.2" customHeight="1" x14ac:dyDescent="0.2">
      <c r="D616" s="157" t="s">
        <v>1927</v>
      </c>
      <c r="E616" s="158"/>
      <c r="F616" s="158"/>
      <c r="G616" s="47">
        <v>9</v>
      </c>
    </row>
    <row r="617" spans="1:8" x14ac:dyDescent="0.2">
      <c r="A617" s="4" t="s">
        <v>330</v>
      </c>
      <c r="B617" s="4"/>
      <c r="C617" s="4" t="s">
        <v>873</v>
      </c>
      <c r="D617" s="131" t="s">
        <v>1453</v>
      </c>
      <c r="E617" s="132"/>
      <c r="F617" s="4" t="s">
        <v>1665</v>
      </c>
      <c r="G617" s="68">
        <v>7</v>
      </c>
      <c r="H617" s="16">
        <v>0</v>
      </c>
    </row>
    <row r="618" spans="1:8" ht="12.2" customHeight="1" x14ac:dyDescent="0.2">
      <c r="D618" s="157" t="s">
        <v>1928</v>
      </c>
      <c r="E618" s="158"/>
      <c r="F618" s="158"/>
      <c r="G618" s="47">
        <v>7</v>
      </c>
    </row>
    <row r="619" spans="1:8" x14ac:dyDescent="0.2">
      <c r="A619" s="4" t="s">
        <v>331</v>
      </c>
      <c r="B619" s="4"/>
      <c r="C619" s="4" t="s">
        <v>874</v>
      </c>
      <c r="D619" s="131" t="s">
        <v>1454</v>
      </c>
      <c r="E619" s="132"/>
      <c r="F619" s="4" t="s">
        <v>1665</v>
      </c>
      <c r="G619" s="68">
        <v>1</v>
      </c>
      <c r="H619" s="16">
        <v>0</v>
      </c>
    </row>
    <row r="620" spans="1:8" ht="12.2" customHeight="1" x14ac:dyDescent="0.2">
      <c r="D620" s="157" t="s">
        <v>1777</v>
      </c>
      <c r="E620" s="158"/>
      <c r="F620" s="158"/>
      <c r="G620" s="47">
        <v>1</v>
      </c>
    </row>
    <row r="621" spans="1:8" x14ac:dyDescent="0.2">
      <c r="A621" s="4" t="s">
        <v>332</v>
      </c>
      <c r="B621" s="4"/>
      <c r="C621" s="4" t="s">
        <v>875</v>
      </c>
      <c r="D621" s="131" t="s">
        <v>1455</v>
      </c>
      <c r="E621" s="132"/>
      <c r="F621" s="4" t="s">
        <v>1665</v>
      </c>
      <c r="G621" s="68">
        <v>1</v>
      </c>
      <c r="H621" s="16">
        <v>0</v>
      </c>
    </row>
    <row r="622" spans="1:8" ht="12.2" customHeight="1" x14ac:dyDescent="0.2">
      <c r="D622" s="157" t="s">
        <v>1777</v>
      </c>
      <c r="E622" s="158"/>
      <c r="F622" s="158"/>
      <c r="G622" s="47">
        <v>1</v>
      </c>
    </row>
    <row r="623" spans="1:8" x14ac:dyDescent="0.2">
      <c r="A623" s="4" t="s">
        <v>333</v>
      </c>
      <c r="B623" s="4"/>
      <c r="C623" s="4" t="s">
        <v>876</v>
      </c>
      <c r="D623" s="131" t="s">
        <v>1456</v>
      </c>
      <c r="E623" s="132"/>
      <c r="F623" s="4" t="s">
        <v>1665</v>
      </c>
      <c r="G623" s="68">
        <v>1</v>
      </c>
      <c r="H623" s="16">
        <v>0</v>
      </c>
    </row>
    <row r="624" spans="1:8" ht="12.2" customHeight="1" x14ac:dyDescent="0.2">
      <c r="D624" s="157" t="s">
        <v>1777</v>
      </c>
      <c r="E624" s="158"/>
      <c r="F624" s="158"/>
      <c r="G624" s="47">
        <v>1</v>
      </c>
    </row>
    <row r="625" spans="1:8" x14ac:dyDescent="0.2">
      <c r="A625" s="4" t="s">
        <v>334</v>
      </c>
      <c r="B625" s="4"/>
      <c r="C625" s="4" t="s">
        <v>877</v>
      </c>
      <c r="D625" s="131" t="s">
        <v>1457</v>
      </c>
      <c r="E625" s="132"/>
      <c r="F625" s="4" t="s">
        <v>1665</v>
      </c>
      <c r="G625" s="68">
        <v>1</v>
      </c>
      <c r="H625" s="16">
        <v>0</v>
      </c>
    </row>
    <row r="626" spans="1:8" ht="12.2" customHeight="1" x14ac:dyDescent="0.2">
      <c r="D626" s="157" t="s">
        <v>1777</v>
      </c>
      <c r="E626" s="158"/>
      <c r="F626" s="158"/>
      <c r="G626" s="47">
        <v>1</v>
      </c>
    </row>
    <row r="627" spans="1:8" x14ac:dyDescent="0.2">
      <c r="A627" s="4" t="s">
        <v>335</v>
      </c>
      <c r="B627" s="4"/>
      <c r="C627" s="4" t="s">
        <v>878</v>
      </c>
      <c r="D627" s="131" t="s">
        <v>1458</v>
      </c>
      <c r="E627" s="132"/>
      <c r="F627" s="4" t="s">
        <v>1665</v>
      </c>
      <c r="G627" s="68">
        <v>3</v>
      </c>
      <c r="H627" s="16">
        <v>0</v>
      </c>
    </row>
    <row r="628" spans="1:8" ht="12.2" customHeight="1" x14ac:dyDescent="0.2">
      <c r="D628" s="157" t="s">
        <v>1925</v>
      </c>
      <c r="E628" s="158"/>
      <c r="F628" s="158"/>
      <c r="G628" s="47">
        <v>3</v>
      </c>
    </row>
    <row r="629" spans="1:8" x14ac:dyDescent="0.2">
      <c r="A629" s="4" t="s">
        <v>336</v>
      </c>
      <c r="B629" s="4"/>
      <c r="C629" s="4" t="s">
        <v>879</v>
      </c>
      <c r="D629" s="131" t="s">
        <v>1459</v>
      </c>
      <c r="E629" s="132"/>
      <c r="F629" s="4" t="s">
        <v>1665</v>
      </c>
      <c r="G629" s="68">
        <v>5</v>
      </c>
      <c r="H629" s="16">
        <v>0</v>
      </c>
    </row>
    <row r="630" spans="1:8" ht="12.2" customHeight="1" x14ac:dyDescent="0.2">
      <c r="D630" s="157" t="s">
        <v>1917</v>
      </c>
      <c r="E630" s="158"/>
      <c r="F630" s="158"/>
      <c r="G630" s="47">
        <v>5</v>
      </c>
    </row>
    <row r="631" spans="1:8" x14ac:dyDescent="0.2">
      <c r="A631" s="4" t="s">
        <v>337</v>
      </c>
      <c r="B631" s="4"/>
      <c r="C631" s="4" t="s">
        <v>880</v>
      </c>
      <c r="D631" s="131" t="s">
        <v>1460</v>
      </c>
      <c r="E631" s="132"/>
      <c r="F631" s="4" t="s">
        <v>1665</v>
      </c>
      <c r="G631" s="68">
        <v>1</v>
      </c>
      <c r="H631" s="16">
        <v>0</v>
      </c>
    </row>
    <row r="632" spans="1:8" ht="12.2" customHeight="1" x14ac:dyDescent="0.2">
      <c r="D632" s="157" t="s">
        <v>1777</v>
      </c>
      <c r="E632" s="158"/>
      <c r="F632" s="158"/>
      <c r="G632" s="47">
        <v>1</v>
      </c>
    </row>
    <row r="633" spans="1:8" x14ac:dyDescent="0.2">
      <c r="A633" s="4" t="s">
        <v>338</v>
      </c>
      <c r="B633" s="4"/>
      <c r="C633" s="4" t="s">
        <v>881</v>
      </c>
      <c r="D633" s="131" t="s">
        <v>1461</v>
      </c>
      <c r="E633" s="132"/>
      <c r="F633" s="4" t="s">
        <v>1665</v>
      </c>
      <c r="G633" s="68">
        <v>4</v>
      </c>
      <c r="H633" s="16">
        <v>0</v>
      </c>
    </row>
    <row r="634" spans="1:8" ht="12.2" customHeight="1" x14ac:dyDescent="0.2">
      <c r="D634" s="157" t="s">
        <v>1929</v>
      </c>
      <c r="E634" s="158"/>
      <c r="F634" s="158"/>
      <c r="G634" s="47">
        <v>4</v>
      </c>
    </row>
    <row r="635" spans="1:8" x14ac:dyDescent="0.2">
      <c r="A635" s="4" t="s">
        <v>339</v>
      </c>
      <c r="B635" s="4"/>
      <c r="C635" s="4" t="s">
        <v>882</v>
      </c>
      <c r="D635" s="131" t="s">
        <v>1462</v>
      </c>
      <c r="E635" s="132"/>
      <c r="F635" s="4" t="s">
        <v>1665</v>
      </c>
      <c r="G635" s="68">
        <v>2</v>
      </c>
      <c r="H635" s="16">
        <v>0</v>
      </c>
    </row>
    <row r="636" spans="1:8" ht="12.2" customHeight="1" x14ac:dyDescent="0.2">
      <c r="D636" s="157" t="s">
        <v>1841</v>
      </c>
      <c r="E636" s="158"/>
      <c r="F636" s="158"/>
      <c r="G636" s="47">
        <v>2</v>
      </c>
    </row>
    <row r="637" spans="1:8" x14ac:dyDescent="0.2">
      <c r="A637" s="4" t="s">
        <v>340</v>
      </c>
      <c r="B637" s="4"/>
      <c r="C637" s="4" t="s">
        <v>883</v>
      </c>
      <c r="D637" s="131" t="s">
        <v>1463</v>
      </c>
      <c r="E637" s="132"/>
      <c r="F637" s="4" t="s">
        <v>1665</v>
      </c>
      <c r="G637" s="68">
        <v>1</v>
      </c>
      <c r="H637" s="16">
        <v>0</v>
      </c>
    </row>
    <row r="638" spans="1:8" ht="12.2" customHeight="1" x14ac:dyDescent="0.2">
      <c r="D638" s="157" t="s">
        <v>1777</v>
      </c>
      <c r="E638" s="158"/>
      <c r="F638" s="158"/>
      <c r="G638" s="47">
        <v>1</v>
      </c>
    </row>
    <row r="639" spans="1:8" x14ac:dyDescent="0.2">
      <c r="A639" s="4" t="s">
        <v>341</v>
      </c>
      <c r="B639" s="4"/>
      <c r="C639" s="4" t="s">
        <v>884</v>
      </c>
      <c r="D639" s="131" t="s">
        <v>1464</v>
      </c>
      <c r="E639" s="132"/>
      <c r="F639" s="4" t="s">
        <v>1665</v>
      </c>
      <c r="G639" s="68">
        <v>5</v>
      </c>
      <c r="H639" s="16">
        <v>0</v>
      </c>
    </row>
    <row r="640" spans="1:8" ht="12.2" customHeight="1" x14ac:dyDescent="0.2">
      <c r="D640" s="157" t="s">
        <v>1917</v>
      </c>
      <c r="E640" s="158"/>
      <c r="F640" s="158"/>
      <c r="G640" s="47">
        <v>5</v>
      </c>
    </row>
    <row r="641" spans="1:8" x14ac:dyDescent="0.2">
      <c r="A641" s="4" t="s">
        <v>342</v>
      </c>
      <c r="B641" s="4"/>
      <c r="C641" s="4" t="s">
        <v>885</v>
      </c>
      <c r="D641" s="131" t="s">
        <v>1465</v>
      </c>
      <c r="E641" s="132"/>
      <c r="F641" s="4" t="s">
        <v>1665</v>
      </c>
      <c r="G641" s="68">
        <v>3</v>
      </c>
      <c r="H641" s="16">
        <v>0</v>
      </c>
    </row>
    <row r="642" spans="1:8" ht="12.2" customHeight="1" x14ac:dyDescent="0.2">
      <c r="D642" s="157" t="s">
        <v>1925</v>
      </c>
      <c r="E642" s="158"/>
      <c r="F642" s="158"/>
      <c r="G642" s="47">
        <v>3</v>
      </c>
    </row>
    <row r="643" spans="1:8" x14ac:dyDescent="0.2">
      <c r="A643" s="4" t="s">
        <v>343</v>
      </c>
      <c r="B643" s="4"/>
      <c r="C643" s="4" t="s">
        <v>886</v>
      </c>
      <c r="D643" s="131" t="s">
        <v>1466</v>
      </c>
      <c r="E643" s="132"/>
      <c r="F643" s="4" t="s">
        <v>1665</v>
      </c>
      <c r="G643" s="68">
        <v>1</v>
      </c>
      <c r="H643" s="16">
        <v>0</v>
      </c>
    </row>
    <row r="644" spans="1:8" ht="12.2" customHeight="1" x14ac:dyDescent="0.2">
      <c r="D644" s="157" t="s">
        <v>1777</v>
      </c>
      <c r="E644" s="158"/>
      <c r="F644" s="158"/>
      <c r="G644" s="47">
        <v>1</v>
      </c>
    </row>
    <row r="645" spans="1:8" x14ac:dyDescent="0.2">
      <c r="A645" s="4" t="s">
        <v>344</v>
      </c>
      <c r="B645" s="4"/>
      <c r="C645" s="4" t="s">
        <v>887</v>
      </c>
      <c r="D645" s="131" t="s">
        <v>1467</v>
      </c>
      <c r="E645" s="132"/>
      <c r="F645" s="4" t="s">
        <v>1664</v>
      </c>
      <c r="G645" s="68">
        <v>17.129000000000001</v>
      </c>
      <c r="H645" s="16">
        <v>0</v>
      </c>
    </row>
    <row r="646" spans="1:8" ht="12.2" customHeight="1" x14ac:dyDescent="0.2">
      <c r="D646" s="157" t="s">
        <v>1930</v>
      </c>
      <c r="E646" s="158"/>
      <c r="F646" s="158"/>
      <c r="G646" s="47">
        <v>17.129000000000001</v>
      </c>
    </row>
    <row r="647" spans="1:8" x14ac:dyDescent="0.2">
      <c r="A647" s="13"/>
      <c r="B647" s="13"/>
      <c r="C647" s="13" t="s">
        <v>888</v>
      </c>
      <c r="D647" s="136" t="s">
        <v>1468</v>
      </c>
      <c r="E647" s="137"/>
      <c r="F647" s="13"/>
      <c r="G647" s="69"/>
      <c r="H647" s="28"/>
    </row>
    <row r="648" spans="1:8" x14ac:dyDescent="0.2">
      <c r="A648" s="4" t="s">
        <v>345</v>
      </c>
      <c r="B648" s="4"/>
      <c r="C648" s="4" t="s">
        <v>889</v>
      </c>
      <c r="D648" s="131" t="s">
        <v>1469</v>
      </c>
      <c r="E648" s="132"/>
      <c r="F648" s="4" t="s">
        <v>1663</v>
      </c>
      <c r="G648" s="68">
        <v>614.01599999999996</v>
      </c>
      <c r="H648" s="16">
        <v>0</v>
      </c>
    </row>
    <row r="649" spans="1:8" ht="12.2" customHeight="1" x14ac:dyDescent="0.2">
      <c r="D649" s="157" t="s">
        <v>1896</v>
      </c>
      <c r="E649" s="158"/>
      <c r="F649" s="158"/>
      <c r="G649" s="47">
        <v>614.01599999999996</v>
      </c>
    </row>
    <row r="650" spans="1:8" x14ac:dyDescent="0.2">
      <c r="A650" s="4" t="s">
        <v>346</v>
      </c>
      <c r="B650" s="4"/>
      <c r="C650" s="4" t="s">
        <v>890</v>
      </c>
      <c r="D650" s="131" t="s">
        <v>1470</v>
      </c>
      <c r="E650" s="132"/>
      <c r="F650" s="4" t="s">
        <v>1663</v>
      </c>
      <c r="G650" s="68">
        <v>614.01599999999996</v>
      </c>
      <c r="H650" s="16">
        <v>0</v>
      </c>
    </row>
    <row r="651" spans="1:8" ht="12.2" customHeight="1" x14ac:dyDescent="0.2">
      <c r="D651" s="157" t="s">
        <v>1896</v>
      </c>
      <c r="E651" s="158"/>
      <c r="F651" s="158"/>
      <c r="G651" s="47">
        <v>614.01599999999996</v>
      </c>
    </row>
    <row r="652" spans="1:8" x14ac:dyDescent="0.2">
      <c r="A652" s="4" t="s">
        <v>347</v>
      </c>
      <c r="B652" s="4"/>
      <c r="C652" s="4" t="s">
        <v>891</v>
      </c>
      <c r="D652" s="131" t="s">
        <v>1471</v>
      </c>
      <c r="E652" s="132"/>
      <c r="F652" s="4" t="s">
        <v>1672</v>
      </c>
      <c r="G652" s="68">
        <v>6730</v>
      </c>
      <c r="H652" s="16">
        <v>0</v>
      </c>
    </row>
    <row r="653" spans="1:8" ht="12.2" customHeight="1" x14ac:dyDescent="0.2">
      <c r="D653" s="157" t="s">
        <v>1931</v>
      </c>
      <c r="E653" s="158"/>
      <c r="F653" s="158"/>
      <c r="G653" s="47">
        <v>6730</v>
      </c>
    </row>
    <row r="654" spans="1:8" x14ac:dyDescent="0.2">
      <c r="A654" s="4" t="s">
        <v>348</v>
      </c>
      <c r="B654" s="4"/>
      <c r="C654" s="4" t="s">
        <v>892</v>
      </c>
      <c r="D654" s="131" t="s">
        <v>1472</v>
      </c>
      <c r="E654" s="132"/>
      <c r="F654" s="4" t="s">
        <v>1663</v>
      </c>
      <c r="G654" s="68">
        <v>233.25</v>
      </c>
      <c r="H654" s="16">
        <v>0</v>
      </c>
    </row>
    <row r="655" spans="1:8" ht="12.2" customHeight="1" x14ac:dyDescent="0.2">
      <c r="D655" s="157" t="s">
        <v>1932</v>
      </c>
      <c r="E655" s="158"/>
      <c r="F655" s="158"/>
      <c r="G655" s="47">
        <v>233.25</v>
      </c>
    </row>
    <row r="656" spans="1:8" x14ac:dyDescent="0.2">
      <c r="A656" s="4" t="s">
        <v>349</v>
      </c>
      <c r="B656" s="4"/>
      <c r="C656" s="4" t="s">
        <v>893</v>
      </c>
      <c r="D656" s="131" t="s">
        <v>1473</v>
      </c>
      <c r="E656" s="132"/>
      <c r="F656" s="4" t="s">
        <v>1665</v>
      </c>
      <c r="G656" s="68">
        <v>1</v>
      </c>
      <c r="H656" s="16">
        <v>0</v>
      </c>
    </row>
    <row r="657" spans="1:8" ht="12.2" customHeight="1" x14ac:dyDescent="0.2">
      <c r="D657" s="157" t="s">
        <v>1777</v>
      </c>
      <c r="E657" s="158"/>
      <c r="F657" s="158"/>
      <c r="G657" s="47">
        <v>1</v>
      </c>
    </row>
    <row r="658" spans="1:8" x14ac:dyDescent="0.2">
      <c r="A658" s="4" t="s">
        <v>350</v>
      </c>
      <c r="B658" s="4"/>
      <c r="C658" s="4" t="s">
        <v>894</v>
      </c>
      <c r="D658" s="131" t="s">
        <v>1474</v>
      </c>
      <c r="E658" s="132"/>
      <c r="F658" s="4" t="s">
        <v>1665</v>
      </c>
      <c r="G658" s="68">
        <v>4</v>
      </c>
      <c r="H658" s="16">
        <v>0</v>
      </c>
    </row>
    <row r="659" spans="1:8" ht="12.2" customHeight="1" x14ac:dyDescent="0.2">
      <c r="D659" s="157" t="s">
        <v>1929</v>
      </c>
      <c r="E659" s="158"/>
      <c r="F659" s="158"/>
      <c r="G659" s="47">
        <v>4</v>
      </c>
    </row>
    <row r="660" spans="1:8" x14ac:dyDescent="0.2">
      <c r="A660" s="4" t="s">
        <v>351</v>
      </c>
      <c r="B660" s="4"/>
      <c r="C660" s="4" t="s">
        <v>895</v>
      </c>
      <c r="D660" s="131" t="s">
        <v>1475</v>
      </c>
      <c r="E660" s="132"/>
      <c r="F660" s="4" t="s">
        <v>1665</v>
      </c>
      <c r="G660" s="68">
        <v>5</v>
      </c>
      <c r="H660" s="16">
        <v>0</v>
      </c>
    </row>
    <row r="661" spans="1:8" ht="12.2" customHeight="1" x14ac:dyDescent="0.2">
      <c r="D661" s="157" t="s">
        <v>1917</v>
      </c>
      <c r="E661" s="158"/>
      <c r="F661" s="158"/>
      <c r="G661" s="47">
        <v>5</v>
      </c>
    </row>
    <row r="662" spans="1:8" x14ac:dyDescent="0.2">
      <c r="A662" s="4" t="s">
        <v>352</v>
      </c>
      <c r="B662" s="4"/>
      <c r="C662" s="4" t="s">
        <v>896</v>
      </c>
      <c r="D662" s="131" t="s">
        <v>1476</v>
      </c>
      <c r="E662" s="132"/>
      <c r="F662" s="4" t="s">
        <v>1665</v>
      </c>
      <c r="G662" s="68">
        <v>3</v>
      </c>
      <c r="H662" s="16">
        <v>0</v>
      </c>
    </row>
    <row r="663" spans="1:8" ht="12.2" customHeight="1" x14ac:dyDescent="0.2">
      <c r="D663" s="157" t="s">
        <v>1925</v>
      </c>
      <c r="E663" s="158"/>
      <c r="F663" s="158"/>
      <c r="G663" s="47">
        <v>3</v>
      </c>
    </row>
    <row r="664" spans="1:8" x14ac:dyDescent="0.2">
      <c r="A664" s="4" t="s">
        <v>353</v>
      </c>
      <c r="B664" s="4"/>
      <c r="C664" s="4" t="s">
        <v>897</v>
      </c>
      <c r="D664" s="131" t="s">
        <v>1477</v>
      </c>
      <c r="E664" s="132"/>
      <c r="F664" s="4" t="s">
        <v>1665</v>
      </c>
      <c r="G664" s="68">
        <v>5</v>
      </c>
      <c r="H664" s="16">
        <v>0</v>
      </c>
    </row>
    <row r="665" spans="1:8" ht="12.2" customHeight="1" x14ac:dyDescent="0.2">
      <c r="D665" s="157" t="s">
        <v>1917</v>
      </c>
      <c r="E665" s="158"/>
      <c r="F665" s="158"/>
      <c r="G665" s="47">
        <v>5</v>
      </c>
    </row>
    <row r="666" spans="1:8" x14ac:dyDescent="0.2">
      <c r="A666" s="4" t="s">
        <v>354</v>
      </c>
      <c r="B666" s="4"/>
      <c r="C666" s="4" t="s">
        <v>898</v>
      </c>
      <c r="D666" s="131" t="s">
        <v>1478</v>
      </c>
      <c r="E666" s="132"/>
      <c r="F666" s="4" t="s">
        <v>1665</v>
      </c>
      <c r="G666" s="68">
        <v>9</v>
      </c>
      <c r="H666" s="16">
        <v>0</v>
      </c>
    </row>
    <row r="667" spans="1:8" ht="12.2" customHeight="1" x14ac:dyDescent="0.2">
      <c r="D667" s="157" t="s">
        <v>1927</v>
      </c>
      <c r="E667" s="158"/>
      <c r="F667" s="158"/>
      <c r="G667" s="47">
        <v>9</v>
      </c>
    </row>
    <row r="668" spans="1:8" x14ac:dyDescent="0.2">
      <c r="A668" s="4" t="s">
        <v>355</v>
      </c>
      <c r="B668" s="4"/>
      <c r="C668" s="4" t="s">
        <v>899</v>
      </c>
      <c r="D668" s="131" t="s">
        <v>1479</v>
      </c>
      <c r="E668" s="132"/>
      <c r="F668" s="4" t="s">
        <v>1665</v>
      </c>
      <c r="G668" s="68">
        <v>2</v>
      </c>
      <c r="H668" s="16">
        <v>0</v>
      </c>
    </row>
    <row r="669" spans="1:8" ht="12.2" customHeight="1" x14ac:dyDescent="0.2">
      <c r="D669" s="157" t="s">
        <v>1841</v>
      </c>
      <c r="E669" s="158"/>
      <c r="F669" s="158"/>
      <c r="G669" s="47">
        <v>2</v>
      </c>
    </row>
    <row r="670" spans="1:8" x14ac:dyDescent="0.2">
      <c r="A670" s="4" t="s">
        <v>356</v>
      </c>
      <c r="B670" s="4"/>
      <c r="C670" s="4" t="s">
        <v>900</v>
      </c>
      <c r="D670" s="131" t="s">
        <v>1480</v>
      </c>
      <c r="E670" s="132"/>
      <c r="F670" s="4" t="s">
        <v>1665</v>
      </c>
      <c r="G670" s="68">
        <v>4</v>
      </c>
      <c r="H670" s="16">
        <v>0</v>
      </c>
    </row>
    <row r="671" spans="1:8" ht="12.2" customHeight="1" x14ac:dyDescent="0.2">
      <c r="D671" s="157" t="s">
        <v>1929</v>
      </c>
      <c r="E671" s="158"/>
      <c r="F671" s="158"/>
      <c r="G671" s="47">
        <v>4</v>
      </c>
    </row>
    <row r="672" spans="1:8" x14ac:dyDescent="0.2">
      <c r="A672" s="4" t="s">
        <v>357</v>
      </c>
      <c r="B672" s="4"/>
      <c r="C672" s="4" t="s">
        <v>901</v>
      </c>
      <c r="D672" s="131" t="s">
        <v>1481</v>
      </c>
      <c r="E672" s="132"/>
      <c r="F672" s="4" t="s">
        <v>1665</v>
      </c>
      <c r="G672" s="68">
        <v>1</v>
      </c>
      <c r="H672" s="16">
        <v>0</v>
      </c>
    </row>
    <row r="673" spans="1:8" ht="12.2" customHeight="1" x14ac:dyDescent="0.2">
      <c r="D673" s="157" t="s">
        <v>1777</v>
      </c>
      <c r="E673" s="158"/>
      <c r="F673" s="158"/>
      <c r="G673" s="47">
        <v>1</v>
      </c>
    </row>
    <row r="674" spans="1:8" x14ac:dyDescent="0.2">
      <c r="A674" s="4" t="s">
        <v>358</v>
      </c>
      <c r="B674" s="4"/>
      <c r="C674" s="4" t="s">
        <v>902</v>
      </c>
      <c r="D674" s="131" t="s">
        <v>1482</v>
      </c>
      <c r="E674" s="132"/>
      <c r="F674" s="4" t="s">
        <v>1665</v>
      </c>
      <c r="G674" s="68">
        <v>3</v>
      </c>
      <c r="H674" s="16">
        <v>0</v>
      </c>
    </row>
    <row r="675" spans="1:8" ht="12.2" customHeight="1" x14ac:dyDescent="0.2">
      <c r="D675" s="157" t="s">
        <v>1925</v>
      </c>
      <c r="E675" s="158"/>
      <c r="F675" s="158"/>
      <c r="G675" s="47">
        <v>3</v>
      </c>
    </row>
    <row r="676" spans="1:8" x14ac:dyDescent="0.2">
      <c r="A676" s="4" t="s">
        <v>359</v>
      </c>
      <c r="B676" s="4"/>
      <c r="C676" s="4" t="s">
        <v>903</v>
      </c>
      <c r="D676" s="131" t="s">
        <v>1483</v>
      </c>
      <c r="E676" s="132"/>
      <c r="F676" s="4" t="s">
        <v>1665</v>
      </c>
      <c r="G676" s="68">
        <v>1</v>
      </c>
      <c r="H676" s="16">
        <v>0</v>
      </c>
    </row>
    <row r="677" spans="1:8" ht="12.2" customHeight="1" x14ac:dyDescent="0.2">
      <c r="D677" s="157" t="s">
        <v>1777</v>
      </c>
      <c r="E677" s="158"/>
      <c r="F677" s="158"/>
      <c r="G677" s="47">
        <v>1</v>
      </c>
    </row>
    <row r="678" spans="1:8" x14ac:dyDescent="0.2">
      <c r="A678" s="4" t="s">
        <v>360</v>
      </c>
      <c r="B678" s="4"/>
      <c r="C678" s="4" t="s">
        <v>904</v>
      </c>
      <c r="D678" s="131" t="s">
        <v>1484</v>
      </c>
      <c r="E678" s="132"/>
      <c r="F678" s="4" t="s">
        <v>1665</v>
      </c>
      <c r="G678" s="68">
        <v>1</v>
      </c>
      <c r="H678" s="16">
        <v>0</v>
      </c>
    </row>
    <row r="679" spans="1:8" ht="12.2" customHeight="1" x14ac:dyDescent="0.2">
      <c r="D679" s="157" t="s">
        <v>1777</v>
      </c>
      <c r="E679" s="158"/>
      <c r="F679" s="158"/>
      <c r="G679" s="47">
        <v>1</v>
      </c>
    </row>
    <row r="680" spans="1:8" x14ac:dyDescent="0.2">
      <c r="A680" s="4" t="s">
        <v>361</v>
      </c>
      <c r="B680" s="4"/>
      <c r="C680" s="4" t="s">
        <v>905</v>
      </c>
      <c r="D680" s="131" t="s">
        <v>1485</v>
      </c>
      <c r="E680" s="132"/>
      <c r="F680" s="4" t="s">
        <v>1665</v>
      </c>
      <c r="G680" s="68">
        <v>1</v>
      </c>
      <c r="H680" s="16">
        <v>0</v>
      </c>
    </row>
    <row r="681" spans="1:8" ht="12.2" customHeight="1" x14ac:dyDescent="0.2">
      <c r="D681" s="157" t="s">
        <v>1777</v>
      </c>
      <c r="E681" s="158"/>
      <c r="F681" s="158"/>
      <c r="G681" s="47">
        <v>1</v>
      </c>
    </row>
    <row r="682" spans="1:8" x14ac:dyDescent="0.2">
      <c r="A682" s="4" t="s">
        <v>362</v>
      </c>
      <c r="B682" s="4"/>
      <c r="C682" s="4" t="s">
        <v>906</v>
      </c>
      <c r="D682" s="131" t="s">
        <v>1486</v>
      </c>
      <c r="E682" s="132"/>
      <c r="F682" s="4" t="s">
        <v>1665</v>
      </c>
      <c r="G682" s="68">
        <v>1</v>
      </c>
      <c r="H682" s="16">
        <v>0</v>
      </c>
    </row>
    <row r="683" spans="1:8" ht="12.2" customHeight="1" x14ac:dyDescent="0.2">
      <c r="D683" s="157" t="s">
        <v>1777</v>
      </c>
      <c r="E683" s="158"/>
      <c r="F683" s="158"/>
      <c r="G683" s="47">
        <v>1</v>
      </c>
    </row>
    <row r="684" spans="1:8" x14ac:dyDescent="0.2">
      <c r="A684" s="4" t="s">
        <v>363</v>
      </c>
      <c r="B684" s="4"/>
      <c r="C684" s="4" t="s">
        <v>907</v>
      </c>
      <c r="D684" s="131" t="s">
        <v>1487</v>
      </c>
      <c r="E684" s="132"/>
      <c r="F684" s="4" t="s">
        <v>1665</v>
      </c>
      <c r="G684" s="68">
        <v>1</v>
      </c>
      <c r="H684" s="16">
        <v>0</v>
      </c>
    </row>
    <row r="685" spans="1:8" ht="12.2" customHeight="1" x14ac:dyDescent="0.2">
      <c r="D685" s="157" t="s">
        <v>1777</v>
      </c>
      <c r="E685" s="158"/>
      <c r="F685" s="158"/>
      <c r="G685" s="47">
        <v>1</v>
      </c>
    </row>
    <row r="686" spans="1:8" x14ac:dyDescent="0.2">
      <c r="A686" s="4" t="s">
        <v>364</v>
      </c>
      <c r="B686" s="4"/>
      <c r="C686" s="4" t="s">
        <v>908</v>
      </c>
      <c r="D686" s="131" t="s">
        <v>1488</v>
      </c>
      <c r="E686" s="132"/>
      <c r="F686" s="4" t="s">
        <v>1665</v>
      </c>
      <c r="G686" s="68">
        <v>2</v>
      </c>
      <c r="H686" s="16">
        <v>0</v>
      </c>
    </row>
    <row r="687" spans="1:8" ht="12.2" customHeight="1" x14ac:dyDescent="0.2">
      <c r="D687" s="157" t="s">
        <v>1841</v>
      </c>
      <c r="E687" s="158"/>
      <c r="F687" s="158"/>
      <c r="G687" s="47">
        <v>2</v>
      </c>
    </row>
    <row r="688" spans="1:8" x14ac:dyDescent="0.2">
      <c r="A688" s="4" t="s">
        <v>365</v>
      </c>
      <c r="B688" s="4"/>
      <c r="C688" s="4" t="s">
        <v>909</v>
      </c>
      <c r="D688" s="131" t="s">
        <v>1489</v>
      </c>
      <c r="E688" s="132"/>
      <c r="F688" s="4" t="s">
        <v>1665</v>
      </c>
      <c r="G688" s="68">
        <v>2</v>
      </c>
      <c r="H688" s="16">
        <v>0</v>
      </c>
    </row>
    <row r="689" spans="1:8" ht="12.2" customHeight="1" x14ac:dyDescent="0.2">
      <c r="D689" s="157" t="s">
        <v>1841</v>
      </c>
      <c r="E689" s="158"/>
      <c r="F689" s="158"/>
      <c r="G689" s="47">
        <v>2</v>
      </c>
    </row>
    <row r="690" spans="1:8" x14ac:dyDescent="0.2">
      <c r="A690" s="4" t="s">
        <v>366</v>
      </c>
      <c r="B690" s="4"/>
      <c r="C690" s="4" t="s">
        <v>910</v>
      </c>
      <c r="D690" s="131" t="s">
        <v>1490</v>
      </c>
      <c r="E690" s="132"/>
      <c r="F690" s="4" t="s">
        <v>1665</v>
      </c>
      <c r="G690" s="68">
        <v>3</v>
      </c>
      <c r="H690" s="16">
        <v>0</v>
      </c>
    </row>
    <row r="691" spans="1:8" ht="12.2" customHeight="1" x14ac:dyDescent="0.2">
      <c r="D691" s="157" t="s">
        <v>1925</v>
      </c>
      <c r="E691" s="158"/>
      <c r="F691" s="158"/>
      <c r="G691" s="47">
        <v>3</v>
      </c>
    </row>
    <row r="692" spans="1:8" x14ac:dyDescent="0.2">
      <c r="A692" s="4" t="s">
        <v>367</v>
      </c>
      <c r="B692" s="4"/>
      <c r="C692" s="4" t="s">
        <v>911</v>
      </c>
      <c r="D692" s="131" t="s">
        <v>1491</v>
      </c>
      <c r="E692" s="132"/>
      <c r="F692" s="4" t="s">
        <v>1665</v>
      </c>
      <c r="G692" s="68">
        <v>10</v>
      </c>
      <c r="H692" s="16">
        <v>0</v>
      </c>
    </row>
    <row r="693" spans="1:8" ht="12.2" customHeight="1" x14ac:dyDescent="0.2">
      <c r="D693" s="157" t="s">
        <v>1933</v>
      </c>
      <c r="E693" s="158"/>
      <c r="F693" s="158"/>
      <c r="G693" s="47">
        <v>10</v>
      </c>
    </row>
    <row r="694" spans="1:8" x14ac:dyDescent="0.2">
      <c r="A694" s="4" t="s">
        <v>368</v>
      </c>
      <c r="B694" s="4"/>
      <c r="C694" s="4" t="s">
        <v>912</v>
      </c>
      <c r="D694" s="131" t="s">
        <v>1492</v>
      </c>
      <c r="E694" s="132"/>
      <c r="F694" s="4" t="s">
        <v>1665</v>
      </c>
      <c r="G694" s="68">
        <v>2</v>
      </c>
      <c r="H694" s="16">
        <v>0</v>
      </c>
    </row>
    <row r="695" spans="1:8" ht="12.2" customHeight="1" x14ac:dyDescent="0.2">
      <c r="D695" s="157" t="s">
        <v>1841</v>
      </c>
      <c r="E695" s="158"/>
      <c r="F695" s="158"/>
      <c r="G695" s="47">
        <v>2</v>
      </c>
    </row>
    <row r="696" spans="1:8" x14ac:dyDescent="0.2">
      <c r="A696" s="4" t="s">
        <v>369</v>
      </c>
      <c r="B696" s="4"/>
      <c r="C696" s="4" t="s">
        <v>913</v>
      </c>
      <c r="D696" s="131" t="s">
        <v>1493</v>
      </c>
      <c r="E696" s="132"/>
      <c r="F696" s="4" t="s">
        <v>1665</v>
      </c>
      <c r="G696" s="68">
        <v>1</v>
      </c>
      <c r="H696" s="16">
        <v>0</v>
      </c>
    </row>
    <row r="697" spans="1:8" ht="12.2" customHeight="1" x14ac:dyDescent="0.2">
      <c r="D697" s="157" t="s">
        <v>1777</v>
      </c>
      <c r="E697" s="158"/>
      <c r="F697" s="158"/>
      <c r="G697" s="47">
        <v>1</v>
      </c>
    </row>
    <row r="698" spans="1:8" x14ac:dyDescent="0.2">
      <c r="A698" s="4" t="s">
        <v>370</v>
      </c>
      <c r="B698" s="4"/>
      <c r="C698" s="4" t="s">
        <v>914</v>
      </c>
      <c r="D698" s="131" t="s">
        <v>1494</v>
      </c>
      <c r="E698" s="132"/>
      <c r="F698" s="4" t="s">
        <v>1665</v>
      </c>
      <c r="G698" s="68">
        <v>13</v>
      </c>
      <c r="H698" s="16">
        <v>0</v>
      </c>
    </row>
    <row r="699" spans="1:8" ht="12.2" customHeight="1" x14ac:dyDescent="0.2">
      <c r="D699" s="157" t="s">
        <v>1934</v>
      </c>
      <c r="E699" s="158"/>
      <c r="F699" s="158"/>
      <c r="G699" s="47">
        <v>13</v>
      </c>
    </row>
    <row r="700" spans="1:8" x14ac:dyDescent="0.2">
      <c r="A700" s="4" t="s">
        <v>371</v>
      </c>
      <c r="B700" s="4"/>
      <c r="C700" s="4" t="s">
        <v>915</v>
      </c>
      <c r="D700" s="131" t="s">
        <v>1495</v>
      </c>
      <c r="E700" s="132"/>
      <c r="F700" s="4" t="s">
        <v>1665</v>
      </c>
      <c r="G700" s="68">
        <v>1</v>
      </c>
      <c r="H700" s="16">
        <v>0</v>
      </c>
    </row>
    <row r="701" spans="1:8" ht="12.2" customHeight="1" x14ac:dyDescent="0.2">
      <c r="D701" s="157" t="s">
        <v>1777</v>
      </c>
      <c r="E701" s="158"/>
      <c r="F701" s="158"/>
      <c r="G701" s="47">
        <v>1</v>
      </c>
    </row>
    <row r="702" spans="1:8" x14ac:dyDescent="0.2">
      <c r="A702" s="4" t="s">
        <v>372</v>
      </c>
      <c r="B702" s="4"/>
      <c r="C702" s="4" t="s">
        <v>916</v>
      </c>
      <c r="D702" s="131" t="s">
        <v>1496</v>
      </c>
      <c r="E702" s="132"/>
      <c r="F702" s="4" t="s">
        <v>1665</v>
      </c>
      <c r="G702" s="68">
        <v>5</v>
      </c>
      <c r="H702" s="16">
        <v>0</v>
      </c>
    </row>
    <row r="703" spans="1:8" ht="12.2" customHeight="1" x14ac:dyDescent="0.2">
      <c r="D703" s="157" t="s">
        <v>1917</v>
      </c>
      <c r="E703" s="158"/>
      <c r="F703" s="158"/>
      <c r="G703" s="47">
        <v>5</v>
      </c>
    </row>
    <row r="704" spans="1:8" x14ac:dyDescent="0.2">
      <c r="A704" s="4" t="s">
        <v>373</v>
      </c>
      <c r="B704" s="4"/>
      <c r="C704" s="4" t="s">
        <v>917</v>
      </c>
      <c r="D704" s="131" t="s">
        <v>1497</v>
      </c>
      <c r="E704" s="132"/>
      <c r="F704" s="4" t="s">
        <v>1672</v>
      </c>
      <c r="G704" s="68">
        <v>120</v>
      </c>
      <c r="H704" s="16">
        <v>0</v>
      </c>
    </row>
    <row r="705" spans="1:8" ht="12.2" customHeight="1" x14ac:dyDescent="0.2">
      <c r="D705" s="157" t="s">
        <v>1935</v>
      </c>
      <c r="E705" s="158"/>
      <c r="F705" s="158"/>
      <c r="G705" s="47">
        <v>120</v>
      </c>
    </row>
    <row r="706" spans="1:8" x14ac:dyDescent="0.2">
      <c r="A706" s="4" t="s">
        <v>374</v>
      </c>
      <c r="B706" s="4"/>
      <c r="C706" s="4" t="s">
        <v>918</v>
      </c>
      <c r="D706" s="131" t="s">
        <v>1498</v>
      </c>
      <c r="E706" s="132"/>
      <c r="F706" s="4" t="s">
        <v>1665</v>
      </c>
      <c r="G706" s="68">
        <v>2</v>
      </c>
      <c r="H706" s="16">
        <v>0</v>
      </c>
    </row>
    <row r="707" spans="1:8" ht="12.2" customHeight="1" x14ac:dyDescent="0.2">
      <c r="D707" s="157" t="s">
        <v>1841</v>
      </c>
      <c r="E707" s="158"/>
      <c r="F707" s="158"/>
      <c r="G707" s="47">
        <v>2</v>
      </c>
    </row>
    <row r="708" spans="1:8" x14ac:dyDescent="0.2">
      <c r="A708" s="4" t="s">
        <v>375</v>
      </c>
      <c r="B708" s="4"/>
      <c r="C708" s="4" t="s">
        <v>918</v>
      </c>
      <c r="D708" s="131" t="s">
        <v>1499</v>
      </c>
      <c r="E708" s="132"/>
      <c r="F708" s="4" t="s">
        <v>1665</v>
      </c>
      <c r="G708" s="68">
        <v>1</v>
      </c>
      <c r="H708" s="16">
        <v>0</v>
      </c>
    </row>
    <row r="709" spans="1:8" ht="12.2" customHeight="1" x14ac:dyDescent="0.2">
      <c r="D709" s="157" t="s">
        <v>1777</v>
      </c>
      <c r="E709" s="158"/>
      <c r="F709" s="158"/>
      <c r="G709" s="47">
        <v>1</v>
      </c>
    </row>
    <row r="710" spans="1:8" x14ac:dyDescent="0.2">
      <c r="A710" s="4" t="s">
        <v>376</v>
      </c>
      <c r="B710" s="4"/>
      <c r="C710" s="4" t="s">
        <v>919</v>
      </c>
      <c r="D710" s="131" t="s">
        <v>1500</v>
      </c>
      <c r="E710" s="132"/>
      <c r="F710" s="4" t="s">
        <v>1664</v>
      </c>
      <c r="G710" s="68">
        <v>57.500999999999998</v>
      </c>
      <c r="H710" s="16">
        <v>0</v>
      </c>
    </row>
    <row r="711" spans="1:8" ht="12.2" customHeight="1" x14ac:dyDescent="0.2">
      <c r="D711" s="157" t="s">
        <v>1936</v>
      </c>
      <c r="E711" s="158"/>
      <c r="F711" s="158"/>
      <c r="G711" s="47">
        <v>57.500999999999998</v>
      </c>
    </row>
    <row r="712" spans="1:8" x14ac:dyDescent="0.2">
      <c r="A712" s="13"/>
      <c r="B712" s="13"/>
      <c r="C712" s="13" t="s">
        <v>920</v>
      </c>
      <c r="D712" s="136" t="s">
        <v>1501</v>
      </c>
      <c r="E712" s="137"/>
      <c r="F712" s="13"/>
      <c r="G712" s="69"/>
      <c r="H712" s="28"/>
    </row>
    <row r="713" spans="1:8" x14ac:dyDescent="0.2">
      <c r="A713" s="4" t="s">
        <v>377</v>
      </c>
      <c r="B713" s="4"/>
      <c r="C713" s="4" t="s">
        <v>921</v>
      </c>
      <c r="D713" s="131" t="s">
        <v>1502</v>
      </c>
      <c r="E713" s="132"/>
      <c r="F713" s="4" t="s">
        <v>1663</v>
      </c>
      <c r="G713" s="68">
        <v>2.665</v>
      </c>
      <c r="H713" s="16">
        <v>0</v>
      </c>
    </row>
    <row r="714" spans="1:8" ht="12.2" customHeight="1" x14ac:dyDescent="0.2">
      <c r="D714" s="157" t="s">
        <v>1937</v>
      </c>
      <c r="E714" s="158"/>
      <c r="F714" s="158"/>
      <c r="G714" s="47">
        <v>2.665</v>
      </c>
    </row>
    <row r="715" spans="1:8" x14ac:dyDescent="0.2">
      <c r="A715" s="4" t="s">
        <v>378</v>
      </c>
      <c r="B715" s="4"/>
      <c r="C715" s="4" t="s">
        <v>922</v>
      </c>
      <c r="D715" s="131" t="s">
        <v>1503</v>
      </c>
      <c r="E715" s="132"/>
      <c r="F715" s="4" t="s">
        <v>1663</v>
      </c>
      <c r="G715" s="68">
        <v>2.665</v>
      </c>
      <c r="H715" s="16">
        <v>0</v>
      </c>
    </row>
    <row r="716" spans="1:8" ht="12.2" customHeight="1" x14ac:dyDescent="0.2">
      <c r="D716" s="157" t="s">
        <v>1937</v>
      </c>
      <c r="E716" s="158"/>
      <c r="F716" s="158"/>
      <c r="G716" s="47">
        <v>2.665</v>
      </c>
    </row>
    <row r="717" spans="1:8" x14ac:dyDescent="0.2">
      <c r="A717" s="4" t="s">
        <v>379</v>
      </c>
      <c r="B717" s="4"/>
      <c r="C717" s="4" t="s">
        <v>923</v>
      </c>
      <c r="D717" s="131" t="s">
        <v>1504</v>
      </c>
      <c r="E717" s="132"/>
      <c r="F717" s="4" t="s">
        <v>1663</v>
      </c>
      <c r="G717" s="68">
        <v>2.665</v>
      </c>
      <c r="H717" s="16">
        <v>0</v>
      </c>
    </row>
    <row r="718" spans="1:8" ht="12.2" customHeight="1" x14ac:dyDescent="0.2">
      <c r="D718" s="157" t="s">
        <v>1937</v>
      </c>
      <c r="E718" s="158"/>
      <c r="F718" s="158"/>
      <c r="G718" s="47">
        <v>2.665</v>
      </c>
    </row>
    <row r="719" spans="1:8" x14ac:dyDescent="0.2">
      <c r="A719" s="4" t="s">
        <v>380</v>
      </c>
      <c r="B719" s="4"/>
      <c r="C719" s="4" t="s">
        <v>924</v>
      </c>
      <c r="D719" s="131" t="s">
        <v>1505</v>
      </c>
      <c r="E719" s="132"/>
      <c r="F719" s="4" t="s">
        <v>1663</v>
      </c>
      <c r="G719" s="68">
        <v>2.665</v>
      </c>
      <c r="H719" s="16">
        <v>0</v>
      </c>
    </row>
    <row r="720" spans="1:8" ht="12.2" customHeight="1" x14ac:dyDescent="0.2">
      <c r="D720" s="157" t="s">
        <v>1937</v>
      </c>
      <c r="E720" s="158"/>
      <c r="F720" s="158"/>
      <c r="G720" s="47">
        <v>2.665</v>
      </c>
    </row>
    <row r="721" spans="1:8" x14ac:dyDescent="0.2">
      <c r="A721" s="6" t="s">
        <v>381</v>
      </c>
      <c r="B721" s="6"/>
      <c r="C721" s="6" t="s">
        <v>925</v>
      </c>
      <c r="D721" s="144" t="s">
        <v>1506</v>
      </c>
      <c r="E721" s="139"/>
      <c r="F721" s="6" t="s">
        <v>1663</v>
      </c>
      <c r="G721" s="71">
        <v>2.798</v>
      </c>
      <c r="H721" s="17">
        <v>0</v>
      </c>
    </row>
    <row r="722" spans="1:8" ht="12.2" customHeight="1" x14ac:dyDescent="0.2">
      <c r="D722" s="160" t="s">
        <v>1937</v>
      </c>
      <c r="E722" s="161"/>
      <c r="F722" s="161"/>
      <c r="G722" s="48">
        <v>2.665</v>
      </c>
    </row>
    <row r="723" spans="1:8" ht="12.2" customHeight="1" x14ac:dyDescent="0.2">
      <c r="A723" s="6"/>
      <c r="B723" s="6"/>
      <c r="C723" s="6"/>
      <c r="D723" s="160" t="s">
        <v>1938</v>
      </c>
      <c r="E723" s="161"/>
      <c r="F723" s="160"/>
      <c r="G723" s="72">
        <v>0.13300000000000001</v>
      </c>
      <c r="H723" s="29"/>
    </row>
    <row r="724" spans="1:8" x14ac:dyDescent="0.2">
      <c r="A724" s="4" t="s">
        <v>382</v>
      </c>
      <c r="B724" s="4"/>
      <c r="C724" s="4" t="s">
        <v>926</v>
      </c>
      <c r="D724" s="131" t="s">
        <v>1507</v>
      </c>
      <c r="E724" s="132"/>
      <c r="F724" s="4" t="s">
        <v>1666</v>
      </c>
      <c r="G724" s="68">
        <v>5.8</v>
      </c>
      <c r="H724" s="16">
        <v>0</v>
      </c>
    </row>
    <row r="725" spans="1:8" ht="12.2" customHeight="1" x14ac:dyDescent="0.2">
      <c r="D725" s="157" t="s">
        <v>1939</v>
      </c>
      <c r="E725" s="158"/>
      <c r="F725" s="158"/>
      <c r="G725" s="47">
        <v>5.8</v>
      </c>
    </row>
    <row r="726" spans="1:8" x14ac:dyDescent="0.2">
      <c r="A726" s="4" t="s">
        <v>383</v>
      </c>
      <c r="B726" s="4"/>
      <c r="C726" s="4" t="s">
        <v>927</v>
      </c>
      <c r="D726" s="131" t="s">
        <v>1508</v>
      </c>
      <c r="E726" s="132"/>
      <c r="F726" s="4" t="s">
        <v>1663</v>
      </c>
      <c r="G726" s="68">
        <v>2.665</v>
      </c>
      <c r="H726" s="16">
        <v>0</v>
      </c>
    </row>
    <row r="727" spans="1:8" ht="12.2" customHeight="1" x14ac:dyDescent="0.2">
      <c r="D727" s="157" t="s">
        <v>1937</v>
      </c>
      <c r="E727" s="158"/>
      <c r="F727" s="158"/>
      <c r="G727" s="47">
        <v>2.665</v>
      </c>
    </row>
    <row r="728" spans="1:8" x14ac:dyDescent="0.2">
      <c r="A728" s="4" t="s">
        <v>384</v>
      </c>
      <c r="B728" s="4"/>
      <c r="C728" s="4" t="s">
        <v>928</v>
      </c>
      <c r="D728" s="131" t="s">
        <v>1509</v>
      </c>
      <c r="E728" s="132"/>
      <c r="F728" s="4" t="s">
        <v>1663</v>
      </c>
      <c r="G728" s="68">
        <v>2.665</v>
      </c>
      <c r="H728" s="16">
        <v>0</v>
      </c>
    </row>
    <row r="729" spans="1:8" ht="12.2" customHeight="1" x14ac:dyDescent="0.2">
      <c r="D729" s="157" t="s">
        <v>1937</v>
      </c>
      <c r="E729" s="158"/>
      <c r="F729" s="158"/>
      <c r="G729" s="47">
        <v>2.665</v>
      </c>
    </row>
    <row r="730" spans="1:8" x14ac:dyDescent="0.2">
      <c r="A730" s="4" t="s">
        <v>385</v>
      </c>
      <c r="B730" s="4"/>
      <c r="C730" s="4" t="s">
        <v>929</v>
      </c>
      <c r="D730" s="131" t="s">
        <v>1510</v>
      </c>
      <c r="E730" s="132"/>
      <c r="F730" s="4" t="s">
        <v>1664</v>
      </c>
      <c r="G730" s="68">
        <v>5.8999999999999997E-2</v>
      </c>
      <c r="H730" s="16">
        <v>0</v>
      </c>
    </row>
    <row r="731" spans="1:8" ht="12.2" customHeight="1" x14ac:dyDescent="0.2">
      <c r="D731" s="157" t="s">
        <v>1940</v>
      </c>
      <c r="E731" s="158"/>
      <c r="F731" s="158"/>
      <c r="G731" s="47">
        <v>5.8999999999999997E-2</v>
      </c>
    </row>
    <row r="732" spans="1:8" x14ac:dyDescent="0.2">
      <c r="A732" s="13"/>
      <c r="B732" s="13"/>
      <c r="C732" s="13" t="s">
        <v>930</v>
      </c>
      <c r="D732" s="136" t="s">
        <v>1511</v>
      </c>
      <c r="E732" s="137"/>
      <c r="F732" s="13"/>
      <c r="G732" s="69"/>
      <c r="H732" s="28"/>
    </row>
    <row r="733" spans="1:8" x14ac:dyDescent="0.2">
      <c r="A733" s="4" t="s">
        <v>386</v>
      </c>
      <c r="B733" s="4"/>
      <c r="C733" s="4" t="s">
        <v>931</v>
      </c>
      <c r="D733" s="131" t="s">
        <v>1512</v>
      </c>
      <c r="E733" s="132"/>
      <c r="F733" s="4" t="s">
        <v>1663</v>
      </c>
      <c r="G733" s="68">
        <v>135</v>
      </c>
      <c r="H733" s="16">
        <v>0</v>
      </c>
    </row>
    <row r="734" spans="1:8" ht="12.2" customHeight="1" x14ac:dyDescent="0.2">
      <c r="D734" s="157" t="s">
        <v>1941</v>
      </c>
      <c r="E734" s="158"/>
      <c r="F734" s="158"/>
      <c r="G734" s="47">
        <v>135</v>
      </c>
    </row>
    <row r="735" spans="1:8" x14ac:dyDescent="0.2">
      <c r="A735" s="4" t="s">
        <v>387</v>
      </c>
      <c r="B735" s="4"/>
      <c r="C735" s="4" t="s">
        <v>932</v>
      </c>
      <c r="D735" s="131" t="s">
        <v>1513</v>
      </c>
      <c r="E735" s="132"/>
      <c r="F735" s="4" t="s">
        <v>1663</v>
      </c>
      <c r="G735" s="68">
        <v>135</v>
      </c>
      <c r="H735" s="16">
        <v>0</v>
      </c>
    </row>
    <row r="736" spans="1:8" ht="12.2" customHeight="1" x14ac:dyDescent="0.2">
      <c r="D736" s="157" t="s">
        <v>1941</v>
      </c>
      <c r="E736" s="158"/>
      <c r="F736" s="158"/>
      <c r="G736" s="47">
        <v>135</v>
      </c>
    </row>
    <row r="737" spans="1:8" x14ac:dyDescent="0.2">
      <c r="A737" s="4" t="s">
        <v>388</v>
      </c>
      <c r="B737" s="4"/>
      <c r="C737" s="4" t="s">
        <v>933</v>
      </c>
      <c r="D737" s="131" t="s">
        <v>1514</v>
      </c>
      <c r="E737" s="132"/>
      <c r="F737" s="4" t="s">
        <v>1663</v>
      </c>
      <c r="G737" s="68">
        <v>135</v>
      </c>
      <c r="H737" s="16">
        <v>0</v>
      </c>
    </row>
    <row r="738" spans="1:8" ht="12.2" customHeight="1" x14ac:dyDescent="0.2">
      <c r="D738" s="157" t="s">
        <v>1941</v>
      </c>
      <c r="E738" s="158"/>
      <c r="F738" s="158"/>
      <c r="G738" s="47">
        <v>135</v>
      </c>
    </row>
    <row r="739" spans="1:8" x14ac:dyDescent="0.2">
      <c r="A739" s="4" t="s">
        <v>389</v>
      </c>
      <c r="B739" s="4"/>
      <c r="C739" s="4" t="s">
        <v>934</v>
      </c>
      <c r="D739" s="131" t="s">
        <v>1515</v>
      </c>
      <c r="E739" s="132"/>
      <c r="F739" s="4" t="s">
        <v>1666</v>
      </c>
      <c r="G739" s="68">
        <v>123</v>
      </c>
      <c r="H739" s="16">
        <v>0</v>
      </c>
    </row>
    <row r="740" spans="1:8" ht="12.2" customHeight="1" x14ac:dyDescent="0.2">
      <c r="D740" s="157" t="s">
        <v>1942</v>
      </c>
      <c r="E740" s="158"/>
      <c r="F740" s="158"/>
      <c r="G740" s="47">
        <v>123</v>
      </c>
    </row>
    <row r="741" spans="1:8" x14ac:dyDescent="0.2">
      <c r="A741" s="4" t="s">
        <v>390</v>
      </c>
      <c r="B741" s="4"/>
      <c r="C741" s="4" t="s">
        <v>935</v>
      </c>
      <c r="D741" s="131" t="s">
        <v>1516</v>
      </c>
      <c r="E741" s="132"/>
      <c r="F741" s="4" t="s">
        <v>1666</v>
      </c>
      <c r="G741" s="68">
        <v>123</v>
      </c>
      <c r="H741" s="16">
        <v>0</v>
      </c>
    </row>
    <row r="742" spans="1:8" ht="12.2" customHeight="1" x14ac:dyDescent="0.2">
      <c r="D742" s="157" t="s">
        <v>1942</v>
      </c>
      <c r="E742" s="158"/>
      <c r="F742" s="158"/>
      <c r="G742" s="47">
        <v>123</v>
      </c>
    </row>
    <row r="743" spans="1:8" x14ac:dyDescent="0.2">
      <c r="A743" s="6" t="s">
        <v>391</v>
      </c>
      <c r="B743" s="6"/>
      <c r="C743" s="6" t="s">
        <v>936</v>
      </c>
      <c r="D743" s="144" t="s">
        <v>1517</v>
      </c>
      <c r="E743" s="139"/>
      <c r="F743" s="6" t="s">
        <v>1666</v>
      </c>
      <c r="G743" s="71">
        <v>135.30000000000001</v>
      </c>
      <c r="H743" s="17">
        <v>0</v>
      </c>
    </row>
    <row r="744" spans="1:8" ht="12.2" customHeight="1" x14ac:dyDescent="0.2">
      <c r="D744" s="160" t="s">
        <v>1942</v>
      </c>
      <c r="E744" s="161"/>
      <c r="F744" s="161"/>
      <c r="G744" s="48">
        <v>123</v>
      </c>
    </row>
    <row r="745" spans="1:8" ht="12.2" customHeight="1" x14ac:dyDescent="0.2">
      <c r="A745" s="6"/>
      <c r="B745" s="6"/>
      <c r="C745" s="6"/>
      <c r="D745" s="160" t="s">
        <v>1943</v>
      </c>
      <c r="E745" s="161"/>
      <c r="F745" s="160"/>
      <c r="G745" s="72">
        <v>12.3</v>
      </c>
      <c r="H745" s="29"/>
    </row>
    <row r="746" spans="1:8" x14ac:dyDescent="0.2">
      <c r="A746" s="4" t="s">
        <v>392</v>
      </c>
      <c r="B746" s="4"/>
      <c r="C746" s="4" t="s">
        <v>937</v>
      </c>
      <c r="D746" s="131" t="s">
        <v>1518</v>
      </c>
      <c r="E746" s="132"/>
      <c r="F746" s="4" t="s">
        <v>1663</v>
      </c>
      <c r="G746" s="68">
        <v>135</v>
      </c>
      <c r="H746" s="16">
        <v>0</v>
      </c>
    </row>
    <row r="747" spans="1:8" ht="12.2" customHeight="1" x14ac:dyDescent="0.2">
      <c r="D747" s="157" t="s">
        <v>1941</v>
      </c>
      <c r="E747" s="158"/>
      <c r="F747" s="158"/>
      <c r="G747" s="47">
        <v>135</v>
      </c>
    </row>
    <row r="748" spans="1:8" x14ac:dyDescent="0.2">
      <c r="A748" s="4" t="s">
        <v>393</v>
      </c>
      <c r="B748" s="4"/>
      <c r="C748" s="4" t="s">
        <v>938</v>
      </c>
      <c r="D748" s="131" t="s">
        <v>1519</v>
      </c>
      <c r="E748" s="132"/>
      <c r="F748" s="4" t="s">
        <v>1663</v>
      </c>
      <c r="G748" s="68">
        <v>135</v>
      </c>
      <c r="H748" s="16">
        <v>0</v>
      </c>
    </row>
    <row r="749" spans="1:8" ht="12.2" customHeight="1" x14ac:dyDescent="0.2">
      <c r="D749" s="157" t="s">
        <v>1941</v>
      </c>
      <c r="E749" s="158"/>
      <c r="F749" s="158"/>
      <c r="G749" s="47">
        <v>135</v>
      </c>
    </row>
    <row r="750" spans="1:8" x14ac:dyDescent="0.2">
      <c r="A750" s="6" t="s">
        <v>394</v>
      </c>
      <c r="B750" s="6"/>
      <c r="C750" s="6" t="s">
        <v>939</v>
      </c>
      <c r="D750" s="144" t="s">
        <v>1520</v>
      </c>
      <c r="E750" s="139"/>
      <c r="F750" s="6" t="s">
        <v>1663</v>
      </c>
      <c r="G750" s="71">
        <v>168.75</v>
      </c>
      <c r="H750" s="17">
        <v>0</v>
      </c>
    </row>
    <row r="751" spans="1:8" ht="12.2" customHeight="1" x14ac:dyDescent="0.2">
      <c r="D751" s="160" t="s">
        <v>1941</v>
      </c>
      <c r="E751" s="161"/>
      <c r="F751" s="161"/>
      <c r="G751" s="48">
        <v>135</v>
      </c>
    </row>
    <row r="752" spans="1:8" ht="12.2" customHeight="1" x14ac:dyDescent="0.2">
      <c r="A752" s="6"/>
      <c r="B752" s="6"/>
      <c r="C752" s="6"/>
      <c r="D752" s="160" t="s">
        <v>1944</v>
      </c>
      <c r="E752" s="161"/>
      <c r="F752" s="160"/>
      <c r="G752" s="72">
        <v>33.75</v>
      </c>
      <c r="H752" s="29"/>
    </row>
    <row r="753" spans="1:8" x14ac:dyDescent="0.2">
      <c r="A753" s="4" t="s">
        <v>395</v>
      </c>
      <c r="B753" s="4"/>
      <c r="C753" s="4" t="s">
        <v>940</v>
      </c>
      <c r="D753" s="131" t="s">
        <v>1521</v>
      </c>
      <c r="E753" s="132"/>
      <c r="F753" s="4" t="s">
        <v>1664</v>
      </c>
      <c r="G753" s="68">
        <v>1.593</v>
      </c>
      <c r="H753" s="16">
        <v>0</v>
      </c>
    </row>
    <row r="754" spans="1:8" ht="12.2" customHeight="1" x14ac:dyDescent="0.2">
      <c r="D754" s="157" t="s">
        <v>1945</v>
      </c>
      <c r="E754" s="158"/>
      <c r="F754" s="158"/>
      <c r="G754" s="47">
        <v>1.593</v>
      </c>
    </row>
    <row r="755" spans="1:8" x14ac:dyDescent="0.2">
      <c r="A755" s="13"/>
      <c r="B755" s="13"/>
      <c r="C755" s="13" t="s">
        <v>941</v>
      </c>
      <c r="D755" s="136" t="s">
        <v>1522</v>
      </c>
      <c r="E755" s="137"/>
      <c r="F755" s="13"/>
      <c r="G755" s="69"/>
      <c r="H755" s="28"/>
    </row>
    <row r="756" spans="1:8" x14ac:dyDescent="0.2">
      <c r="A756" s="4" t="s">
        <v>396</v>
      </c>
      <c r="B756" s="4"/>
      <c r="C756" s="4" t="s">
        <v>942</v>
      </c>
      <c r="D756" s="131" t="s">
        <v>1523</v>
      </c>
      <c r="E756" s="132"/>
      <c r="F756" s="4" t="s">
        <v>1663</v>
      </c>
      <c r="G756" s="68">
        <v>17.806999999999999</v>
      </c>
      <c r="H756" s="16">
        <v>0</v>
      </c>
    </row>
    <row r="757" spans="1:8" ht="12.2" customHeight="1" x14ac:dyDescent="0.2">
      <c r="D757" s="157" t="s">
        <v>1946</v>
      </c>
      <c r="E757" s="158"/>
      <c r="F757" s="158"/>
      <c r="G757" s="47">
        <v>8.8170000000000002</v>
      </c>
    </row>
    <row r="758" spans="1:8" ht="12.2" customHeight="1" x14ac:dyDescent="0.2">
      <c r="A758" s="4"/>
      <c r="B758" s="4"/>
      <c r="C758" s="4"/>
      <c r="D758" s="157" t="s">
        <v>1947</v>
      </c>
      <c r="E758" s="158"/>
      <c r="F758" s="157"/>
      <c r="G758" s="70">
        <v>8.99</v>
      </c>
      <c r="H758" s="27"/>
    </row>
    <row r="759" spans="1:8" x14ac:dyDescent="0.2">
      <c r="A759" s="4" t="s">
        <v>397</v>
      </c>
      <c r="B759" s="4"/>
      <c r="C759" s="4" t="s">
        <v>943</v>
      </c>
      <c r="D759" s="131" t="s">
        <v>1524</v>
      </c>
      <c r="E759" s="132"/>
      <c r="F759" s="4" t="s">
        <v>1666</v>
      </c>
      <c r="G759" s="68">
        <v>39.549999999999997</v>
      </c>
      <c r="H759" s="16">
        <v>0</v>
      </c>
    </row>
    <row r="760" spans="1:8" ht="12.2" customHeight="1" x14ac:dyDescent="0.2">
      <c r="D760" s="157" t="s">
        <v>1948</v>
      </c>
      <c r="E760" s="158"/>
      <c r="F760" s="158"/>
      <c r="G760" s="47">
        <v>30.25</v>
      </c>
    </row>
    <row r="761" spans="1:8" ht="12.2" customHeight="1" x14ac:dyDescent="0.2">
      <c r="A761" s="4"/>
      <c r="B761" s="4"/>
      <c r="C761" s="4"/>
      <c r="D761" s="157" t="s">
        <v>1949</v>
      </c>
      <c r="E761" s="158"/>
      <c r="F761" s="157"/>
      <c r="G761" s="70">
        <v>6.3</v>
      </c>
      <c r="H761" s="27"/>
    </row>
    <row r="762" spans="1:8" ht="12.2" customHeight="1" x14ac:dyDescent="0.2">
      <c r="A762" s="4"/>
      <c r="B762" s="4"/>
      <c r="C762" s="4"/>
      <c r="D762" s="157" t="s">
        <v>1950</v>
      </c>
      <c r="E762" s="158"/>
      <c r="F762" s="157"/>
      <c r="G762" s="70">
        <v>3</v>
      </c>
      <c r="H762" s="27"/>
    </row>
    <row r="763" spans="1:8" x14ac:dyDescent="0.2">
      <c r="A763" s="6" t="s">
        <v>398</v>
      </c>
      <c r="B763" s="6"/>
      <c r="C763" s="6" t="s">
        <v>944</v>
      </c>
      <c r="D763" s="144" t="s">
        <v>1525</v>
      </c>
      <c r="E763" s="139"/>
      <c r="F763" s="6" t="s">
        <v>1663</v>
      </c>
      <c r="G763" s="71">
        <v>11.903</v>
      </c>
      <c r="H763" s="17">
        <v>0</v>
      </c>
    </row>
    <row r="764" spans="1:8" ht="12.2" customHeight="1" x14ac:dyDescent="0.2">
      <c r="D764" s="160" t="s">
        <v>1946</v>
      </c>
      <c r="E764" s="161"/>
      <c r="F764" s="161"/>
      <c r="G764" s="48">
        <v>8.8170000000000002</v>
      </c>
    </row>
    <row r="765" spans="1:8" ht="12.2" customHeight="1" x14ac:dyDescent="0.2">
      <c r="A765" s="6"/>
      <c r="B765" s="6"/>
      <c r="C765" s="6"/>
      <c r="D765" s="160" t="s">
        <v>1951</v>
      </c>
      <c r="E765" s="161"/>
      <c r="F765" s="160"/>
      <c r="G765" s="72">
        <v>3.0859999999999999</v>
      </c>
      <c r="H765" s="29"/>
    </row>
    <row r="766" spans="1:8" x14ac:dyDescent="0.2">
      <c r="A766" s="4" t="s">
        <v>399</v>
      </c>
      <c r="B766" s="4"/>
      <c r="C766" s="4" t="s">
        <v>945</v>
      </c>
      <c r="D766" s="131" t="s">
        <v>1526</v>
      </c>
      <c r="E766" s="132"/>
      <c r="F766" s="4" t="s">
        <v>1663</v>
      </c>
      <c r="G766" s="68">
        <v>8.99</v>
      </c>
      <c r="H766" s="16">
        <v>0</v>
      </c>
    </row>
    <row r="767" spans="1:8" ht="12.2" customHeight="1" x14ac:dyDescent="0.2">
      <c r="D767" s="157" t="s">
        <v>1947</v>
      </c>
      <c r="E767" s="158"/>
      <c r="F767" s="158"/>
      <c r="G767" s="47">
        <v>8.99</v>
      </c>
    </row>
    <row r="768" spans="1:8" x14ac:dyDescent="0.2">
      <c r="A768" s="6" t="s">
        <v>400</v>
      </c>
      <c r="B768" s="6"/>
      <c r="C768" s="6" t="s">
        <v>944</v>
      </c>
      <c r="D768" s="144" t="s">
        <v>1525</v>
      </c>
      <c r="E768" s="139"/>
      <c r="F768" s="6" t="s">
        <v>1663</v>
      </c>
      <c r="G768" s="71">
        <v>9.8889999999999993</v>
      </c>
      <c r="H768" s="17">
        <v>0</v>
      </c>
    </row>
    <row r="769" spans="1:8" ht="12.2" customHeight="1" x14ac:dyDescent="0.2">
      <c r="D769" s="160" t="s">
        <v>1952</v>
      </c>
      <c r="E769" s="161"/>
      <c r="F769" s="161"/>
      <c r="G769" s="48">
        <v>8.99</v>
      </c>
    </row>
    <row r="770" spans="1:8" ht="12.2" customHeight="1" x14ac:dyDescent="0.2">
      <c r="A770" s="6"/>
      <c r="B770" s="6"/>
      <c r="C770" s="6"/>
      <c r="D770" s="160" t="s">
        <v>1953</v>
      </c>
      <c r="E770" s="161"/>
      <c r="F770" s="160"/>
      <c r="G770" s="72">
        <v>0.89900000000000002</v>
      </c>
      <c r="H770" s="29"/>
    </row>
    <row r="771" spans="1:8" x14ac:dyDescent="0.2">
      <c r="A771" s="4" t="s">
        <v>401</v>
      </c>
      <c r="B771" s="4"/>
      <c r="C771" s="4" t="s">
        <v>946</v>
      </c>
      <c r="D771" s="131" t="s">
        <v>1527</v>
      </c>
      <c r="E771" s="132"/>
      <c r="F771" s="4" t="s">
        <v>1666</v>
      </c>
      <c r="G771" s="68">
        <v>59.65</v>
      </c>
      <c r="H771" s="16">
        <v>0</v>
      </c>
    </row>
    <row r="772" spans="1:8" ht="12.2" customHeight="1" x14ac:dyDescent="0.2">
      <c r="D772" s="157" t="s">
        <v>1954</v>
      </c>
      <c r="E772" s="158"/>
      <c r="F772" s="158"/>
      <c r="G772" s="47">
        <v>47.65</v>
      </c>
    </row>
    <row r="773" spans="1:8" ht="12.2" customHeight="1" x14ac:dyDescent="0.2">
      <c r="A773" s="4"/>
      <c r="B773" s="4"/>
      <c r="C773" s="4"/>
      <c r="D773" s="157" t="s">
        <v>1955</v>
      </c>
      <c r="E773" s="158"/>
      <c r="F773" s="157"/>
      <c r="G773" s="70">
        <v>12</v>
      </c>
      <c r="H773" s="27"/>
    </row>
    <row r="774" spans="1:8" x14ac:dyDescent="0.2">
      <c r="A774" s="6" t="s">
        <v>402</v>
      </c>
      <c r="B774" s="6"/>
      <c r="C774" s="6" t="s">
        <v>947</v>
      </c>
      <c r="D774" s="144" t="s">
        <v>1528</v>
      </c>
      <c r="E774" s="139"/>
      <c r="F774" s="6" t="s">
        <v>1666</v>
      </c>
      <c r="G774" s="71">
        <v>65.614999999999995</v>
      </c>
      <c r="H774" s="17">
        <v>0</v>
      </c>
    </row>
    <row r="775" spans="1:8" ht="12.2" customHeight="1" x14ac:dyDescent="0.2">
      <c r="D775" s="160" t="s">
        <v>1956</v>
      </c>
      <c r="E775" s="161"/>
      <c r="F775" s="161"/>
      <c r="G775" s="48">
        <v>59.65</v>
      </c>
    </row>
    <row r="776" spans="1:8" ht="12.2" customHeight="1" x14ac:dyDescent="0.2">
      <c r="A776" s="6"/>
      <c r="B776" s="6"/>
      <c r="C776" s="6"/>
      <c r="D776" s="160" t="s">
        <v>1957</v>
      </c>
      <c r="E776" s="161"/>
      <c r="F776" s="160"/>
      <c r="G776" s="72">
        <v>5.9649999999999999</v>
      </c>
      <c r="H776" s="29"/>
    </row>
    <row r="777" spans="1:8" x14ac:dyDescent="0.2">
      <c r="A777" s="4" t="s">
        <v>403</v>
      </c>
      <c r="B777" s="4"/>
      <c r="C777" s="4" t="s">
        <v>948</v>
      </c>
      <c r="D777" s="131" t="s">
        <v>1529</v>
      </c>
      <c r="E777" s="132"/>
      <c r="F777" s="4" t="s">
        <v>1663</v>
      </c>
      <c r="G777" s="68">
        <v>17.806999999999999</v>
      </c>
      <c r="H777" s="16">
        <v>0</v>
      </c>
    </row>
    <row r="778" spans="1:8" ht="12.2" customHeight="1" x14ac:dyDescent="0.2">
      <c r="D778" s="157" t="s">
        <v>1958</v>
      </c>
      <c r="E778" s="158"/>
      <c r="F778" s="158"/>
      <c r="G778" s="47">
        <v>17.806999999999999</v>
      </c>
    </row>
    <row r="779" spans="1:8" x14ac:dyDescent="0.2">
      <c r="A779" s="4" t="s">
        <v>404</v>
      </c>
      <c r="B779" s="4"/>
      <c r="C779" s="4" t="s">
        <v>949</v>
      </c>
      <c r="D779" s="131" t="s">
        <v>1530</v>
      </c>
      <c r="E779" s="132"/>
      <c r="F779" s="4" t="s">
        <v>1664</v>
      </c>
      <c r="G779" s="68">
        <v>0.37</v>
      </c>
      <c r="H779" s="16">
        <v>0</v>
      </c>
    </row>
    <row r="780" spans="1:8" ht="12.2" customHeight="1" x14ac:dyDescent="0.2">
      <c r="D780" s="157" t="s">
        <v>1959</v>
      </c>
      <c r="E780" s="158"/>
      <c r="F780" s="158"/>
      <c r="G780" s="47">
        <v>0.37</v>
      </c>
    </row>
    <row r="781" spans="1:8" x14ac:dyDescent="0.2">
      <c r="A781" s="13"/>
      <c r="B781" s="13"/>
      <c r="C781" s="13" t="s">
        <v>950</v>
      </c>
      <c r="D781" s="136" t="s">
        <v>1531</v>
      </c>
      <c r="E781" s="137"/>
      <c r="F781" s="13"/>
      <c r="G781" s="69"/>
      <c r="H781" s="28"/>
    </row>
    <row r="782" spans="1:8" x14ac:dyDescent="0.2">
      <c r="A782" s="4" t="s">
        <v>405</v>
      </c>
      <c r="B782" s="4"/>
      <c r="C782" s="4" t="s">
        <v>951</v>
      </c>
      <c r="D782" s="131" t="s">
        <v>1532</v>
      </c>
      <c r="E782" s="132"/>
      <c r="F782" s="4" t="s">
        <v>1665</v>
      </c>
      <c r="G782" s="68">
        <v>2</v>
      </c>
      <c r="H782" s="16">
        <v>0</v>
      </c>
    </row>
    <row r="783" spans="1:8" ht="12.2" customHeight="1" x14ac:dyDescent="0.2">
      <c r="D783" s="157" t="s">
        <v>1841</v>
      </c>
      <c r="E783" s="158"/>
      <c r="F783" s="158"/>
      <c r="G783" s="47">
        <v>2</v>
      </c>
    </row>
    <row r="784" spans="1:8" x14ac:dyDescent="0.2">
      <c r="A784" s="13"/>
      <c r="B784" s="13"/>
      <c r="C784" s="13" t="s">
        <v>952</v>
      </c>
      <c r="D784" s="136" t="s">
        <v>1533</v>
      </c>
      <c r="E784" s="137"/>
      <c r="F784" s="13"/>
      <c r="G784" s="69"/>
      <c r="H784" s="28"/>
    </row>
    <row r="785" spans="1:8" x14ac:dyDescent="0.2">
      <c r="A785" s="4" t="s">
        <v>406</v>
      </c>
      <c r="B785" s="4"/>
      <c r="C785" s="4" t="s">
        <v>953</v>
      </c>
      <c r="D785" s="131" t="s">
        <v>1534</v>
      </c>
      <c r="E785" s="132"/>
      <c r="F785" s="4" t="s">
        <v>1663</v>
      </c>
      <c r="G785" s="68">
        <v>215</v>
      </c>
      <c r="H785" s="16">
        <v>0</v>
      </c>
    </row>
    <row r="786" spans="1:8" ht="12.2" customHeight="1" x14ac:dyDescent="0.2">
      <c r="D786" s="157" t="s">
        <v>1960</v>
      </c>
      <c r="E786" s="158"/>
      <c r="F786" s="158"/>
      <c r="G786" s="47">
        <v>215</v>
      </c>
    </row>
    <row r="787" spans="1:8" x14ac:dyDescent="0.2">
      <c r="A787" s="4" t="s">
        <v>407</v>
      </c>
      <c r="B787" s="4"/>
      <c r="C787" s="4" t="s">
        <v>954</v>
      </c>
      <c r="D787" s="131" t="s">
        <v>1535</v>
      </c>
      <c r="E787" s="132"/>
      <c r="F787" s="4" t="s">
        <v>1663</v>
      </c>
      <c r="G787" s="68">
        <v>423.98</v>
      </c>
      <c r="H787" s="16">
        <v>0</v>
      </c>
    </row>
    <row r="788" spans="1:8" ht="12.2" customHeight="1" x14ac:dyDescent="0.2">
      <c r="D788" s="157" t="s">
        <v>1961</v>
      </c>
      <c r="E788" s="158"/>
      <c r="F788" s="158"/>
      <c r="G788" s="47">
        <v>249.78</v>
      </c>
    </row>
    <row r="789" spans="1:8" ht="12.2" customHeight="1" x14ac:dyDescent="0.2">
      <c r="A789" s="4"/>
      <c r="B789" s="4"/>
      <c r="C789" s="4"/>
      <c r="D789" s="157" t="s">
        <v>1962</v>
      </c>
      <c r="E789" s="158"/>
      <c r="F789" s="157"/>
      <c r="G789" s="70">
        <v>38.229999999999997</v>
      </c>
      <c r="H789" s="27"/>
    </row>
    <row r="790" spans="1:8" ht="12.2" customHeight="1" x14ac:dyDescent="0.2">
      <c r="A790" s="4"/>
      <c r="B790" s="4"/>
      <c r="C790" s="4"/>
      <c r="D790" s="157" t="s">
        <v>1963</v>
      </c>
      <c r="E790" s="158"/>
      <c r="F790" s="157"/>
      <c r="G790" s="70">
        <v>135.97</v>
      </c>
      <c r="H790" s="27"/>
    </row>
    <row r="791" spans="1:8" x14ac:dyDescent="0.2">
      <c r="A791" s="4" t="s">
        <v>408</v>
      </c>
      <c r="B791" s="4"/>
      <c r="C791" s="4" t="s">
        <v>955</v>
      </c>
      <c r="D791" s="131" t="s">
        <v>1536</v>
      </c>
      <c r="E791" s="132"/>
      <c r="F791" s="4" t="s">
        <v>1663</v>
      </c>
      <c r="G791" s="68">
        <v>1096.308</v>
      </c>
      <c r="H791" s="16">
        <v>0</v>
      </c>
    </row>
    <row r="792" spans="1:8" ht="12.2" customHeight="1" x14ac:dyDescent="0.2">
      <c r="D792" s="157" t="s">
        <v>1964</v>
      </c>
      <c r="E792" s="158"/>
      <c r="F792" s="158"/>
      <c r="G792" s="47">
        <v>748.65800000000002</v>
      </c>
    </row>
    <row r="793" spans="1:8" ht="12.2" customHeight="1" x14ac:dyDescent="0.2">
      <c r="A793" s="4"/>
      <c r="B793" s="4"/>
      <c r="C793" s="4"/>
      <c r="D793" s="157" t="s">
        <v>1965</v>
      </c>
      <c r="E793" s="158"/>
      <c r="F793" s="157"/>
      <c r="G793" s="70">
        <v>347.65</v>
      </c>
      <c r="H793" s="27"/>
    </row>
    <row r="794" spans="1:8" x14ac:dyDescent="0.2">
      <c r="A794" s="4" t="s">
        <v>409</v>
      </c>
      <c r="B794" s="4"/>
      <c r="C794" s="4" t="s">
        <v>956</v>
      </c>
      <c r="D794" s="131" t="s">
        <v>1537</v>
      </c>
      <c r="E794" s="132"/>
      <c r="F794" s="4" t="s">
        <v>1663</v>
      </c>
      <c r="G794" s="68">
        <v>842.14200000000005</v>
      </c>
      <c r="H794" s="16">
        <v>0</v>
      </c>
    </row>
    <row r="795" spans="1:8" ht="12.2" customHeight="1" x14ac:dyDescent="0.2">
      <c r="D795" s="157" t="s">
        <v>1966</v>
      </c>
      <c r="E795" s="158"/>
      <c r="F795" s="158"/>
      <c r="G795" s="47">
        <v>842.14200000000005</v>
      </c>
    </row>
    <row r="796" spans="1:8" x14ac:dyDescent="0.2">
      <c r="A796" s="13"/>
      <c r="B796" s="13"/>
      <c r="C796" s="13" t="s">
        <v>957</v>
      </c>
      <c r="D796" s="136" t="s">
        <v>1538</v>
      </c>
      <c r="E796" s="137"/>
      <c r="F796" s="13"/>
      <c r="G796" s="69"/>
      <c r="H796" s="28"/>
    </row>
    <row r="797" spans="1:8" x14ac:dyDescent="0.2">
      <c r="A797" s="4" t="s">
        <v>410</v>
      </c>
      <c r="B797" s="4"/>
      <c r="C797" s="4" t="s">
        <v>958</v>
      </c>
      <c r="D797" s="131" t="s">
        <v>1539</v>
      </c>
      <c r="E797" s="132"/>
      <c r="F797" s="4" t="s">
        <v>1665</v>
      </c>
      <c r="G797" s="68">
        <v>1</v>
      </c>
      <c r="H797" s="16">
        <v>0</v>
      </c>
    </row>
    <row r="798" spans="1:8" ht="12.2" customHeight="1" x14ac:dyDescent="0.2">
      <c r="D798" s="157" t="s">
        <v>1777</v>
      </c>
      <c r="E798" s="158"/>
      <c r="F798" s="158"/>
      <c r="G798" s="47">
        <v>1</v>
      </c>
    </row>
    <row r="799" spans="1:8" x14ac:dyDescent="0.2">
      <c r="A799" s="4" t="s">
        <v>411</v>
      </c>
      <c r="B799" s="4"/>
      <c r="C799" s="4" t="s">
        <v>959</v>
      </c>
      <c r="D799" s="131" t="s">
        <v>1540</v>
      </c>
      <c r="E799" s="132"/>
      <c r="F799" s="4" t="s">
        <v>1665</v>
      </c>
      <c r="G799" s="68">
        <v>1</v>
      </c>
      <c r="H799" s="16">
        <v>0</v>
      </c>
    </row>
    <row r="800" spans="1:8" ht="12.2" customHeight="1" x14ac:dyDescent="0.2">
      <c r="D800" s="157" t="s">
        <v>1777</v>
      </c>
      <c r="E800" s="158"/>
      <c r="F800" s="158"/>
      <c r="G800" s="47">
        <v>1</v>
      </c>
    </row>
    <row r="801" spans="1:8" x14ac:dyDescent="0.2">
      <c r="A801" s="4" t="s">
        <v>412</v>
      </c>
      <c r="B801" s="4"/>
      <c r="C801" s="4" t="s">
        <v>960</v>
      </c>
      <c r="D801" s="131" t="s">
        <v>1541</v>
      </c>
      <c r="E801" s="132"/>
      <c r="F801" s="4" t="s">
        <v>1665</v>
      </c>
      <c r="G801" s="68">
        <v>1</v>
      </c>
      <c r="H801" s="16">
        <v>0</v>
      </c>
    </row>
    <row r="802" spans="1:8" ht="12.2" customHeight="1" x14ac:dyDescent="0.2">
      <c r="D802" s="157" t="s">
        <v>1777</v>
      </c>
      <c r="E802" s="158"/>
      <c r="F802" s="158"/>
      <c r="G802" s="47">
        <v>1</v>
      </c>
    </row>
    <row r="803" spans="1:8" x14ac:dyDescent="0.2">
      <c r="A803" s="4" t="s">
        <v>413</v>
      </c>
      <c r="B803" s="4"/>
      <c r="C803" s="4" t="s">
        <v>961</v>
      </c>
      <c r="D803" s="131" t="s">
        <v>1542</v>
      </c>
      <c r="E803" s="132"/>
      <c r="F803" s="4" t="s">
        <v>1665</v>
      </c>
      <c r="G803" s="68">
        <v>1</v>
      </c>
      <c r="H803" s="16">
        <v>0</v>
      </c>
    </row>
    <row r="804" spans="1:8" ht="12.2" customHeight="1" x14ac:dyDescent="0.2">
      <c r="D804" s="157" t="s">
        <v>1777</v>
      </c>
      <c r="E804" s="158"/>
      <c r="F804" s="158"/>
      <c r="G804" s="47">
        <v>1</v>
      </c>
    </row>
    <row r="805" spans="1:8" x14ac:dyDescent="0.2">
      <c r="A805" s="4" t="s">
        <v>414</v>
      </c>
      <c r="B805" s="4"/>
      <c r="C805" s="4" t="s">
        <v>962</v>
      </c>
      <c r="D805" s="131" t="s">
        <v>1543</v>
      </c>
      <c r="E805" s="132"/>
      <c r="F805" s="4" t="s">
        <v>1665</v>
      </c>
      <c r="G805" s="68">
        <v>46</v>
      </c>
      <c r="H805" s="16">
        <v>0</v>
      </c>
    </row>
    <row r="806" spans="1:8" x14ac:dyDescent="0.2">
      <c r="A806" s="4" t="s">
        <v>415</v>
      </c>
      <c r="B806" s="4"/>
      <c r="C806" s="4" t="s">
        <v>963</v>
      </c>
      <c r="D806" s="131" t="s">
        <v>1544</v>
      </c>
      <c r="E806" s="132"/>
      <c r="F806" s="4" t="s">
        <v>1665</v>
      </c>
      <c r="G806" s="68">
        <v>22</v>
      </c>
      <c r="H806" s="16">
        <v>0</v>
      </c>
    </row>
    <row r="807" spans="1:8" x14ac:dyDescent="0.2">
      <c r="A807" s="4" t="s">
        <v>416</v>
      </c>
      <c r="B807" s="4"/>
      <c r="C807" s="4" t="s">
        <v>964</v>
      </c>
      <c r="D807" s="131" t="s">
        <v>1545</v>
      </c>
      <c r="E807" s="132"/>
      <c r="F807" s="4" t="s">
        <v>1665</v>
      </c>
      <c r="G807" s="68">
        <v>65</v>
      </c>
      <c r="H807" s="16">
        <v>0</v>
      </c>
    </row>
    <row r="808" spans="1:8" x14ac:dyDescent="0.2">
      <c r="A808" s="4" t="s">
        <v>417</v>
      </c>
      <c r="B808" s="4"/>
      <c r="C808" s="4" t="s">
        <v>965</v>
      </c>
      <c r="D808" s="131" t="s">
        <v>1546</v>
      </c>
      <c r="E808" s="132"/>
      <c r="F808" s="4" t="s">
        <v>1666</v>
      </c>
      <c r="G808" s="68">
        <v>720</v>
      </c>
      <c r="H808" s="16">
        <v>0</v>
      </c>
    </row>
    <row r="809" spans="1:8" x14ac:dyDescent="0.2">
      <c r="A809" s="4" t="s">
        <v>418</v>
      </c>
      <c r="B809" s="4"/>
      <c r="C809" s="4" t="s">
        <v>966</v>
      </c>
      <c r="D809" s="131" t="s">
        <v>1547</v>
      </c>
      <c r="E809" s="132"/>
      <c r="F809" s="4" t="s">
        <v>1666</v>
      </c>
      <c r="G809" s="68">
        <v>42</v>
      </c>
      <c r="H809" s="16">
        <v>0</v>
      </c>
    </row>
    <row r="810" spans="1:8" x14ac:dyDescent="0.2">
      <c r="A810" s="4" t="s">
        <v>419</v>
      </c>
      <c r="B810" s="4"/>
      <c r="C810" s="4" t="s">
        <v>967</v>
      </c>
      <c r="D810" s="131" t="s">
        <v>1548</v>
      </c>
      <c r="E810" s="132"/>
      <c r="F810" s="4" t="s">
        <v>1665</v>
      </c>
      <c r="G810" s="68">
        <v>1</v>
      </c>
      <c r="H810" s="16">
        <v>0</v>
      </c>
    </row>
    <row r="811" spans="1:8" x14ac:dyDescent="0.2">
      <c r="A811" s="4" t="s">
        <v>420</v>
      </c>
      <c r="B811" s="4"/>
      <c r="C811" s="4" t="s">
        <v>968</v>
      </c>
      <c r="D811" s="131" t="s">
        <v>1549</v>
      </c>
      <c r="E811" s="132"/>
      <c r="F811" s="4" t="s">
        <v>1665</v>
      </c>
      <c r="G811" s="68">
        <v>2</v>
      </c>
      <c r="H811" s="16">
        <v>0</v>
      </c>
    </row>
    <row r="812" spans="1:8" x14ac:dyDescent="0.2">
      <c r="A812" s="4" t="s">
        <v>421</v>
      </c>
      <c r="B812" s="4"/>
      <c r="C812" s="4" t="s">
        <v>968</v>
      </c>
      <c r="D812" s="131" t="s">
        <v>1550</v>
      </c>
      <c r="E812" s="132"/>
      <c r="F812" s="4" t="s">
        <v>1668</v>
      </c>
      <c r="G812" s="68">
        <v>22</v>
      </c>
      <c r="H812" s="16">
        <v>0</v>
      </c>
    </row>
    <row r="813" spans="1:8" x14ac:dyDescent="0.2">
      <c r="A813" s="73" t="s">
        <v>422</v>
      </c>
      <c r="B813" s="73"/>
      <c r="C813" s="73" t="s">
        <v>969</v>
      </c>
      <c r="D813" s="138" t="s">
        <v>1551</v>
      </c>
      <c r="E813" s="132"/>
      <c r="F813" s="73" t="s">
        <v>1665</v>
      </c>
      <c r="G813" s="74">
        <v>2</v>
      </c>
      <c r="H813" s="75">
        <v>0</v>
      </c>
    </row>
    <row r="814" spans="1:8" x14ac:dyDescent="0.2">
      <c r="A814" s="76" t="s">
        <v>423</v>
      </c>
      <c r="B814" s="76"/>
      <c r="C814" s="76" t="s">
        <v>970</v>
      </c>
      <c r="D814" s="159" t="s">
        <v>1553</v>
      </c>
      <c r="E814" s="143"/>
      <c r="F814" s="76" t="s">
        <v>1665</v>
      </c>
      <c r="G814" s="78">
        <v>1</v>
      </c>
      <c r="H814" s="77">
        <v>0</v>
      </c>
    </row>
    <row r="815" spans="1:8" x14ac:dyDescent="0.2">
      <c r="A815" s="4" t="s">
        <v>424</v>
      </c>
      <c r="B815" s="4"/>
      <c r="C815" s="4" t="s">
        <v>971</v>
      </c>
      <c r="D815" s="131" t="s">
        <v>1555</v>
      </c>
      <c r="E815" s="132"/>
      <c r="F815" s="4" t="s">
        <v>1668</v>
      </c>
      <c r="G815" s="68">
        <v>5</v>
      </c>
      <c r="H815" s="16">
        <v>0</v>
      </c>
    </row>
    <row r="816" spans="1:8" x14ac:dyDescent="0.2">
      <c r="A816" s="4" t="s">
        <v>425</v>
      </c>
      <c r="B816" s="4"/>
      <c r="C816" s="4" t="s">
        <v>972</v>
      </c>
      <c r="D816" s="131" t="s">
        <v>1556</v>
      </c>
      <c r="E816" s="132"/>
      <c r="F816" s="4" t="s">
        <v>1665</v>
      </c>
      <c r="G816" s="68">
        <v>4</v>
      </c>
      <c r="H816" s="16">
        <v>0</v>
      </c>
    </row>
    <row r="817" spans="1:8" x14ac:dyDescent="0.2">
      <c r="A817" s="73" t="s">
        <v>426</v>
      </c>
      <c r="B817" s="73"/>
      <c r="C817" s="73" t="s">
        <v>973</v>
      </c>
      <c r="D817" s="138" t="s">
        <v>1556</v>
      </c>
      <c r="E817" s="132"/>
      <c r="F817" s="73" t="s">
        <v>1665</v>
      </c>
      <c r="G817" s="74">
        <v>4</v>
      </c>
      <c r="H817" s="75">
        <v>0</v>
      </c>
    </row>
    <row r="818" spans="1:8" x14ac:dyDescent="0.2">
      <c r="A818" s="4" t="s">
        <v>427</v>
      </c>
      <c r="B818" s="4"/>
      <c r="C818" s="4" t="s">
        <v>974</v>
      </c>
      <c r="D818" s="131" t="s">
        <v>1557</v>
      </c>
      <c r="E818" s="132"/>
      <c r="F818" s="4" t="s">
        <v>1668</v>
      </c>
      <c r="G818" s="68">
        <v>10</v>
      </c>
      <c r="H818" s="16">
        <v>0</v>
      </c>
    </row>
    <row r="819" spans="1:8" x14ac:dyDescent="0.2">
      <c r="A819" s="4" t="s">
        <v>428</v>
      </c>
      <c r="B819" s="4"/>
      <c r="C819" s="4" t="s">
        <v>975</v>
      </c>
      <c r="D819" s="131" t="s">
        <v>1558</v>
      </c>
      <c r="E819" s="132"/>
      <c r="F819" s="4" t="s">
        <v>1666</v>
      </c>
      <c r="G819" s="68">
        <v>240</v>
      </c>
      <c r="H819" s="16">
        <v>0</v>
      </c>
    </row>
    <row r="820" spans="1:8" x14ac:dyDescent="0.2">
      <c r="A820" s="73" t="s">
        <v>429</v>
      </c>
      <c r="B820" s="73"/>
      <c r="C820" s="73" t="s">
        <v>976</v>
      </c>
      <c r="D820" s="138" t="s">
        <v>1559</v>
      </c>
      <c r="E820" s="132"/>
      <c r="F820" s="73" t="s">
        <v>1666</v>
      </c>
      <c r="G820" s="74">
        <v>240</v>
      </c>
      <c r="H820" s="75">
        <v>0</v>
      </c>
    </row>
    <row r="821" spans="1:8" x14ac:dyDescent="0.2">
      <c r="A821" s="4" t="s">
        <v>430</v>
      </c>
      <c r="B821" s="4"/>
      <c r="C821" s="4" t="s">
        <v>977</v>
      </c>
      <c r="D821" s="131" t="s">
        <v>1560</v>
      </c>
      <c r="E821" s="132"/>
      <c r="F821" s="4" t="s">
        <v>1666</v>
      </c>
      <c r="G821" s="68">
        <v>60</v>
      </c>
      <c r="H821" s="16">
        <v>0</v>
      </c>
    </row>
    <row r="822" spans="1:8" x14ac:dyDescent="0.2">
      <c r="A822" s="73" t="s">
        <v>431</v>
      </c>
      <c r="B822" s="73"/>
      <c r="C822" s="73" t="s">
        <v>978</v>
      </c>
      <c r="D822" s="138" t="s">
        <v>1561</v>
      </c>
      <c r="E822" s="132"/>
      <c r="F822" s="73" t="s">
        <v>1666</v>
      </c>
      <c r="G822" s="74">
        <v>60</v>
      </c>
      <c r="H822" s="75">
        <v>0</v>
      </c>
    </row>
    <row r="823" spans="1:8" x14ac:dyDescent="0.2">
      <c r="A823" s="4" t="s">
        <v>432</v>
      </c>
      <c r="B823" s="4"/>
      <c r="C823" s="4" t="s">
        <v>979</v>
      </c>
      <c r="D823" s="131" t="s">
        <v>1562</v>
      </c>
      <c r="E823" s="132"/>
      <c r="F823" s="4" t="s">
        <v>1666</v>
      </c>
      <c r="G823" s="68">
        <v>40</v>
      </c>
      <c r="H823" s="16">
        <v>0</v>
      </c>
    </row>
    <row r="824" spans="1:8" x14ac:dyDescent="0.2">
      <c r="A824" s="73" t="s">
        <v>433</v>
      </c>
      <c r="B824" s="73"/>
      <c r="C824" s="73" t="s">
        <v>980</v>
      </c>
      <c r="D824" s="138" t="s">
        <v>1563</v>
      </c>
      <c r="E824" s="132"/>
      <c r="F824" s="73" t="s">
        <v>1666</v>
      </c>
      <c r="G824" s="74">
        <v>40</v>
      </c>
      <c r="H824" s="75">
        <v>0</v>
      </c>
    </row>
    <row r="825" spans="1:8" x14ac:dyDescent="0.2">
      <c r="A825" s="4" t="s">
        <v>434</v>
      </c>
      <c r="B825" s="4"/>
      <c r="C825" s="4" t="s">
        <v>981</v>
      </c>
      <c r="D825" s="131" t="s">
        <v>1564</v>
      </c>
      <c r="E825" s="132"/>
      <c r="F825" s="4" t="s">
        <v>1665</v>
      </c>
      <c r="G825" s="68">
        <v>72</v>
      </c>
      <c r="H825" s="16">
        <v>0</v>
      </c>
    </row>
    <row r="826" spans="1:8" x14ac:dyDescent="0.2">
      <c r="A826" s="73" t="s">
        <v>435</v>
      </c>
      <c r="B826" s="73"/>
      <c r="C826" s="73" t="s">
        <v>982</v>
      </c>
      <c r="D826" s="138" t="s">
        <v>1565</v>
      </c>
      <c r="E826" s="139"/>
      <c r="F826" s="73" t="s">
        <v>1665</v>
      </c>
      <c r="G826" s="74">
        <v>23</v>
      </c>
      <c r="H826" s="75">
        <v>0</v>
      </c>
    </row>
    <row r="827" spans="1:8" x14ac:dyDescent="0.2">
      <c r="A827" s="73" t="s">
        <v>436</v>
      </c>
      <c r="B827" s="73"/>
      <c r="C827" s="73" t="s">
        <v>983</v>
      </c>
      <c r="D827" s="138" t="s">
        <v>1566</v>
      </c>
      <c r="E827" s="132"/>
      <c r="F827" s="73" t="s">
        <v>1665</v>
      </c>
      <c r="G827" s="74">
        <v>18</v>
      </c>
      <c r="H827" s="75">
        <v>0</v>
      </c>
    </row>
    <row r="828" spans="1:8" x14ac:dyDescent="0.2">
      <c r="A828" s="73" t="s">
        <v>437</v>
      </c>
      <c r="B828" s="73"/>
      <c r="C828" s="73" t="s">
        <v>984</v>
      </c>
      <c r="D828" s="138" t="s">
        <v>1567</v>
      </c>
      <c r="E828" s="132"/>
      <c r="F828" s="73" t="s">
        <v>1665</v>
      </c>
      <c r="G828" s="74">
        <v>2</v>
      </c>
      <c r="H828" s="75">
        <v>0</v>
      </c>
    </row>
    <row r="829" spans="1:8" x14ac:dyDescent="0.2">
      <c r="A829" s="73" t="s">
        <v>438</v>
      </c>
      <c r="B829" s="73"/>
      <c r="C829" s="73" t="s">
        <v>985</v>
      </c>
      <c r="D829" s="138" t="s">
        <v>1568</v>
      </c>
      <c r="E829" s="132"/>
      <c r="F829" s="73" t="s">
        <v>1665</v>
      </c>
      <c r="G829" s="74">
        <v>29</v>
      </c>
      <c r="H829" s="75">
        <v>0</v>
      </c>
    </row>
    <row r="830" spans="1:8" x14ac:dyDescent="0.2">
      <c r="A830" s="4" t="s">
        <v>439</v>
      </c>
      <c r="B830" s="4"/>
      <c r="C830" s="4" t="s">
        <v>986</v>
      </c>
      <c r="D830" s="131" t="s">
        <v>1569</v>
      </c>
      <c r="E830" s="132"/>
      <c r="F830" s="4" t="s">
        <v>1665</v>
      </c>
      <c r="G830" s="68">
        <v>6</v>
      </c>
      <c r="H830" s="16">
        <v>0</v>
      </c>
    </row>
    <row r="831" spans="1:8" x14ac:dyDescent="0.2">
      <c r="A831" s="73" t="s">
        <v>440</v>
      </c>
      <c r="B831" s="73"/>
      <c r="C831" s="73" t="s">
        <v>987</v>
      </c>
      <c r="D831" s="138" t="s">
        <v>1570</v>
      </c>
      <c r="E831" s="132"/>
      <c r="F831" s="73" t="s">
        <v>1665</v>
      </c>
      <c r="G831" s="74">
        <v>6</v>
      </c>
      <c r="H831" s="75">
        <v>0</v>
      </c>
    </row>
    <row r="832" spans="1:8" x14ac:dyDescent="0.2">
      <c r="A832" s="4" t="s">
        <v>441</v>
      </c>
      <c r="B832" s="4"/>
      <c r="C832" s="4" t="s">
        <v>988</v>
      </c>
      <c r="D832" s="131" t="s">
        <v>1571</v>
      </c>
      <c r="E832" s="132"/>
      <c r="F832" s="4" t="s">
        <v>1666</v>
      </c>
      <c r="G832" s="68">
        <v>40</v>
      </c>
      <c r="H832" s="16">
        <v>0</v>
      </c>
    </row>
    <row r="833" spans="1:8" x14ac:dyDescent="0.2">
      <c r="A833" s="73" t="s">
        <v>442</v>
      </c>
      <c r="B833" s="73"/>
      <c r="C833" s="73" t="s">
        <v>989</v>
      </c>
      <c r="D833" s="138" t="s">
        <v>1572</v>
      </c>
      <c r="E833" s="132"/>
      <c r="F833" s="73" t="s">
        <v>1666</v>
      </c>
      <c r="G833" s="74">
        <v>40</v>
      </c>
      <c r="H833" s="75">
        <v>0</v>
      </c>
    </row>
    <row r="834" spans="1:8" x14ac:dyDescent="0.2">
      <c r="A834" s="4" t="s">
        <v>443</v>
      </c>
      <c r="B834" s="4"/>
      <c r="C834" s="4" t="s">
        <v>990</v>
      </c>
      <c r="D834" s="131" t="s">
        <v>1573</v>
      </c>
      <c r="E834" s="132"/>
      <c r="F834" s="4" t="s">
        <v>1666</v>
      </c>
      <c r="G834" s="68">
        <v>4</v>
      </c>
      <c r="H834" s="16">
        <v>0</v>
      </c>
    </row>
    <row r="835" spans="1:8" x14ac:dyDescent="0.2">
      <c r="A835" s="73" t="s">
        <v>444</v>
      </c>
      <c r="B835" s="73"/>
      <c r="C835" s="73" t="s">
        <v>991</v>
      </c>
      <c r="D835" s="138" t="s">
        <v>1574</v>
      </c>
      <c r="E835" s="132"/>
      <c r="F835" s="73" t="s">
        <v>1666</v>
      </c>
      <c r="G835" s="74">
        <v>4</v>
      </c>
      <c r="H835" s="75">
        <v>0</v>
      </c>
    </row>
    <row r="836" spans="1:8" x14ac:dyDescent="0.2">
      <c r="A836" s="4" t="s">
        <v>445</v>
      </c>
      <c r="B836" s="4"/>
      <c r="C836" s="4" t="s">
        <v>992</v>
      </c>
      <c r="D836" s="131" t="s">
        <v>1575</v>
      </c>
      <c r="E836" s="132"/>
      <c r="F836" s="4" t="s">
        <v>1666</v>
      </c>
      <c r="G836" s="68">
        <v>60</v>
      </c>
      <c r="H836" s="16">
        <v>0</v>
      </c>
    </row>
    <row r="837" spans="1:8" x14ac:dyDescent="0.2">
      <c r="A837" s="73" t="s">
        <v>446</v>
      </c>
      <c r="B837" s="73"/>
      <c r="C837" s="73" t="s">
        <v>991</v>
      </c>
      <c r="D837" s="138" t="s">
        <v>1575</v>
      </c>
      <c r="E837" s="132"/>
      <c r="F837" s="73" t="s">
        <v>1666</v>
      </c>
      <c r="G837" s="74">
        <v>60</v>
      </c>
      <c r="H837" s="75">
        <v>0</v>
      </c>
    </row>
    <row r="838" spans="1:8" x14ac:dyDescent="0.2">
      <c r="A838" s="4" t="s">
        <v>447</v>
      </c>
      <c r="B838" s="4"/>
      <c r="C838" s="4" t="s">
        <v>993</v>
      </c>
      <c r="D838" s="131" t="s">
        <v>1576</v>
      </c>
      <c r="E838" s="132"/>
      <c r="F838" s="4" t="s">
        <v>1668</v>
      </c>
      <c r="G838" s="68">
        <v>32</v>
      </c>
      <c r="H838" s="16">
        <v>0</v>
      </c>
    </row>
    <row r="839" spans="1:8" x14ac:dyDescent="0.2">
      <c r="A839" s="4" t="s">
        <v>448</v>
      </c>
      <c r="B839" s="4"/>
      <c r="C839" s="4" t="s">
        <v>994</v>
      </c>
      <c r="D839" s="131" t="s">
        <v>1577</v>
      </c>
      <c r="E839" s="132"/>
      <c r="F839" s="4" t="s">
        <v>1666</v>
      </c>
      <c r="G839" s="68">
        <v>40</v>
      </c>
      <c r="H839" s="16">
        <v>0</v>
      </c>
    </row>
    <row r="840" spans="1:8" x14ac:dyDescent="0.2">
      <c r="A840" s="73" t="s">
        <v>449</v>
      </c>
      <c r="B840" s="73"/>
      <c r="C840" s="73" t="s">
        <v>995</v>
      </c>
      <c r="D840" s="138" t="s">
        <v>1577</v>
      </c>
      <c r="E840" s="132"/>
      <c r="F840" s="73" t="s">
        <v>1666</v>
      </c>
      <c r="G840" s="74">
        <v>40</v>
      </c>
      <c r="H840" s="75">
        <v>0</v>
      </c>
    </row>
    <row r="841" spans="1:8" x14ac:dyDescent="0.2">
      <c r="A841" s="4" t="s">
        <v>450</v>
      </c>
      <c r="B841" s="4"/>
      <c r="C841" s="4" t="s">
        <v>996</v>
      </c>
      <c r="D841" s="131" t="s">
        <v>1578</v>
      </c>
      <c r="E841" s="132"/>
      <c r="F841" s="4" t="s">
        <v>1666</v>
      </c>
      <c r="G841" s="68">
        <v>380</v>
      </c>
      <c r="H841" s="16">
        <v>0</v>
      </c>
    </row>
    <row r="842" spans="1:8" x14ac:dyDescent="0.2">
      <c r="A842" s="73" t="s">
        <v>451</v>
      </c>
      <c r="B842" s="73"/>
      <c r="C842" s="73" t="s">
        <v>997</v>
      </c>
      <c r="D842" s="138" t="s">
        <v>1579</v>
      </c>
      <c r="E842" s="132"/>
      <c r="F842" s="73" t="s">
        <v>1666</v>
      </c>
      <c r="G842" s="74">
        <v>320</v>
      </c>
      <c r="H842" s="75">
        <v>0</v>
      </c>
    </row>
    <row r="843" spans="1:8" x14ac:dyDescent="0.2">
      <c r="A843" s="73" t="s">
        <v>452</v>
      </c>
      <c r="B843" s="73"/>
      <c r="C843" s="73" t="s">
        <v>998</v>
      </c>
      <c r="D843" s="138" t="s">
        <v>1580</v>
      </c>
      <c r="E843" s="132"/>
      <c r="F843" s="73" t="s">
        <v>1666</v>
      </c>
      <c r="G843" s="74">
        <v>20</v>
      </c>
      <c r="H843" s="75">
        <v>0</v>
      </c>
    </row>
    <row r="844" spans="1:8" x14ac:dyDescent="0.2">
      <c r="A844" s="73" t="s">
        <v>453</v>
      </c>
      <c r="B844" s="73"/>
      <c r="C844" s="73" t="s">
        <v>999</v>
      </c>
      <c r="D844" s="138" t="s">
        <v>1581</v>
      </c>
      <c r="E844" s="132"/>
      <c r="F844" s="73" t="s">
        <v>1666</v>
      </c>
      <c r="G844" s="74">
        <v>40</v>
      </c>
      <c r="H844" s="75">
        <v>0</v>
      </c>
    </row>
    <row r="845" spans="1:8" x14ac:dyDescent="0.2">
      <c r="A845" s="4" t="s">
        <v>454</v>
      </c>
      <c r="B845" s="4"/>
      <c r="C845" s="4" t="s">
        <v>1000</v>
      </c>
      <c r="D845" s="131" t="s">
        <v>1582</v>
      </c>
      <c r="E845" s="132"/>
      <c r="F845" s="4" t="s">
        <v>1666</v>
      </c>
      <c r="G845" s="68">
        <v>130</v>
      </c>
      <c r="H845" s="16">
        <v>0</v>
      </c>
    </row>
    <row r="846" spans="1:8" x14ac:dyDescent="0.2">
      <c r="A846" s="73" t="s">
        <v>455</v>
      </c>
      <c r="B846" s="73"/>
      <c r="C846" s="73" t="s">
        <v>1001</v>
      </c>
      <c r="D846" s="138" t="s">
        <v>1583</v>
      </c>
      <c r="E846" s="132"/>
      <c r="F846" s="73" t="s">
        <v>1666</v>
      </c>
      <c r="G846" s="74">
        <v>110</v>
      </c>
      <c r="H846" s="75">
        <v>0</v>
      </c>
    </row>
    <row r="847" spans="1:8" x14ac:dyDescent="0.2">
      <c r="A847" s="73" t="s">
        <v>456</v>
      </c>
      <c r="B847" s="73"/>
      <c r="C847" s="73" t="s">
        <v>1002</v>
      </c>
      <c r="D847" s="138" t="s">
        <v>1584</v>
      </c>
      <c r="E847" s="132"/>
      <c r="F847" s="73" t="s">
        <v>1666</v>
      </c>
      <c r="G847" s="74">
        <v>20</v>
      </c>
      <c r="H847" s="75">
        <v>0</v>
      </c>
    </row>
    <row r="848" spans="1:8" x14ac:dyDescent="0.2">
      <c r="A848" s="4" t="s">
        <v>457</v>
      </c>
      <c r="B848" s="4"/>
      <c r="C848" s="4" t="s">
        <v>1003</v>
      </c>
      <c r="D848" s="131" t="s">
        <v>1585</v>
      </c>
      <c r="E848" s="132"/>
      <c r="F848" s="4" t="s">
        <v>1666</v>
      </c>
      <c r="G848" s="68">
        <v>620</v>
      </c>
      <c r="H848" s="16">
        <v>0</v>
      </c>
    </row>
    <row r="849" spans="1:8" x14ac:dyDescent="0.2">
      <c r="A849" s="73" t="s">
        <v>458</v>
      </c>
      <c r="B849" s="73"/>
      <c r="C849" s="73" t="s">
        <v>1004</v>
      </c>
      <c r="D849" s="138" t="s">
        <v>1586</v>
      </c>
      <c r="E849" s="132"/>
      <c r="F849" s="73" t="s">
        <v>1666</v>
      </c>
      <c r="G849" s="74">
        <v>510</v>
      </c>
      <c r="H849" s="75">
        <v>0</v>
      </c>
    </row>
    <row r="850" spans="1:8" x14ac:dyDescent="0.2">
      <c r="A850" s="73" t="s">
        <v>459</v>
      </c>
      <c r="B850" s="73"/>
      <c r="C850" s="73" t="s">
        <v>1005</v>
      </c>
      <c r="D850" s="138" t="s">
        <v>1587</v>
      </c>
      <c r="E850" s="132"/>
      <c r="F850" s="73" t="s">
        <v>1666</v>
      </c>
      <c r="G850" s="74">
        <v>110</v>
      </c>
      <c r="H850" s="75">
        <v>0</v>
      </c>
    </row>
    <row r="851" spans="1:8" x14ac:dyDescent="0.2">
      <c r="A851" s="4" t="s">
        <v>460</v>
      </c>
      <c r="B851" s="4"/>
      <c r="C851" s="4" t="s">
        <v>1006</v>
      </c>
      <c r="D851" s="131" t="s">
        <v>1588</v>
      </c>
      <c r="E851" s="132"/>
      <c r="F851" s="4" t="s">
        <v>1666</v>
      </c>
      <c r="G851" s="68">
        <v>910</v>
      </c>
      <c r="H851" s="16">
        <v>0</v>
      </c>
    </row>
    <row r="852" spans="1:8" x14ac:dyDescent="0.2">
      <c r="A852" s="73" t="s">
        <v>461</v>
      </c>
      <c r="B852" s="73"/>
      <c r="C852" s="73" t="s">
        <v>1007</v>
      </c>
      <c r="D852" s="138" t="s">
        <v>1589</v>
      </c>
      <c r="E852" s="132"/>
      <c r="F852" s="73" t="s">
        <v>1666</v>
      </c>
      <c r="G852" s="74">
        <v>790</v>
      </c>
      <c r="H852" s="75">
        <v>0</v>
      </c>
    </row>
    <row r="853" spans="1:8" x14ac:dyDescent="0.2">
      <c r="A853" s="73" t="s">
        <v>462</v>
      </c>
      <c r="B853" s="73"/>
      <c r="C853" s="73" t="s">
        <v>1008</v>
      </c>
      <c r="D853" s="138" t="s">
        <v>1590</v>
      </c>
      <c r="E853" s="132"/>
      <c r="F853" s="73" t="s">
        <v>1666</v>
      </c>
      <c r="G853" s="74">
        <v>120</v>
      </c>
      <c r="H853" s="75">
        <v>0</v>
      </c>
    </row>
    <row r="854" spans="1:8" x14ac:dyDescent="0.2">
      <c r="A854" s="4" t="s">
        <v>463</v>
      </c>
      <c r="B854" s="4"/>
      <c r="C854" s="4" t="s">
        <v>1009</v>
      </c>
      <c r="D854" s="131" t="s">
        <v>1591</v>
      </c>
      <c r="E854" s="132"/>
      <c r="F854" s="4" t="s">
        <v>1666</v>
      </c>
      <c r="G854" s="68">
        <v>160</v>
      </c>
      <c r="H854" s="16">
        <v>0</v>
      </c>
    </row>
    <row r="855" spans="1:8" x14ac:dyDescent="0.2">
      <c r="A855" s="73" t="s">
        <v>464</v>
      </c>
      <c r="B855" s="73"/>
      <c r="C855" s="73" t="s">
        <v>1010</v>
      </c>
      <c r="D855" s="138" t="s">
        <v>1592</v>
      </c>
      <c r="E855" s="132"/>
      <c r="F855" s="73" t="s">
        <v>1666</v>
      </c>
      <c r="G855" s="74">
        <v>80</v>
      </c>
      <c r="H855" s="75">
        <v>0</v>
      </c>
    </row>
    <row r="856" spans="1:8" x14ac:dyDescent="0.2">
      <c r="A856" s="73" t="s">
        <v>465</v>
      </c>
      <c r="B856" s="73"/>
      <c r="C856" s="73" t="s">
        <v>1011</v>
      </c>
      <c r="D856" s="138" t="s">
        <v>1593</v>
      </c>
      <c r="E856" s="132"/>
      <c r="F856" s="73" t="s">
        <v>1666</v>
      </c>
      <c r="G856" s="74">
        <v>80</v>
      </c>
      <c r="H856" s="75">
        <v>0</v>
      </c>
    </row>
    <row r="857" spans="1:8" x14ac:dyDescent="0.2">
      <c r="A857" s="4" t="s">
        <v>466</v>
      </c>
      <c r="B857" s="4"/>
      <c r="C857" s="4" t="s">
        <v>1012</v>
      </c>
      <c r="D857" s="131" t="s">
        <v>1594</v>
      </c>
      <c r="E857" s="132"/>
      <c r="F857" s="4" t="s">
        <v>1665</v>
      </c>
      <c r="G857" s="68">
        <v>175</v>
      </c>
      <c r="H857" s="16">
        <v>0</v>
      </c>
    </row>
    <row r="858" spans="1:8" x14ac:dyDescent="0.2">
      <c r="A858" s="73" t="s">
        <v>467</v>
      </c>
      <c r="B858" s="73"/>
      <c r="C858" s="73" t="s">
        <v>1013</v>
      </c>
      <c r="D858" s="138" t="s">
        <v>1595</v>
      </c>
      <c r="E858" s="132"/>
      <c r="F858" s="73" t="s">
        <v>1665</v>
      </c>
      <c r="G858" s="74">
        <v>64</v>
      </c>
      <c r="H858" s="75">
        <v>0</v>
      </c>
    </row>
    <row r="859" spans="1:8" x14ac:dyDescent="0.2">
      <c r="A859" s="73" t="s">
        <v>468</v>
      </c>
      <c r="B859" s="73"/>
      <c r="C859" s="73" t="s">
        <v>1014</v>
      </c>
      <c r="D859" s="138" t="s">
        <v>1596</v>
      </c>
      <c r="E859" s="132"/>
      <c r="F859" s="73" t="s">
        <v>1665</v>
      </c>
      <c r="G859" s="74">
        <v>4</v>
      </c>
      <c r="H859" s="75">
        <v>0</v>
      </c>
    </row>
    <row r="860" spans="1:8" x14ac:dyDescent="0.2">
      <c r="A860" s="73" t="s">
        <v>469</v>
      </c>
      <c r="B860" s="73"/>
      <c r="C860" s="73" t="s">
        <v>1015</v>
      </c>
      <c r="D860" s="138" t="s">
        <v>1597</v>
      </c>
      <c r="E860" s="132"/>
      <c r="F860" s="73" t="s">
        <v>1665</v>
      </c>
      <c r="G860" s="74">
        <v>24</v>
      </c>
      <c r="H860" s="75">
        <v>0</v>
      </c>
    </row>
    <row r="861" spans="1:8" x14ac:dyDescent="0.2">
      <c r="A861" s="73" t="s">
        <v>470</v>
      </c>
      <c r="B861" s="73"/>
      <c r="C861" s="73" t="s">
        <v>1016</v>
      </c>
      <c r="D861" s="138" t="s">
        <v>1598</v>
      </c>
      <c r="E861" s="132"/>
      <c r="F861" s="73" t="s">
        <v>1673</v>
      </c>
      <c r="G861" s="74">
        <v>50</v>
      </c>
      <c r="H861" s="75">
        <v>0</v>
      </c>
    </row>
    <row r="862" spans="1:8" x14ac:dyDescent="0.2">
      <c r="A862" s="4" t="s">
        <v>471</v>
      </c>
      <c r="B862" s="4"/>
      <c r="C862" s="4" t="s">
        <v>1017</v>
      </c>
      <c r="D862" s="131" t="s">
        <v>1599</v>
      </c>
      <c r="E862" s="132"/>
      <c r="F862" s="4" t="s">
        <v>1665</v>
      </c>
      <c r="G862" s="68">
        <v>44</v>
      </c>
      <c r="H862" s="16">
        <v>0</v>
      </c>
    </row>
    <row r="863" spans="1:8" x14ac:dyDescent="0.2">
      <c r="A863" s="4" t="s">
        <v>472</v>
      </c>
      <c r="B863" s="4"/>
      <c r="C863" s="4" t="s">
        <v>1018</v>
      </c>
      <c r="D863" s="131" t="s">
        <v>1600</v>
      </c>
      <c r="E863" s="132"/>
      <c r="F863" s="4" t="s">
        <v>1665</v>
      </c>
      <c r="G863" s="68">
        <v>1</v>
      </c>
      <c r="H863" s="16">
        <v>0</v>
      </c>
    </row>
    <row r="864" spans="1:8" x14ac:dyDescent="0.2">
      <c r="A864" s="73" t="s">
        <v>473</v>
      </c>
      <c r="B864" s="73"/>
      <c r="C864" s="73" t="s">
        <v>1019</v>
      </c>
      <c r="D864" s="138" t="s">
        <v>1601</v>
      </c>
      <c r="E864" s="132"/>
      <c r="F864" s="73" t="s">
        <v>1665</v>
      </c>
      <c r="G864" s="74">
        <v>1</v>
      </c>
      <c r="H864" s="75">
        <v>0</v>
      </c>
    </row>
    <row r="865" spans="1:8" x14ac:dyDescent="0.2">
      <c r="A865" s="4" t="s">
        <v>474</v>
      </c>
      <c r="B865" s="4"/>
      <c r="C865" s="4" t="s">
        <v>1020</v>
      </c>
      <c r="D865" s="131" t="s">
        <v>1602</v>
      </c>
      <c r="E865" s="132"/>
      <c r="F865" s="4" t="s">
        <v>1665</v>
      </c>
      <c r="G865" s="68">
        <v>1</v>
      </c>
      <c r="H865" s="16">
        <v>0</v>
      </c>
    </row>
    <row r="866" spans="1:8" x14ac:dyDescent="0.2">
      <c r="A866" s="73" t="s">
        <v>475</v>
      </c>
      <c r="B866" s="73"/>
      <c r="C866" s="73" t="s">
        <v>1021</v>
      </c>
      <c r="D866" s="138" t="s">
        <v>1603</v>
      </c>
      <c r="E866" s="132"/>
      <c r="F866" s="73" t="s">
        <v>1665</v>
      </c>
      <c r="G866" s="74">
        <v>1</v>
      </c>
      <c r="H866" s="75">
        <v>0</v>
      </c>
    </row>
    <row r="867" spans="1:8" x14ac:dyDescent="0.2">
      <c r="A867" s="4" t="s">
        <v>476</v>
      </c>
      <c r="B867" s="4"/>
      <c r="C867" s="4" t="s">
        <v>1022</v>
      </c>
      <c r="D867" s="131" t="s">
        <v>1604</v>
      </c>
      <c r="E867" s="132"/>
      <c r="F867" s="4" t="s">
        <v>1665</v>
      </c>
      <c r="G867" s="68">
        <v>12</v>
      </c>
      <c r="H867" s="16">
        <v>0</v>
      </c>
    </row>
    <row r="868" spans="1:8" x14ac:dyDescent="0.2">
      <c r="A868" s="73" t="s">
        <v>477</v>
      </c>
      <c r="B868" s="73"/>
      <c r="C868" s="73" t="s">
        <v>1023</v>
      </c>
      <c r="D868" s="138" t="s">
        <v>1605</v>
      </c>
      <c r="E868" s="132"/>
      <c r="F868" s="73" t="s">
        <v>1665</v>
      </c>
      <c r="G868" s="74">
        <v>12</v>
      </c>
      <c r="H868" s="75">
        <v>0</v>
      </c>
    </row>
    <row r="869" spans="1:8" x14ac:dyDescent="0.2">
      <c r="A869" s="4" t="s">
        <v>478</v>
      </c>
      <c r="B869" s="4"/>
      <c r="C869" s="4" t="s">
        <v>1024</v>
      </c>
      <c r="D869" s="131" t="s">
        <v>1606</v>
      </c>
      <c r="E869" s="132"/>
      <c r="F869" s="4" t="s">
        <v>1665</v>
      </c>
      <c r="G869" s="68">
        <v>2</v>
      </c>
      <c r="H869" s="16">
        <v>0</v>
      </c>
    </row>
    <row r="870" spans="1:8" x14ac:dyDescent="0.2">
      <c r="A870" s="73" t="s">
        <v>479</v>
      </c>
      <c r="B870" s="73"/>
      <c r="C870" s="73" t="s">
        <v>1025</v>
      </c>
      <c r="D870" s="138" t="s">
        <v>1607</v>
      </c>
      <c r="E870" s="132"/>
      <c r="F870" s="73" t="s">
        <v>1665</v>
      </c>
      <c r="G870" s="74">
        <v>2</v>
      </c>
      <c r="H870" s="75">
        <v>0</v>
      </c>
    </row>
    <row r="871" spans="1:8" x14ac:dyDescent="0.2">
      <c r="A871" s="4" t="s">
        <v>480</v>
      </c>
      <c r="B871" s="4"/>
      <c r="C871" s="4" t="s">
        <v>1026</v>
      </c>
      <c r="D871" s="131" t="s">
        <v>1608</v>
      </c>
      <c r="E871" s="132"/>
      <c r="F871" s="4" t="s">
        <v>1665</v>
      </c>
      <c r="G871" s="68">
        <v>2</v>
      </c>
      <c r="H871" s="16">
        <v>0</v>
      </c>
    </row>
    <row r="872" spans="1:8" x14ac:dyDescent="0.2">
      <c r="A872" s="73" t="s">
        <v>481</v>
      </c>
      <c r="B872" s="73"/>
      <c r="C872" s="73" t="s">
        <v>1027</v>
      </c>
      <c r="D872" s="138" t="s">
        <v>1609</v>
      </c>
      <c r="E872" s="132"/>
      <c r="F872" s="73" t="s">
        <v>1665</v>
      </c>
      <c r="G872" s="74">
        <v>2</v>
      </c>
      <c r="H872" s="75">
        <v>0</v>
      </c>
    </row>
    <row r="873" spans="1:8" x14ac:dyDescent="0.2">
      <c r="A873" s="4" t="s">
        <v>482</v>
      </c>
      <c r="B873" s="4"/>
      <c r="C873" s="4" t="s">
        <v>1026</v>
      </c>
      <c r="D873" s="131" t="s">
        <v>1610</v>
      </c>
      <c r="E873" s="132"/>
      <c r="F873" s="4" t="s">
        <v>1665</v>
      </c>
      <c r="G873" s="68">
        <v>2</v>
      </c>
      <c r="H873" s="16">
        <v>0</v>
      </c>
    </row>
    <row r="874" spans="1:8" x14ac:dyDescent="0.2">
      <c r="A874" s="73" t="s">
        <v>483</v>
      </c>
      <c r="B874" s="73"/>
      <c r="C874" s="73" t="s">
        <v>1027</v>
      </c>
      <c r="D874" s="138" t="s">
        <v>1610</v>
      </c>
      <c r="E874" s="132"/>
      <c r="F874" s="73" t="s">
        <v>1665</v>
      </c>
      <c r="G874" s="74">
        <v>2</v>
      </c>
      <c r="H874" s="75">
        <v>0</v>
      </c>
    </row>
    <row r="875" spans="1:8" x14ac:dyDescent="0.2">
      <c r="A875" s="4" t="s">
        <v>484</v>
      </c>
      <c r="B875" s="4"/>
      <c r="C875" s="4" t="s">
        <v>1028</v>
      </c>
      <c r="D875" s="131" t="s">
        <v>1611</v>
      </c>
      <c r="E875" s="132"/>
      <c r="F875" s="4" t="s">
        <v>1665</v>
      </c>
      <c r="G875" s="68">
        <v>1</v>
      </c>
      <c r="H875" s="16">
        <v>0</v>
      </c>
    </row>
    <row r="876" spans="1:8" x14ac:dyDescent="0.2">
      <c r="A876" s="73" t="s">
        <v>485</v>
      </c>
      <c r="B876" s="73"/>
      <c r="C876" s="73" t="s">
        <v>1029</v>
      </c>
      <c r="D876" s="138" t="s">
        <v>1612</v>
      </c>
      <c r="E876" s="132"/>
      <c r="F876" s="73" t="s">
        <v>1665</v>
      </c>
      <c r="G876" s="74">
        <v>1</v>
      </c>
      <c r="H876" s="75">
        <v>0</v>
      </c>
    </row>
    <row r="877" spans="1:8" x14ac:dyDescent="0.2">
      <c r="A877" s="4" t="s">
        <v>486</v>
      </c>
      <c r="B877" s="4"/>
      <c r="C877" s="4" t="s">
        <v>1030</v>
      </c>
      <c r="D877" s="131" t="s">
        <v>1613</v>
      </c>
      <c r="E877" s="132"/>
      <c r="F877" s="4" t="s">
        <v>1665</v>
      </c>
      <c r="G877" s="68">
        <v>23</v>
      </c>
      <c r="H877" s="16">
        <v>0</v>
      </c>
    </row>
    <row r="878" spans="1:8" x14ac:dyDescent="0.2">
      <c r="A878" s="73" t="s">
        <v>487</v>
      </c>
      <c r="B878" s="73"/>
      <c r="C878" s="73" t="s">
        <v>1031</v>
      </c>
      <c r="D878" s="138" t="s">
        <v>1613</v>
      </c>
      <c r="E878" s="132"/>
      <c r="F878" s="73" t="s">
        <v>1665</v>
      </c>
      <c r="G878" s="74">
        <v>23</v>
      </c>
      <c r="H878" s="75">
        <v>0</v>
      </c>
    </row>
    <row r="879" spans="1:8" x14ac:dyDescent="0.2">
      <c r="A879" s="4" t="s">
        <v>488</v>
      </c>
      <c r="B879" s="4"/>
      <c r="C879" s="4" t="s">
        <v>1032</v>
      </c>
      <c r="D879" s="131" t="s">
        <v>1614</v>
      </c>
      <c r="E879" s="132"/>
      <c r="F879" s="4" t="s">
        <v>1665</v>
      </c>
      <c r="G879" s="68">
        <v>1</v>
      </c>
      <c r="H879" s="16">
        <v>0</v>
      </c>
    </row>
    <row r="880" spans="1:8" x14ac:dyDescent="0.2">
      <c r="A880" s="73" t="s">
        <v>489</v>
      </c>
      <c r="B880" s="73"/>
      <c r="C880" s="73" t="s">
        <v>1031</v>
      </c>
      <c r="D880" s="138" t="s">
        <v>1614</v>
      </c>
      <c r="E880" s="132"/>
      <c r="F880" s="73" t="s">
        <v>1665</v>
      </c>
      <c r="G880" s="74">
        <v>1</v>
      </c>
      <c r="H880" s="75">
        <v>0</v>
      </c>
    </row>
    <row r="881" spans="1:8" x14ac:dyDescent="0.2">
      <c r="A881" s="4" t="s">
        <v>490</v>
      </c>
      <c r="B881" s="4"/>
      <c r="C881" s="4" t="s">
        <v>1033</v>
      </c>
      <c r="D881" s="131" t="s">
        <v>1615</v>
      </c>
      <c r="E881" s="132"/>
      <c r="F881" s="4" t="s">
        <v>1665</v>
      </c>
      <c r="G881" s="68">
        <v>6</v>
      </c>
      <c r="H881" s="16">
        <v>0</v>
      </c>
    </row>
    <row r="882" spans="1:8" x14ac:dyDescent="0.2">
      <c r="A882" s="73" t="s">
        <v>491</v>
      </c>
      <c r="B882" s="73"/>
      <c r="C882" s="73" t="s">
        <v>1034</v>
      </c>
      <c r="D882" s="138" t="s">
        <v>1616</v>
      </c>
      <c r="E882" s="132"/>
      <c r="F882" s="73" t="s">
        <v>1665</v>
      </c>
      <c r="G882" s="74">
        <v>6</v>
      </c>
      <c r="H882" s="75">
        <v>0</v>
      </c>
    </row>
    <row r="883" spans="1:8" x14ac:dyDescent="0.2">
      <c r="A883" s="4" t="s">
        <v>492</v>
      </c>
      <c r="B883" s="4"/>
      <c r="C883" s="4" t="s">
        <v>1035</v>
      </c>
      <c r="D883" s="131" t="s">
        <v>1617</v>
      </c>
      <c r="E883" s="132"/>
      <c r="F883" s="4" t="s">
        <v>1674</v>
      </c>
      <c r="G883" s="68">
        <v>1</v>
      </c>
      <c r="H883" s="16">
        <v>0</v>
      </c>
    </row>
    <row r="884" spans="1:8" x14ac:dyDescent="0.2">
      <c r="A884" s="4" t="s">
        <v>493</v>
      </c>
      <c r="B884" s="4"/>
      <c r="C884" s="4" t="s">
        <v>1036</v>
      </c>
      <c r="D884" s="131" t="s">
        <v>1618</v>
      </c>
      <c r="E884" s="132"/>
      <c r="F884" s="4" t="s">
        <v>1665</v>
      </c>
      <c r="G884" s="68">
        <v>24</v>
      </c>
      <c r="H884" s="16">
        <v>0</v>
      </c>
    </row>
    <row r="885" spans="1:8" x14ac:dyDescent="0.2">
      <c r="A885" s="73" t="s">
        <v>494</v>
      </c>
      <c r="B885" s="73"/>
      <c r="C885" s="73" t="s">
        <v>1037</v>
      </c>
      <c r="D885" s="138" t="s">
        <v>1619</v>
      </c>
      <c r="E885" s="132"/>
      <c r="F885" s="73" t="s">
        <v>1665</v>
      </c>
      <c r="G885" s="74">
        <v>11</v>
      </c>
      <c r="H885" s="75">
        <v>0</v>
      </c>
    </row>
    <row r="886" spans="1:8" x14ac:dyDescent="0.2">
      <c r="A886" s="73" t="s">
        <v>495</v>
      </c>
      <c r="B886" s="73"/>
      <c r="C886" s="73" t="s">
        <v>1038</v>
      </c>
      <c r="D886" s="138" t="s">
        <v>1620</v>
      </c>
      <c r="E886" s="132"/>
      <c r="F886" s="73" t="s">
        <v>1665</v>
      </c>
      <c r="G886" s="74">
        <v>7</v>
      </c>
      <c r="H886" s="75">
        <v>0</v>
      </c>
    </row>
    <row r="887" spans="1:8" x14ac:dyDescent="0.2">
      <c r="A887" s="73" t="s">
        <v>496</v>
      </c>
      <c r="B887" s="73"/>
      <c r="C887" s="73" t="s">
        <v>1039</v>
      </c>
      <c r="D887" s="138" t="s">
        <v>1621</v>
      </c>
      <c r="E887" s="132"/>
      <c r="F887" s="73" t="s">
        <v>1665</v>
      </c>
      <c r="G887" s="74">
        <v>6</v>
      </c>
      <c r="H887" s="75">
        <v>0</v>
      </c>
    </row>
    <row r="888" spans="1:8" x14ac:dyDescent="0.2">
      <c r="A888" s="4" t="s">
        <v>497</v>
      </c>
      <c r="B888" s="4"/>
      <c r="C888" s="4" t="s">
        <v>1040</v>
      </c>
      <c r="D888" s="131" t="s">
        <v>1622</v>
      </c>
      <c r="E888" s="132"/>
      <c r="F888" s="4" t="s">
        <v>1665</v>
      </c>
      <c r="G888" s="68">
        <v>5</v>
      </c>
      <c r="H888" s="16">
        <v>0</v>
      </c>
    </row>
    <row r="889" spans="1:8" x14ac:dyDescent="0.2">
      <c r="A889" s="73" t="s">
        <v>498</v>
      </c>
      <c r="B889" s="73"/>
      <c r="C889" s="73" t="s">
        <v>1041</v>
      </c>
      <c r="D889" s="138" t="s">
        <v>1623</v>
      </c>
      <c r="E889" s="132"/>
      <c r="F889" s="73" t="s">
        <v>1665</v>
      </c>
      <c r="G889" s="74">
        <v>5</v>
      </c>
      <c r="H889" s="75">
        <v>0</v>
      </c>
    </row>
    <row r="890" spans="1:8" x14ac:dyDescent="0.2">
      <c r="A890" s="4" t="s">
        <v>499</v>
      </c>
      <c r="B890" s="4"/>
      <c r="C890" s="4" t="s">
        <v>1042</v>
      </c>
      <c r="D890" s="131" t="s">
        <v>1624</v>
      </c>
      <c r="E890" s="132"/>
      <c r="F890" s="4" t="s">
        <v>1675</v>
      </c>
      <c r="G890" s="68">
        <v>1</v>
      </c>
      <c r="H890" s="16">
        <v>0</v>
      </c>
    </row>
    <row r="891" spans="1:8" x14ac:dyDescent="0.2">
      <c r="A891" s="4" t="s">
        <v>500</v>
      </c>
      <c r="B891" s="4"/>
      <c r="C891" s="4" t="s">
        <v>1043</v>
      </c>
      <c r="D891" s="131" t="s">
        <v>1625</v>
      </c>
      <c r="E891" s="132"/>
      <c r="F891" s="4" t="s">
        <v>1675</v>
      </c>
      <c r="G891" s="68">
        <v>1</v>
      </c>
      <c r="H891" s="16">
        <v>0</v>
      </c>
    </row>
    <row r="892" spans="1:8" x14ac:dyDescent="0.2">
      <c r="A892" s="4" t="s">
        <v>501</v>
      </c>
      <c r="B892" s="4"/>
      <c r="C892" s="4" t="s">
        <v>1044</v>
      </c>
      <c r="D892" s="131" t="s">
        <v>1626</v>
      </c>
      <c r="E892" s="132"/>
      <c r="F892" s="4" t="s">
        <v>1666</v>
      </c>
      <c r="G892" s="68">
        <v>30</v>
      </c>
      <c r="H892" s="16">
        <v>0</v>
      </c>
    </row>
    <row r="893" spans="1:8" x14ac:dyDescent="0.2">
      <c r="A893" s="73" t="s">
        <v>502</v>
      </c>
      <c r="B893" s="73"/>
      <c r="C893" s="73" t="s">
        <v>1045</v>
      </c>
      <c r="D893" s="138" t="s">
        <v>1626</v>
      </c>
      <c r="E893" s="132"/>
      <c r="F893" s="73" t="s">
        <v>1666</v>
      </c>
      <c r="G893" s="74">
        <v>30</v>
      </c>
      <c r="H893" s="75">
        <v>0</v>
      </c>
    </row>
    <row r="894" spans="1:8" x14ac:dyDescent="0.2">
      <c r="A894" s="4" t="s">
        <v>503</v>
      </c>
      <c r="B894" s="4"/>
      <c r="C894" s="4" t="s">
        <v>1046</v>
      </c>
      <c r="D894" s="131" t="s">
        <v>1627</v>
      </c>
      <c r="E894" s="132"/>
      <c r="F894" s="4" t="s">
        <v>1665</v>
      </c>
      <c r="G894" s="68">
        <v>36</v>
      </c>
      <c r="H894" s="16">
        <v>0</v>
      </c>
    </row>
    <row r="895" spans="1:8" x14ac:dyDescent="0.2">
      <c r="A895" s="73" t="s">
        <v>504</v>
      </c>
      <c r="B895" s="73"/>
      <c r="C895" s="73" t="s">
        <v>1047</v>
      </c>
      <c r="D895" s="138" t="s">
        <v>1627</v>
      </c>
      <c r="E895" s="132"/>
      <c r="F895" s="73" t="s">
        <v>1676</v>
      </c>
      <c r="G895" s="74">
        <v>36</v>
      </c>
      <c r="H895" s="75">
        <v>0</v>
      </c>
    </row>
    <row r="896" spans="1:8" x14ac:dyDescent="0.2">
      <c r="A896" s="4" t="s">
        <v>505</v>
      </c>
      <c r="B896" s="4"/>
      <c r="C896" s="4" t="s">
        <v>1048</v>
      </c>
      <c r="D896" s="131" t="s">
        <v>1628</v>
      </c>
      <c r="E896" s="132"/>
      <c r="F896" s="4" t="s">
        <v>1676</v>
      </c>
      <c r="G896" s="68">
        <v>4</v>
      </c>
      <c r="H896" s="16">
        <v>0</v>
      </c>
    </row>
    <row r="897" spans="1:8" x14ac:dyDescent="0.2">
      <c r="A897" s="73" t="s">
        <v>506</v>
      </c>
      <c r="B897" s="73"/>
      <c r="C897" s="73" t="s">
        <v>1049</v>
      </c>
      <c r="D897" s="138" t="s">
        <v>1628</v>
      </c>
      <c r="E897" s="132"/>
      <c r="F897" s="73" t="s">
        <v>1676</v>
      </c>
      <c r="G897" s="74">
        <v>4</v>
      </c>
      <c r="H897" s="75">
        <v>0</v>
      </c>
    </row>
    <row r="898" spans="1:8" x14ac:dyDescent="0.2">
      <c r="A898" s="4" t="s">
        <v>507</v>
      </c>
      <c r="B898" s="4"/>
      <c r="C898" s="4" t="s">
        <v>1050</v>
      </c>
      <c r="D898" s="131" t="s">
        <v>1629</v>
      </c>
      <c r="E898" s="132"/>
      <c r="F898" s="4" t="s">
        <v>1666</v>
      </c>
      <c r="G898" s="68">
        <v>310</v>
      </c>
      <c r="H898" s="16">
        <v>0</v>
      </c>
    </row>
    <row r="899" spans="1:8" x14ac:dyDescent="0.2">
      <c r="A899" s="73" t="s">
        <v>508</v>
      </c>
      <c r="B899" s="73"/>
      <c r="C899" s="73" t="s">
        <v>1051</v>
      </c>
      <c r="D899" s="138" t="s">
        <v>1629</v>
      </c>
      <c r="E899" s="132"/>
      <c r="F899" s="73" t="s">
        <v>1666</v>
      </c>
      <c r="G899" s="74">
        <v>310</v>
      </c>
      <c r="H899" s="75">
        <v>0</v>
      </c>
    </row>
    <row r="900" spans="1:8" x14ac:dyDescent="0.2">
      <c r="A900" s="4" t="s">
        <v>509</v>
      </c>
      <c r="B900" s="4"/>
      <c r="C900" s="4" t="s">
        <v>1052</v>
      </c>
      <c r="D900" s="131" t="s">
        <v>1630</v>
      </c>
      <c r="E900" s="132"/>
      <c r="F900" s="4" t="s">
        <v>1666</v>
      </c>
      <c r="G900" s="68">
        <v>180</v>
      </c>
      <c r="H900" s="16">
        <v>0</v>
      </c>
    </row>
    <row r="901" spans="1:8" x14ac:dyDescent="0.2">
      <c r="A901" s="73" t="s">
        <v>510</v>
      </c>
      <c r="B901" s="73"/>
      <c r="C901" s="73" t="s">
        <v>1053</v>
      </c>
      <c r="D901" s="138" t="s">
        <v>1631</v>
      </c>
      <c r="E901" s="132"/>
      <c r="F901" s="73" t="s">
        <v>1666</v>
      </c>
      <c r="G901" s="74">
        <v>180</v>
      </c>
      <c r="H901" s="75">
        <v>0</v>
      </c>
    </row>
    <row r="902" spans="1:8" x14ac:dyDescent="0.2">
      <c r="A902" s="4" t="s">
        <v>511</v>
      </c>
      <c r="B902" s="4"/>
      <c r="C902" s="4" t="s">
        <v>1054</v>
      </c>
      <c r="D902" s="131" t="s">
        <v>1632</v>
      </c>
      <c r="E902" s="132"/>
      <c r="F902" s="4" t="s">
        <v>1676</v>
      </c>
      <c r="G902" s="68">
        <v>10</v>
      </c>
      <c r="H902" s="16">
        <v>0</v>
      </c>
    </row>
    <row r="903" spans="1:8" x14ac:dyDescent="0.2">
      <c r="A903" s="73" t="s">
        <v>512</v>
      </c>
      <c r="B903" s="73"/>
      <c r="C903" s="73" t="s">
        <v>1055</v>
      </c>
      <c r="D903" s="138" t="s">
        <v>1632</v>
      </c>
      <c r="E903" s="132"/>
      <c r="F903" s="73" t="s">
        <v>1676</v>
      </c>
      <c r="G903" s="74">
        <v>10</v>
      </c>
      <c r="H903" s="75">
        <v>0</v>
      </c>
    </row>
    <row r="904" spans="1:8" x14ac:dyDescent="0.2">
      <c r="A904" s="4" t="s">
        <v>513</v>
      </c>
      <c r="B904" s="4"/>
      <c r="C904" s="4" t="s">
        <v>1056</v>
      </c>
      <c r="D904" s="131" t="s">
        <v>1633</v>
      </c>
      <c r="E904" s="132"/>
      <c r="F904" s="4" t="s">
        <v>1676</v>
      </c>
      <c r="G904" s="68">
        <v>10</v>
      </c>
      <c r="H904" s="16">
        <v>0</v>
      </c>
    </row>
    <row r="905" spans="1:8" x14ac:dyDescent="0.2">
      <c r="A905" s="73" t="s">
        <v>514</v>
      </c>
      <c r="B905" s="73"/>
      <c r="C905" s="73" t="s">
        <v>1057</v>
      </c>
      <c r="D905" s="138" t="s">
        <v>1633</v>
      </c>
      <c r="E905" s="132"/>
      <c r="F905" s="73" t="s">
        <v>1676</v>
      </c>
      <c r="G905" s="74">
        <v>10</v>
      </c>
      <c r="H905" s="75">
        <v>0</v>
      </c>
    </row>
    <row r="906" spans="1:8" x14ac:dyDescent="0.2">
      <c r="A906" s="4" t="s">
        <v>515</v>
      </c>
      <c r="B906" s="4"/>
      <c r="C906" s="4" t="s">
        <v>1054</v>
      </c>
      <c r="D906" s="131" t="s">
        <v>1634</v>
      </c>
      <c r="E906" s="132"/>
      <c r="F906" s="4" t="s">
        <v>1676</v>
      </c>
      <c r="G906" s="68">
        <v>160</v>
      </c>
      <c r="H906" s="16">
        <v>0</v>
      </c>
    </row>
    <row r="907" spans="1:8" x14ac:dyDescent="0.2">
      <c r="A907" s="73" t="s">
        <v>516</v>
      </c>
      <c r="B907" s="73"/>
      <c r="C907" s="73" t="s">
        <v>1058</v>
      </c>
      <c r="D907" s="138" t="s">
        <v>1634</v>
      </c>
      <c r="E907" s="132"/>
      <c r="F907" s="73" t="s">
        <v>1676</v>
      </c>
      <c r="G907" s="74">
        <v>160</v>
      </c>
      <c r="H907" s="75">
        <v>0</v>
      </c>
    </row>
    <row r="908" spans="1:8" x14ac:dyDescent="0.2">
      <c r="A908" s="4" t="s">
        <v>517</v>
      </c>
      <c r="B908" s="4"/>
      <c r="C908" s="4" t="s">
        <v>1056</v>
      </c>
      <c r="D908" s="131" t="s">
        <v>1635</v>
      </c>
      <c r="E908" s="132"/>
      <c r="F908" s="4" t="s">
        <v>1676</v>
      </c>
      <c r="G908" s="68">
        <v>30</v>
      </c>
      <c r="H908" s="16">
        <v>0</v>
      </c>
    </row>
    <row r="909" spans="1:8" x14ac:dyDescent="0.2">
      <c r="A909" s="73" t="s">
        <v>518</v>
      </c>
      <c r="B909" s="73"/>
      <c r="C909" s="73" t="s">
        <v>1059</v>
      </c>
      <c r="D909" s="138" t="s">
        <v>1635</v>
      </c>
      <c r="E909" s="132"/>
      <c r="F909" s="73" t="s">
        <v>1676</v>
      </c>
      <c r="G909" s="74">
        <v>30</v>
      </c>
      <c r="H909" s="75">
        <v>0</v>
      </c>
    </row>
    <row r="910" spans="1:8" x14ac:dyDescent="0.2">
      <c r="A910" s="4" t="s">
        <v>519</v>
      </c>
      <c r="B910" s="4"/>
      <c r="C910" s="4" t="s">
        <v>1060</v>
      </c>
      <c r="D910" s="131" t="s">
        <v>1636</v>
      </c>
      <c r="E910" s="132"/>
      <c r="F910" s="4" t="s">
        <v>1676</v>
      </c>
      <c r="G910" s="68">
        <v>2</v>
      </c>
      <c r="H910" s="16">
        <v>0</v>
      </c>
    </row>
    <row r="911" spans="1:8" x14ac:dyDescent="0.2">
      <c r="A911" s="73" t="s">
        <v>520</v>
      </c>
      <c r="B911" s="73"/>
      <c r="C911" s="73" t="s">
        <v>1061</v>
      </c>
      <c r="D911" s="138" t="s">
        <v>1636</v>
      </c>
      <c r="E911" s="132"/>
      <c r="F911" s="73" t="s">
        <v>1676</v>
      </c>
      <c r="G911" s="74">
        <v>2</v>
      </c>
      <c r="H911" s="75">
        <v>0</v>
      </c>
    </row>
    <row r="912" spans="1:8" x14ac:dyDescent="0.2">
      <c r="A912" s="4" t="s">
        <v>521</v>
      </c>
      <c r="B912" s="4"/>
      <c r="C912" s="4" t="s">
        <v>1062</v>
      </c>
      <c r="D912" s="131" t="s">
        <v>1637</v>
      </c>
      <c r="E912" s="132"/>
      <c r="F912" s="4" t="s">
        <v>1676</v>
      </c>
      <c r="G912" s="68">
        <v>4</v>
      </c>
      <c r="H912" s="16">
        <v>0</v>
      </c>
    </row>
    <row r="913" spans="1:8" x14ac:dyDescent="0.2">
      <c r="A913" s="73" t="s">
        <v>522</v>
      </c>
      <c r="B913" s="73"/>
      <c r="C913" s="73" t="s">
        <v>1063</v>
      </c>
      <c r="D913" s="138" t="s">
        <v>1637</v>
      </c>
      <c r="E913" s="132"/>
      <c r="F913" s="73" t="s">
        <v>1676</v>
      </c>
      <c r="G913" s="74">
        <v>4</v>
      </c>
      <c r="H913" s="75">
        <v>0</v>
      </c>
    </row>
    <row r="914" spans="1:8" x14ac:dyDescent="0.2">
      <c r="A914" s="4" t="s">
        <v>523</v>
      </c>
      <c r="B914" s="4"/>
      <c r="C914" s="4" t="s">
        <v>1064</v>
      </c>
      <c r="D914" s="131" t="s">
        <v>1638</v>
      </c>
      <c r="E914" s="132"/>
      <c r="F914" s="4" t="s">
        <v>1665</v>
      </c>
      <c r="G914" s="68">
        <v>1</v>
      </c>
      <c r="H914" s="16">
        <v>0</v>
      </c>
    </row>
    <row r="915" spans="1:8" x14ac:dyDescent="0.2">
      <c r="A915" s="73" t="s">
        <v>524</v>
      </c>
      <c r="B915" s="73"/>
      <c r="C915" s="73" t="s">
        <v>1065</v>
      </c>
      <c r="D915" s="138" t="s">
        <v>1638</v>
      </c>
      <c r="E915" s="132"/>
      <c r="F915" s="73" t="s">
        <v>1676</v>
      </c>
      <c r="G915" s="74">
        <v>1</v>
      </c>
      <c r="H915" s="75">
        <v>0</v>
      </c>
    </row>
    <row r="916" spans="1:8" x14ac:dyDescent="0.2">
      <c r="A916" s="4" t="s">
        <v>525</v>
      </c>
      <c r="B916" s="4"/>
      <c r="C916" s="4" t="s">
        <v>1066</v>
      </c>
      <c r="D916" s="131" t="s">
        <v>1639</v>
      </c>
      <c r="E916" s="132"/>
      <c r="F916" s="4" t="s">
        <v>1675</v>
      </c>
      <c r="G916" s="68">
        <v>1</v>
      </c>
      <c r="H916" s="16">
        <v>0</v>
      </c>
    </row>
    <row r="917" spans="1:8" x14ac:dyDescent="0.2">
      <c r="A917" s="4" t="s">
        <v>526</v>
      </c>
      <c r="B917" s="4"/>
      <c r="C917" s="4" t="s">
        <v>1067</v>
      </c>
      <c r="D917" s="131" t="s">
        <v>1640</v>
      </c>
      <c r="E917" s="132"/>
      <c r="F917" s="4" t="s">
        <v>1676</v>
      </c>
      <c r="G917" s="68">
        <v>10</v>
      </c>
      <c r="H917" s="16">
        <v>0</v>
      </c>
    </row>
    <row r="918" spans="1:8" x14ac:dyDescent="0.2">
      <c r="A918" s="4" t="s">
        <v>527</v>
      </c>
      <c r="B918" s="4"/>
      <c r="C918" s="4" t="s">
        <v>1068</v>
      </c>
      <c r="D918" s="131" t="s">
        <v>1641</v>
      </c>
      <c r="E918" s="132"/>
      <c r="F918" s="4" t="s">
        <v>1675</v>
      </c>
      <c r="G918" s="68">
        <v>1</v>
      </c>
      <c r="H918" s="16">
        <v>0</v>
      </c>
    </row>
    <row r="919" spans="1:8" x14ac:dyDescent="0.2">
      <c r="A919" s="4" t="s">
        <v>528</v>
      </c>
      <c r="B919" s="4"/>
      <c r="C919" s="4" t="s">
        <v>1069</v>
      </c>
      <c r="D919" s="131" t="s">
        <v>1642</v>
      </c>
      <c r="E919" s="132"/>
      <c r="F919" s="4" t="s">
        <v>1675</v>
      </c>
      <c r="G919" s="68">
        <v>1</v>
      </c>
      <c r="H919" s="16">
        <v>0</v>
      </c>
    </row>
    <row r="920" spans="1:8" x14ac:dyDescent="0.2">
      <c r="A920" s="4" t="s">
        <v>529</v>
      </c>
      <c r="B920" s="4"/>
      <c r="C920" s="4" t="s">
        <v>1070</v>
      </c>
      <c r="D920" s="131" t="s">
        <v>1643</v>
      </c>
      <c r="E920" s="132"/>
      <c r="F920" s="4" t="s">
        <v>1668</v>
      </c>
      <c r="G920" s="68">
        <v>80</v>
      </c>
      <c r="H920" s="16">
        <v>0</v>
      </c>
    </row>
    <row r="921" spans="1:8" x14ac:dyDescent="0.2">
      <c r="A921" s="73" t="s">
        <v>530</v>
      </c>
      <c r="B921" s="73"/>
      <c r="C921" s="73" t="s">
        <v>1071</v>
      </c>
      <c r="D921" s="138" t="s">
        <v>1644</v>
      </c>
      <c r="E921" s="132"/>
      <c r="F921" s="73" t="s">
        <v>1663</v>
      </c>
      <c r="G921" s="74">
        <v>210</v>
      </c>
      <c r="H921" s="75">
        <v>0</v>
      </c>
    </row>
    <row r="922" spans="1:8" x14ac:dyDescent="0.2">
      <c r="A922" s="4" t="s">
        <v>531</v>
      </c>
      <c r="B922" s="4"/>
      <c r="C922" s="4" t="s">
        <v>1070</v>
      </c>
      <c r="D922" s="131" t="s">
        <v>1645</v>
      </c>
      <c r="E922" s="132"/>
      <c r="F922" s="4" t="s">
        <v>1668</v>
      </c>
      <c r="G922" s="68">
        <v>10</v>
      </c>
      <c r="H922" s="16">
        <v>0</v>
      </c>
    </row>
    <row r="923" spans="1:8" x14ac:dyDescent="0.2">
      <c r="A923" s="73" t="s">
        <v>532</v>
      </c>
      <c r="B923" s="73"/>
      <c r="C923" s="73" t="s">
        <v>1071</v>
      </c>
      <c r="D923" s="138" t="s">
        <v>1645</v>
      </c>
      <c r="E923" s="132"/>
      <c r="F923" s="73" t="s">
        <v>1665</v>
      </c>
      <c r="G923" s="74">
        <v>1</v>
      </c>
      <c r="H923" s="75">
        <v>0</v>
      </c>
    </row>
    <row r="924" spans="1:8" x14ac:dyDescent="0.2">
      <c r="A924" s="4" t="s">
        <v>533</v>
      </c>
      <c r="B924" s="4"/>
      <c r="C924" s="4" t="s">
        <v>1072</v>
      </c>
      <c r="D924" s="131" t="s">
        <v>1646</v>
      </c>
      <c r="E924" s="132"/>
      <c r="F924" s="4" t="s">
        <v>1668</v>
      </c>
      <c r="G924" s="68">
        <v>30</v>
      </c>
      <c r="H924" s="16">
        <v>0</v>
      </c>
    </row>
    <row r="925" spans="1:8" x14ac:dyDescent="0.2">
      <c r="A925" s="4" t="s">
        <v>534</v>
      </c>
      <c r="B925" s="4"/>
      <c r="C925" s="4" t="s">
        <v>1073</v>
      </c>
      <c r="D925" s="131" t="s">
        <v>1647</v>
      </c>
      <c r="E925" s="132"/>
      <c r="F925" s="4" t="s">
        <v>1668</v>
      </c>
      <c r="G925" s="68">
        <v>20</v>
      </c>
      <c r="H925" s="16">
        <v>0</v>
      </c>
    </row>
    <row r="926" spans="1:8" x14ac:dyDescent="0.2">
      <c r="A926" s="4" t="s">
        <v>535</v>
      </c>
      <c r="B926" s="4"/>
      <c r="C926" s="4" t="s">
        <v>1072</v>
      </c>
      <c r="D926" s="131" t="s">
        <v>1648</v>
      </c>
      <c r="E926" s="132"/>
      <c r="F926" s="4" t="s">
        <v>1674</v>
      </c>
      <c r="G926" s="68">
        <v>1</v>
      </c>
      <c r="H926" s="16">
        <v>0</v>
      </c>
    </row>
    <row r="927" spans="1:8" x14ac:dyDescent="0.2">
      <c r="A927" s="4" t="s">
        <v>536</v>
      </c>
      <c r="B927" s="4"/>
      <c r="C927" s="4" t="s">
        <v>1074</v>
      </c>
      <c r="D927" s="131" t="s">
        <v>1649</v>
      </c>
      <c r="E927" s="132"/>
      <c r="F927" s="4" t="s">
        <v>1675</v>
      </c>
      <c r="G927" s="68">
        <v>1</v>
      </c>
      <c r="H927" s="16">
        <v>0</v>
      </c>
    </row>
    <row r="928" spans="1:8" x14ac:dyDescent="0.2">
      <c r="A928" s="13"/>
      <c r="B928" s="13"/>
      <c r="C928" s="13" t="s">
        <v>1075</v>
      </c>
      <c r="D928" s="136" t="s">
        <v>1650</v>
      </c>
      <c r="E928" s="137"/>
      <c r="F928" s="13"/>
      <c r="G928" s="69"/>
      <c r="H928" s="28"/>
    </row>
    <row r="929" spans="1:8" x14ac:dyDescent="0.2">
      <c r="A929" s="4" t="s">
        <v>537</v>
      </c>
      <c r="B929" s="4"/>
      <c r="C929" s="4" t="s">
        <v>1076</v>
      </c>
      <c r="D929" s="131" t="s">
        <v>1651</v>
      </c>
      <c r="E929" s="132"/>
      <c r="F929" s="4" t="s">
        <v>1665</v>
      </c>
      <c r="G929" s="68">
        <v>1</v>
      </c>
      <c r="H929" s="16">
        <v>0</v>
      </c>
    </row>
    <row r="930" spans="1:8" ht="12.2" customHeight="1" x14ac:dyDescent="0.2">
      <c r="D930" s="157" t="s">
        <v>1777</v>
      </c>
      <c r="E930" s="158"/>
      <c r="F930" s="158"/>
      <c r="G930" s="47">
        <v>1</v>
      </c>
    </row>
    <row r="931" spans="1:8" x14ac:dyDescent="0.2">
      <c r="A931" s="4" t="s">
        <v>538</v>
      </c>
      <c r="B931" s="4"/>
      <c r="C931" s="4" t="s">
        <v>1077</v>
      </c>
      <c r="D931" s="131" t="s">
        <v>1652</v>
      </c>
      <c r="E931" s="132"/>
      <c r="F931" s="4" t="s">
        <v>1665</v>
      </c>
      <c r="G931" s="68">
        <v>1</v>
      </c>
      <c r="H931" s="16">
        <v>0</v>
      </c>
    </row>
    <row r="932" spans="1:8" ht="12.2" customHeight="1" x14ac:dyDescent="0.2">
      <c r="D932" s="157" t="s">
        <v>1777</v>
      </c>
      <c r="E932" s="158"/>
      <c r="F932" s="158"/>
      <c r="G932" s="47">
        <v>1</v>
      </c>
    </row>
    <row r="933" spans="1:8" x14ac:dyDescent="0.2">
      <c r="A933" s="4" t="s">
        <v>539</v>
      </c>
      <c r="B933" s="4"/>
      <c r="C933" s="4" t="s">
        <v>1078</v>
      </c>
      <c r="D933" s="131" t="s">
        <v>1653</v>
      </c>
      <c r="E933" s="132"/>
      <c r="F933" s="4" t="s">
        <v>1665</v>
      </c>
      <c r="G933" s="68">
        <v>1</v>
      </c>
      <c r="H933" s="16">
        <v>0</v>
      </c>
    </row>
    <row r="934" spans="1:8" ht="12.2" customHeight="1" x14ac:dyDescent="0.2">
      <c r="D934" s="157" t="s">
        <v>1777</v>
      </c>
      <c r="E934" s="158"/>
      <c r="F934" s="158"/>
      <c r="G934" s="47">
        <v>1</v>
      </c>
    </row>
    <row r="935" spans="1:8" x14ac:dyDescent="0.2">
      <c r="A935" s="4" t="s">
        <v>540</v>
      </c>
      <c r="B935" s="4"/>
      <c r="C935" s="4" t="s">
        <v>1079</v>
      </c>
      <c r="D935" s="131" t="s">
        <v>1654</v>
      </c>
      <c r="E935" s="132"/>
      <c r="F935" s="4" t="s">
        <v>1665</v>
      </c>
      <c r="G935" s="68">
        <v>1</v>
      </c>
      <c r="H935" s="16">
        <v>0</v>
      </c>
    </row>
    <row r="936" spans="1:8" ht="12.2" customHeight="1" x14ac:dyDescent="0.2">
      <c r="D936" s="157" t="s">
        <v>1777</v>
      </c>
      <c r="E936" s="158"/>
      <c r="F936" s="158"/>
      <c r="G936" s="47">
        <v>1</v>
      </c>
    </row>
    <row r="937" spans="1:8" x14ac:dyDescent="0.2">
      <c r="A937" s="4" t="s">
        <v>541</v>
      </c>
      <c r="B937" s="4"/>
      <c r="C937" s="4" t="s">
        <v>1080</v>
      </c>
      <c r="D937" s="131" t="s">
        <v>1655</v>
      </c>
      <c r="E937" s="132"/>
      <c r="F937" s="4" t="s">
        <v>1665</v>
      </c>
      <c r="G937" s="68">
        <v>1</v>
      </c>
      <c r="H937" s="16">
        <v>0</v>
      </c>
    </row>
    <row r="938" spans="1:8" ht="12.2" customHeight="1" x14ac:dyDescent="0.2">
      <c r="D938" s="157" t="s">
        <v>1777</v>
      </c>
      <c r="E938" s="158"/>
      <c r="F938" s="158"/>
      <c r="G938" s="47">
        <v>1</v>
      </c>
    </row>
    <row r="939" spans="1:8" x14ac:dyDescent="0.2">
      <c r="A939" s="4" t="s">
        <v>542</v>
      </c>
      <c r="B939" s="4"/>
      <c r="C939" s="4" t="s">
        <v>1081</v>
      </c>
      <c r="D939" s="131" t="s">
        <v>1656</v>
      </c>
      <c r="E939" s="132"/>
      <c r="F939" s="4" t="s">
        <v>1665</v>
      </c>
      <c r="G939" s="68">
        <v>1</v>
      </c>
      <c r="H939" s="16">
        <v>0</v>
      </c>
    </row>
    <row r="940" spans="1:8" ht="12.2" customHeight="1" x14ac:dyDescent="0.2">
      <c r="D940" s="157" t="s">
        <v>1777</v>
      </c>
      <c r="E940" s="158"/>
      <c r="F940" s="158"/>
      <c r="G940" s="47">
        <v>1</v>
      </c>
    </row>
    <row r="942" spans="1:8" ht="11.25" customHeight="1" x14ac:dyDescent="0.2">
      <c r="A942" s="9" t="s">
        <v>543</v>
      </c>
    </row>
    <row r="943" spans="1:8" x14ac:dyDescent="0.2">
      <c r="A943" s="83"/>
      <c r="B943" s="84"/>
      <c r="C943" s="84"/>
      <c r="D943" s="84"/>
      <c r="E943" s="84"/>
      <c r="F943" s="84"/>
      <c r="G943" s="84"/>
    </row>
  </sheetData>
  <sheetProtection password="DC71" sheet="1" objects="1" scenarios="1"/>
  <mergeCells count="949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D22:F22"/>
    <mergeCell ref="D23:E23"/>
    <mergeCell ref="D24:E24"/>
    <mergeCell ref="D25:F25"/>
    <mergeCell ref="D26:E26"/>
    <mergeCell ref="D27:F27"/>
    <mergeCell ref="D16:E16"/>
    <mergeCell ref="D17:E17"/>
    <mergeCell ref="D18:F18"/>
    <mergeCell ref="D19:E19"/>
    <mergeCell ref="D20:F20"/>
    <mergeCell ref="D21:E21"/>
    <mergeCell ref="D34:F34"/>
    <mergeCell ref="D35:E35"/>
    <mergeCell ref="D36:E36"/>
    <mergeCell ref="D37:F37"/>
    <mergeCell ref="D38:E38"/>
    <mergeCell ref="D39:F39"/>
    <mergeCell ref="D28:E28"/>
    <mergeCell ref="D29:F29"/>
    <mergeCell ref="D30:E30"/>
    <mergeCell ref="D31:E31"/>
    <mergeCell ref="D32:F32"/>
    <mergeCell ref="D33:E33"/>
    <mergeCell ref="D46:F46"/>
    <mergeCell ref="D47:E47"/>
    <mergeCell ref="D48:F48"/>
    <mergeCell ref="D49:E49"/>
    <mergeCell ref="D50:F50"/>
    <mergeCell ref="D51:E51"/>
    <mergeCell ref="D40:E40"/>
    <mergeCell ref="D41:F41"/>
    <mergeCell ref="D42:E42"/>
    <mergeCell ref="D43:F43"/>
    <mergeCell ref="D44:E44"/>
    <mergeCell ref="D45:E45"/>
    <mergeCell ref="D58:E58"/>
    <mergeCell ref="D59:F59"/>
    <mergeCell ref="D60:E60"/>
    <mergeCell ref="D61:F61"/>
    <mergeCell ref="D62:E62"/>
    <mergeCell ref="D63:F63"/>
    <mergeCell ref="D52:F52"/>
    <mergeCell ref="D53:E53"/>
    <mergeCell ref="D54:F54"/>
    <mergeCell ref="D55:E55"/>
    <mergeCell ref="D56:F56"/>
    <mergeCell ref="D57:E57"/>
    <mergeCell ref="D70:F70"/>
    <mergeCell ref="D71:E71"/>
    <mergeCell ref="D72:F72"/>
    <mergeCell ref="D73:E73"/>
    <mergeCell ref="D74:F74"/>
    <mergeCell ref="D75:E75"/>
    <mergeCell ref="D64:E64"/>
    <mergeCell ref="D65:E65"/>
    <mergeCell ref="D66:F66"/>
    <mergeCell ref="D67:E67"/>
    <mergeCell ref="D68:F68"/>
    <mergeCell ref="D69:E69"/>
    <mergeCell ref="D82:F82"/>
    <mergeCell ref="D83:E83"/>
    <mergeCell ref="D84:F84"/>
    <mergeCell ref="D85:E85"/>
    <mergeCell ref="D86:F86"/>
    <mergeCell ref="D87:E87"/>
    <mergeCell ref="D76:F76"/>
    <mergeCell ref="D77:E77"/>
    <mergeCell ref="D78:E78"/>
    <mergeCell ref="D79:F79"/>
    <mergeCell ref="D80:E80"/>
    <mergeCell ref="D81:E81"/>
    <mergeCell ref="D94:F94"/>
    <mergeCell ref="D95:F95"/>
    <mergeCell ref="D96:F96"/>
    <mergeCell ref="D97:E97"/>
    <mergeCell ref="D98:F98"/>
    <mergeCell ref="D99:E99"/>
    <mergeCell ref="D88:F88"/>
    <mergeCell ref="D89:E89"/>
    <mergeCell ref="D90:E90"/>
    <mergeCell ref="D91:F91"/>
    <mergeCell ref="D92:F92"/>
    <mergeCell ref="D93:E93"/>
    <mergeCell ref="D106:F106"/>
    <mergeCell ref="D107:F107"/>
    <mergeCell ref="D108:F108"/>
    <mergeCell ref="D109:F109"/>
    <mergeCell ref="D110:F110"/>
    <mergeCell ref="D111:F111"/>
    <mergeCell ref="D100:E100"/>
    <mergeCell ref="D101:F101"/>
    <mergeCell ref="D102:F102"/>
    <mergeCell ref="D103:E103"/>
    <mergeCell ref="D104:F104"/>
    <mergeCell ref="D105:E105"/>
    <mergeCell ref="D118:E118"/>
    <mergeCell ref="D119:F119"/>
    <mergeCell ref="D120:E120"/>
    <mergeCell ref="D121:F121"/>
    <mergeCell ref="D122:E122"/>
    <mergeCell ref="D123:F123"/>
    <mergeCell ref="D112:E112"/>
    <mergeCell ref="D113:F113"/>
    <mergeCell ref="D114:E114"/>
    <mergeCell ref="D115:F115"/>
    <mergeCell ref="D116:E116"/>
    <mergeCell ref="D117:F117"/>
    <mergeCell ref="D130:F130"/>
    <mergeCell ref="D131:E131"/>
    <mergeCell ref="D132:F132"/>
    <mergeCell ref="D133:F133"/>
    <mergeCell ref="D134:F134"/>
    <mergeCell ref="D135:F135"/>
    <mergeCell ref="D124:E124"/>
    <mergeCell ref="D125:F125"/>
    <mergeCell ref="D126:E126"/>
    <mergeCell ref="D127:F127"/>
    <mergeCell ref="D128:F128"/>
    <mergeCell ref="D129:F129"/>
    <mergeCell ref="D142:F142"/>
    <mergeCell ref="D143:E143"/>
    <mergeCell ref="D144:F144"/>
    <mergeCell ref="D145:E145"/>
    <mergeCell ref="D146:F146"/>
    <mergeCell ref="D147:E147"/>
    <mergeCell ref="D136:E136"/>
    <mergeCell ref="D137:F137"/>
    <mergeCell ref="D138:F138"/>
    <mergeCell ref="D139:F139"/>
    <mergeCell ref="D140:F140"/>
    <mergeCell ref="D141:E141"/>
    <mergeCell ref="D154:F154"/>
    <mergeCell ref="D155:E155"/>
    <mergeCell ref="D156:F156"/>
    <mergeCell ref="D157:E157"/>
    <mergeCell ref="D158:F158"/>
    <mergeCell ref="D159:F159"/>
    <mergeCell ref="D148:F148"/>
    <mergeCell ref="D149:F149"/>
    <mergeCell ref="D150:E150"/>
    <mergeCell ref="D151:F151"/>
    <mergeCell ref="D152:F152"/>
    <mergeCell ref="D153:E153"/>
    <mergeCell ref="D166:E166"/>
    <mergeCell ref="D167:F167"/>
    <mergeCell ref="D168:E168"/>
    <mergeCell ref="D169:F169"/>
    <mergeCell ref="D170:E170"/>
    <mergeCell ref="D171:F171"/>
    <mergeCell ref="D160:E160"/>
    <mergeCell ref="D161:F161"/>
    <mergeCell ref="D162:E162"/>
    <mergeCell ref="D163:F163"/>
    <mergeCell ref="D164:E164"/>
    <mergeCell ref="D165:F165"/>
    <mergeCell ref="D178:E178"/>
    <mergeCell ref="D179:F179"/>
    <mergeCell ref="D180:E180"/>
    <mergeCell ref="D181:E181"/>
    <mergeCell ref="D182:F182"/>
    <mergeCell ref="D183:F183"/>
    <mergeCell ref="D172:E172"/>
    <mergeCell ref="D173:E173"/>
    <mergeCell ref="D174:F174"/>
    <mergeCell ref="D175:E175"/>
    <mergeCell ref="D176:F176"/>
    <mergeCell ref="D177:E177"/>
    <mergeCell ref="D190:E190"/>
    <mergeCell ref="D191:F191"/>
    <mergeCell ref="D192:E192"/>
    <mergeCell ref="D193:F193"/>
    <mergeCell ref="D194:E194"/>
    <mergeCell ref="D195:F195"/>
    <mergeCell ref="D184:E184"/>
    <mergeCell ref="D185:F185"/>
    <mergeCell ref="D186:E186"/>
    <mergeCell ref="D187:F187"/>
    <mergeCell ref="D188:E188"/>
    <mergeCell ref="D189:F189"/>
    <mergeCell ref="D202:E202"/>
    <mergeCell ref="D203:F203"/>
    <mergeCell ref="D204:E204"/>
    <mergeCell ref="D205:F205"/>
    <mergeCell ref="D206:E206"/>
    <mergeCell ref="D207:F207"/>
    <mergeCell ref="D196:E196"/>
    <mergeCell ref="D197:E197"/>
    <mergeCell ref="D198:E198"/>
    <mergeCell ref="D199:F199"/>
    <mergeCell ref="D200:E200"/>
    <mergeCell ref="D201:F201"/>
    <mergeCell ref="D214:F214"/>
    <mergeCell ref="D215:E215"/>
    <mergeCell ref="D216:F216"/>
    <mergeCell ref="D217:E217"/>
    <mergeCell ref="D218:F218"/>
    <mergeCell ref="D219:E219"/>
    <mergeCell ref="D208:E208"/>
    <mergeCell ref="D209:F209"/>
    <mergeCell ref="D210:E210"/>
    <mergeCell ref="D211:F211"/>
    <mergeCell ref="D212:E212"/>
    <mergeCell ref="D213:E213"/>
    <mergeCell ref="D226:E226"/>
    <mergeCell ref="D227:F227"/>
    <mergeCell ref="D228:E228"/>
    <mergeCell ref="D229:F229"/>
    <mergeCell ref="D230:E230"/>
    <mergeCell ref="D231:F231"/>
    <mergeCell ref="D220:F220"/>
    <mergeCell ref="D221:E221"/>
    <mergeCell ref="D222:E222"/>
    <mergeCell ref="D223:F223"/>
    <mergeCell ref="D224:E224"/>
    <mergeCell ref="D225:F225"/>
    <mergeCell ref="D238:E238"/>
    <mergeCell ref="D239:F239"/>
    <mergeCell ref="D240:E240"/>
    <mergeCell ref="D241:F241"/>
    <mergeCell ref="D242:E242"/>
    <mergeCell ref="D243:F243"/>
    <mergeCell ref="D232:E232"/>
    <mergeCell ref="D233:F233"/>
    <mergeCell ref="D234:E234"/>
    <mergeCell ref="D235:F235"/>
    <mergeCell ref="D236:E236"/>
    <mergeCell ref="D237:F237"/>
    <mergeCell ref="D250:F250"/>
    <mergeCell ref="D251:E251"/>
    <mergeCell ref="D252:F252"/>
    <mergeCell ref="D253:E253"/>
    <mergeCell ref="D254:F254"/>
    <mergeCell ref="D255:E255"/>
    <mergeCell ref="D244:E244"/>
    <mergeCell ref="D245:F245"/>
    <mergeCell ref="D246:E246"/>
    <mergeCell ref="D247:F247"/>
    <mergeCell ref="D248:F248"/>
    <mergeCell ref="D249:E249"/>
    <mergeCell ref="D262:F262"/>
    <mergeCell ref="D263:E263"/>
    <mergeCell ref="D264:F264"/>
    <mergeCell ref="D265:E265"/>
    <mergeCell ref="D266:F266"/>
    <mergeCell ref="D267:F267"/>
    <mergeCell ref="D256:F256"/>
    <mergeCell ref="D257:E257"/>
    <mergeCell ref="D258:F258"/>
    <mergeCell ref="D259:E259"/>
    <mergeCell ref="D260:F260"/>
    <mergeCell ref="D261:E261"/>
    <mergeCell ref="D274:F274"/>
    <mergeCell ref="D275:E275"/>
    <mergeCell ref="D276:F276"/>
    <mergeCell ref="D277:E277"/>
    <mergeCell ref="D278:F278"/>
    <mergeCell ref="D279:E279"/>
    <mergeCell ref="D268:E268"/>
    <mergeCell ref="D269:F269"/>
    <mergeCell ref="D270:E270"/>
    <mergeCell ref="D271:E271"/>
    <mergeCell ref="D272:F272"/>
    <mergeCell ref="D273:E273"/>
    <mergeCell ref="D286:F286"/>
    <mergeCell ref="D287:E287"/>
    <mergeCell ref="D288:F288"/>
    <mergeCell ref="D289:E289"/>
    <mergeCell ref="D290:E290"/>
    <mergeCell ref="D291:F291"/>
    <mergeCell ref="D280:F280"/>
    <mergeCell ref="D281:E281"/>
    <mergeCell ref="D282:F282"/>
    <mergeCell ref="D283:E283"/>
    <mergeCell ref="D284:F284"/>
    <mergeCell ref="D285:E285"/>
    <mergeCell ref="D298:F298"/>
    <mergeCell ref="D299:E299"/>
    <mergeCell ref="D300:F300"/>
    <mergeCell ref="D301:E301"/>
    <mergeCell ref="D302:F302"/>
    <mergeCell ref="D303:E303"/>
    <mergeCell ref="D292:E292"/>
    <mergeCell ref="D293:E293"/>
    <mergeCell ref="D294:F294"/>
    <mergeCell ref="D295:E295"/>
    <mergeCell ref="D296:F296"/>
    <mergeCell ref="D297:E297"/>
    <mergeCell ref="D310:F310"/>
    <mergeCell ref="D311:E311"/>
    <mergeCell ref="D312:F312"/>
    <mergeCell ref="D313:E313"/>
    <mergeCell ref="D314:F314"/>
    <mergeCell ref="D315:E315"/>
    <mergeCell ref="D304:F304"/>
    <mergeCell ref="D305:E305"/>
    <mergeCell ref="D306:F306"/>
    <mergeCell ref="D307:E307"/>
    <mergeCell ref="D308:F308"/>
    <mergeCell ref="D309:E309"/>
    <mergeCell ref="D322:F322"/>
    <mergeCell ref="D323:E323"/>
    <mergeCell ref="D324:F324"/>
    <mergeCell ref="D325:E325"/>
    <mergeCell ref="D326:F326"/>
    <mergeCell ref="D327:E327"/>
    <mergeCell ref="D316:F316"/>
    <mergeCell ref="D317:E317"/>
    <mergeCell ref="D318:F318"/>
    <mergeCell ref="D319:E319"/>
    <mergeCell ref="D320:F320"/>
    <mergeCell ref="D321:E321"/>
    <mergeCell ref="D334:E334"/>
    <mergeCell ref="D335:F335"/>
    <mergeCell ref="D336:E336"/>
    <mergeCell ref="D337:E337"/>
    <mergeCell ref="D338:F338"/>
    <mergeCell ref="D339:F339"/>
    <mergeCell ref="D328:F328"/>
    <mergeCell ref="D329:E329"/>
    <mergeCell ref="D330:F330"/>
    <mergeCell ref="D331:E331"/>
    <mergeCell ref="D332:F332"/>
    <mergeCell ref="D333:E333"/>
    <mergeCell ref="D346:F346"/>
    <mergeCell ref="D347:E347"/>
    <mergeCell ref="D348:F348"/>
    <mergeCell ref="D349:E349"/>
    <mergeCell ref="D350:F350"/>
    <mergeCell ref="D351:E351"/>
    <mergeCell ref="D340:E340"/>
    <mergeCell ref="D341:F341"/>
    <mergeCell ref="D342:F342"/>
    <mergeCell ref="D343:E343"/>
    <mergeCell ref="D344:F344"/>
    <mergeCell ref="D345:E345"/>
    <mergeCell ref="D358:E358"/>
    <mergeCell ref="D359:F359"/>
    <mergeCell ref="D360:E360"/>
    <mergeCell ref="D361:F361"/>
    <mergeCell ref="D362:E362"/>
    <mergeCell ref="D363:F363"/>
    <mergeCell ref="D352:F352"/>
    <mergeCell ref="D353:E353"/>
    <mergeCell ref="D354:F354"/>
    <mergeCell ref="D355:E355"/>
    <mergeCell ref="D356:E356"/>
    <mergeCell ref="D357:F357"/>
    <mergeCell ref="D370:F370"/>
    <mergeCell ref="D371:E371"/>
    <mergeCell ref="D372:F372"/>
    <mergeCell ref="D373:E373"/>
    <mergeCell ref="D374:F374"/>
    <mergeCell ref="D375:F375"/>
    <mergeCell ref="D364:F364"/>
    <mergeCell ref="D365:E365"/>
    <mergeCell ref="D366:F366"/>
    <mergeCell ref="D367:E367"/>
    <mergeCell ref="D368:F368"/>
    <mergeCell ref="D369:E369"/>
    <mergeCell ref="D382:F382"/>
    <mergeCell ref="D383:F383"/>
    <mergeCell ref="D384:E384"/>
    <mergeCell ref="D385:F385"/>
    <mergeCell ref="D386:F386"/>
    <mergeCell ref="D387:E387"/>
    <mergeCell ref="D376:E376"/>
    <mergeCell ref="D377:F377"/>
    <mergeCell ref="D378:F378"/>
    <mergeCell ref="D379:E379"/>
    <mergeCell ref="D380:F380"/>
    <mergeCell ref="D381:E381"/>
    <mergeCell ref="D394:E394"/>
    <mergeCell ref="D395:F395"/>
    <mergeCell ref="D396:E396"/>
    <mergeCell ref="D397:F397"/>
    <mergeCell ref="D398:F398"/>
    <mergeCell ref="D399:E399"/>
    <mergeCell ref="D388:F388"/>
    <mergeCell ref="D389:E389"/>
    <mergeCell ref="D390:F390"/>
    <mergeCell ref="D391:E391"/>
    <mergeCell ref="D392:F392"/>
    <mergeCell ref="D393:F393"/>
    <mergeCell ref="D406:F406"/>
    <mergeCell ref="D407:E407"/>
    <mergeCell ref="D408:F408"/>
    <mergeCell ref="D409:E409"/>
    <mergeCell ref="D410:E410"/>
    <mergeCell ref="D411:E411"/>
    <mergeCell ref="D400:F400"/>
    <mergeCell ref="D401:F401"/>
    <mergeCell ref="D402:E402"/>
    <mergeCell ref="D403:F403"/>
    <mergeCell ref="D404:E404"/>
    <mergeCell ref="D405:F405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78:E478"/>
    <mergeCell ref="D479:E479"/>
    <mergeCell ref="D480:E480"/>
    <mergeCell ref="D481:E481"/>
    <mergeCell ref="D482:E482"/>
    <mergeCell ref="D483:E483"/>
    <mergeCell ref="D472:E472"/>
    <mergeCell ref="D473:E473"/>
    <mergeCell ref="D474:E474"/>
    <mergeCell ref="D475:E475"/>
    <mergeCell ref="D476:E476"/>
    <mergeCell ref="D477:E477"/>
    <mergeCell ref="D490:E490"/>
    <mergeCell ref="D491:E491"/>
    <mergeCell ref="D492:E492"/>
    <mergeCell ref="D493:E493"/>
    <mergeCell ref="D494:E494"/>
    <mergeCell ref="D495:E495"/>
    <mergeCell ref="D484:E484"/>
    <mergeCell ref="D485:E485"/>
    <mergeCell ref="D486:E486"/>
    <mergeCell ref="D487:E487"/>
    <mergeCell ref="D488:E488"/>
    <mergeCell ref="D489:E489"/>
    <mergeCell ref="D502:E502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11:E511"/>
    <mergeCell ref="D512:E512"/>
    <mergeCell ref="D513:E513"/>
    <mergeCell ref="D526:E526"/>
    <mergeCell ref="D527:F527"/>
    <mergeCell ref="D528:E528"/>
    <mergeCell ref="D529:F529"/>
    <mergeCell ref="D530:E530"/>
    <mergeCell ref="D531:F531"/>
    <mergeCell ref="D520:E520"/>
    <mergeCell ref="D521:E521"/>
    <mergeCell ref="D522:E522"/>
    <mergeCell ref="D523:E523"/>
    <mergeCell ref="D524:E524"/>
    <mergeCell ref="D525:E525"/>
    <mergeCell ref="D538:F538"/>
    <mergeCell ref="D539:E539"/>
    <mergeCell ref="D540:F540"/>
    <mergeCell ref="D541:F541"/>
    <mergeCell ref="D542:E542"/>
    <mergeCell ref="D543:F543"/>
    <mergeCell ref="D532:E532"/>
    <mergeCell ref="D533:F533"/>
    <mergeCell ref="D534:E534"/>
    <mergeCell ref="D535:F535"/>
    <mergeCell ref="D536:F536"/>
    <mergeCell ref="D537:E537"/>
    <mergeCell ref="D550:E550"/>
    <mergeCell ref="D551:F551"/>
    <mergeCell ref="D552:E552"/>
    <mergeCell ref="D553:F553"/>
    <mergeCell ref="D554:E554"/>
    <mergeCell ref="D555:F555"/>
    <mergeCell ref="D544:E544"/>
    <mergeCell ref="D545:F545"/>
    <mergeCell ref="D546:E546"/>
    <mergeCell ref="D547:E547"/>
    <mergeCell ref="D548:F548"/>
    <mergeCell ref="D549:F549"/>
    <mergeCell ref="D562:E562"/>
    <mergeCell ref="D563:F563"/>
    <mergeCell ref="D564:F564"/>
    <mergeCell ref="D565:F565"/>
    <mergeCell ref="D566:E566"/>
    <mergeCell ref="D567:F567"/>
    <mergeCell ref="D556:E556"/>
    <mergeCell ref="D557:F557"/>
    <mergeCell ref="D558:E558"/>
    <mergeCell ref="D559:F559"/>
    <mergeCell ref="D560:E560"/>
    <mergeCell ref="D561:F561"/>
    <mergeCell ref="D574:E574"/>
    <mergeCell ref="D575:F575"/>
    <mergeCell ref="D576:E576"/>
    <mergeCell ref="D577:F577"/>
    <mergeCell ref="D578:E578"/>
    <mergeCell ref="D579:F579"/>
    <mergeCell ref="D568:E568"/>
    <mergeCell ref="D569:F569"/>
    <mergeCell ref="D570:E570"/>
    <mergeCell ref="D571:F571"/>
    <mergeCell ref="D572:E572"/>
    <mergeCell ref="D573:F573"/>
    <mergeCell ref="D586:E586"/>
    <mergeCell ref="D587:F587"/>
    <mergeCell ref="D588:E588"/>
    <mergeCell ref="D589:E589"/>
    <mergeCell ref="D590:F590"/>
    <mergeCell ref="D591:E591"/>
    <mergeCell ref="D580:E580"/>
    <mergeCell ref="D581:F581"/>
    <mergeCell ref="D582:E582"/>
    <mergeCell ref="D583:F583"/>
    <mergeCell ref="D584:E584"/>
    <mergeCell ref="D585:F585"/>
    <mergeCell ref="D598:F598"/>
    <mergeCell ref="D599:E599"/>
    <mergeCell ref="D600:F600"/>
    <mergeCell ref="D601:E601"/>
    <mergeCell ref="D602:F602"/>
    <mergeCell ref="D603:F603"/>
    <mergeCell ref="D592:F592"/>
    <mergeCell ref="D593:E593"/>
    <mergeCell ref="D594:F594"/>
    <mergeCell ref="D595:E595"/>
    <mergeCell ref="D596:F596"/>
    <mergeCell ref="D597:E597"/>
    <mergeCell ref="D610:F610"/>
    <mergeCell ref="D611:E611"/>
    <mergeCell ref="D612:F612"/>
    <mergeCell ref="D613:E613"/>
    <mergeCell ref="D614:F614"/>
    <mergeCell ref="D615:E615"/>
    <mergeCell ref="D604:F604"/>
    <mergeCell ref="D605:E605"/>
    <mergeCell ref="D606:F606"/>
    <mergeCell ref="D607:F607"/>
    <mergeCell ref="D608:F608"/>
    <mergeCell ref="D609:E609"/>
    <mergeCell ref="D622:F622"/>
    <mergeCell ref="D623:E623"/>
    <mergeCell ref="D624:F624"/>
    <mergeCell ref="D625:E625"/>
    <mergeCell ref="D626:F626"/>
    <mergeCell ref="D627:E627"/>
    <mergeCell ref="D616:F616"/>
    <mergeCell ref="D617:E617"/>
    <mergeCell ref="D618:F618"/>
    <mergeCell ref="D619:E619"/>
    <mergeCell ref="D620:F620"/>
    <mergeCell ref="D621:E621"/>
    <mergeCell ref="D634:F634"/>
    <mergeCell ref="D635:E635"/>
    <mergeCell ref="D636:F636"/>
    <mergeCell ref="D637:E637"/>
    <mergeCell ref="D638:F638"/>
    <mergeCell ref="D639:E639"/>
    <mergeCell ref="D628:F628"/>
    <mergeCell ref="D629:E629"/>
    <mergeCell ref="D630:F630"/>
    <mergeCell ref="D631:E631"/>
    <mergeCell ref="D632:F632"/>
    <mergeCell ref="D633:E633"/>
    <mergeCell ref="D646:F646"/>
    <mergeCell ref="D647:E647"/>
    <mergeCell ref="D648:E648"/>
    <mergeCell ref="D649:F649"/>
    <mergeCell ref="D650:E650"/>
    <mergeCell ref="D651:F651"/>
    <mergeCell ref="D640:F640"/>
    <mergeCell ref="D641:E641"/>
    <mergeCell ref="D642:F642"/>
    <mergeCell ref="D643:E643"/>
    <mergeCell ref="D644:F644"/>
    <mergeCell ref="D645:E645"/>
    <mergeCell ref="D658:E658"/>
    <mergeCell ref="D659:F659"/>
    <mergeCell ref="D660:E660"/>
    <mergeCell ref="D661:F661"/>
    <mergeCell ref="D662:E662"/>
    <mergeCell ref="D663:F663"/>
    <mergeCell ref="D652:E652"/>
    <mergeCell ref="D653:F653"/>
    <mergeCell ref="D654:E654"/>
    <mergeCell ref="D655:F655"/>
    <mergeCell ref="D656:E656"/>
    <mergeCell ref="D657:F657"/>
    <mergeCell ref="D670:E670"/>
    <mergeCell ref="D671:F671"/>
    <mergeCell ref="D672:E672"/>
    <mergeCell ref="D673:F673"/>
    <mergeCell ref="D674:E674"/>
    <mergeCell ref="D675:F675"/>
    <mergeCell ref="D664:E664"/>
    <mergeCell ref="D665:F665"/>
    <mergeCell ref="D666:E666"/>
    <mergeCell ref="D667:F667"/>
    <mergeCell ref="D668:E668"/>
    <mergeCell ref="D669:F669"/>
    <mergeCell ref="D682:E682"/>
    <mergeCell ref="D683:F683"/>
    <mergeCell ref="D684:E684"/>
    <mergeCell ref="D685:F685"/>
    <mergeCell ref="D686:E686"/>
    <mergeCell ref="D687:F687"/>
    <mergeCell ref="D676:E676"/>
    <mergeCell ref="D677:F677"/>
    <mergeCell ref="D678:E678"/>
    <mergeCell ref="D679:F679"/>
    <mergeCell ref="D680:E680"/>
    <mergeCell ref="D681:F681"/>
    <mergeCell ref="D694:E694"/>
    <mergeCell ref="D695:F695"/>
    <mergeCell ref="D696:E696"/>
    <mergeCell ref="D697:F697"/>
    <mergeCell ref="D698:E698"/>
    <mergeCell ref="D699:F699"/>
    <mergeCell ref="D688:E688"/>
    <mergeCell ref="D689:F689"/>
    <mergeCell ref="D690:E690"/>
    <mergeCell ref="D691:F691"/>
    <mergeCell ref="D692:E692"/>
    <mergeCell ref="D693:F693"/>
    <mergeCell ref="D706:E706"/>
    <mergeCell ref="D707:F707"/>
    <mergeCell ref="D708:E708"/>
    <mergeCell ref="D709:F709"/>
    <mergeCell ref="D710:E710"/>
    <mergeCell ref="D711:F711"/>
    <mergeCell ref="D700:E700"/>
    <mergeCell ref="D701:F701"/>
    <mergeCell ref="D702:E702"/>
    <mergeCell ref="D703:F703"/>
    <mergeCell ref="D704:E704"/>
    <mergeCell ref="D705:F705"/>
    <mergeCell ref="D718:F718"/>
    <mergeCell ref="D719:E719"/>
    <mergeCell ref="D720:F720"/>
    <mergeCell ref="D721:E721"/>
    <mergeCell ref="D722:F722"/>
    <mergeCell ref="D723:F723"/>
    <mergeCell ref="D712:E712"/>
    <mergeCell ref="D713:E713"/>
    <mergeCell ref="D714:F714"/>
    <mergeCell ref="D715:E715"/>
    <mergeCell ref="D716:F716"/>
    <mergeCell ref="D717:E717"/>
    <mergeCell ref="D730:E730"/>
    <mergeCell ref="D731:F731"/>
    <mergeCell ref="D732:E732"/>
    <mergeCell ref="D733:E733"/>
    <mergeCell ref="D734:F734"/>
    <mergeCell ref="D735:E735"/>
    <mergeCell ref="D724:E724"/>
    <mergeCell ref="D725:F725"/>
    <mergeCell ref="D726:E726"/>
    <mergeCell ref="D727:F727"/>
    <mergeCell ref="D728:E728"/>
    <mergeCell ref="D729:F729"/>
    <mergeCell ref="D742:F742"/>
    <mergeCell ref="D743:E743"/>
    <mergeCell ref="D744:F744"/>
    <mergeCell ref="D745:F745"/>
    <mergeCell ref="D746:E746"/>
    <mergeCell ref="D747:F747"/>
    <mergeCell ref="D736:F736"/>
    <mergeCell ref="D737:E737"/>
    <mergeCell ref="D738:F738"/>
    <mergeCell ref="D739:E739"/>
    <mergeCell ref="D740:F740"/>
    <mergeCell ref="D741:E741"/>
    <mergeCell ref="D754:F754"/>
    <mergeCell ref="D755:E755"/>
    <mergeCell ref="D756:E756"/>
    <mergeCell ref="D757:F757"/>
    <mergeCell ref="D758:F758"/>
    <mergeCell ref="D759:E759"/>
    <mergeCell ref="D748:E748"/>
    <mergeCell ref="D749:F749"/>
    <mergeCell ref="D750:E750"/>
    <mergeCell ref="D751:F751"/>
    <mergeCell ref="D752:F752"/>
    <mergeCell ref="D753:E753"/>
    <mergeCell ref="D766:E766"/>
    <mergeCell ref="D767:F767"/>
    <mergeCell ref="D768:E768"/>
    <mergeCell ref="D769:F769"/>
    <mergeCell ref="D770:F770"/>
    <mergeCell ref="D771:E771"/>
    <mergeCell ref="D760:F760"/>
    <mergeCell ref="D761:F761"/>
    <mergeCell ref="D762:F762"/>
    <mergeCell ref="D763:E763"/>
    <mergeCell ref="D764:F764"/>
    <mergeCell ref="D765:F765"/>
    <mergeCell ref="D778:F778"/>
    <mergeCell ref="D779:E779"/>
    <mergeCell ref="D780:F780"/>
    <mergeCell ref="D781:E781"/>
    <mergeCell ref="D782:E782"/>
    <mergeCell ref="D783:F783"/>
    <mergeCell ref="D772:F772"/>
    <mergeCell ref="D773:F773"/>
    <mergeCell ref="D774:E774"/>
    <mergeCell ref="D775:F775"/>
    <mergeCell ref="D776:F776"/>
    <mergeCell ref="D777:E777"/>
    <mergeCell ref="D790:F790"/>
    <mergeCell ref="D791:E791"/>
    <mergeCell ref="D792:F792"/>
    <mergeCell ref="D793:F793"/>
    <mergeCell ref="D794:E794"/>
    <mergeCell ref="D795:F795"/>
    <mergeCell ref="D784:E784"/>
    <mergeCell ref="D785:E785"/>
    <mergeCell ref="D786:F786"/>
    <mergeCell ref="D787:E787"/>
    <mergeCell ref="D788:F788"/>
    <mergeCell ref="D789:F789"/>
    <mergeCell ref="D802:F802"/>
    <mergeCell ref="D803:E803"/>
    <mergeCell ref="D804:F804"/>
    <mergeCell ref="D805:E805"/>
    <mergeCell ref="D806:E806"/>
    <mergeCell ref="D807:E807"/>
    <mergeCell ref="D796:E796"/>
    <mergeCell ref="D797:E797"/>
    <mergeCell ref="D798:F798"/>
    <mergeCell ref="D799:E799"/>
    <mergeCell ref="D800:F800"/>
    <mergeCell ref="D801:E801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50:E850"/>
    <mergeCell ref="D851:E851"/>
    <mergeCell ref="D852:E852"/>
    <mergeCell ref="D853:E853"/>
    <mergeCell ref="D854:E854"/>
    <mergeCell ref="D855:E855"/>
    <mergeCell ref="D844:E844"/>
    <mergeCell ref="D845:E845"/>
    <mergeCell ref="D846:E846"/>
    <mergeCell ref="D847:E847"/>
    <mergeCell ref="D848:E848"/>
    <mergeCell ref="D849:E849"/>
    <mergeCell ref="D862:E862"/>
    <mergeCell ref="D863:E863"/>
    <mergeCell ref="D864:E864"/>
    <mergeCell ref="D865:E865"/>
    <mergeCell ref="D866:E866"/>
    <mergeCell ref="D867:E867"/>
    <mergeCell ref="D856:E856"/>
    <mergeCell ref="D857:E857"/>
    <mergeCell ref="D858:E858"/>
    <mergeCell ref="D859:E859"/>
    <mergeCell ref="D860:E860"/>
    <mergeCell ref="D861:E861"/>
    <mergeCell ref="D874:E874"/>
    <mergeCell ref="D875:E875"/>
    <mergeCell ref="D876:E876"/>
    <mergeCell ref="D877:E877"/>
    <mergeCell ref="D878:E878"/>
    <mergeCell ref="D879:E879"/>
    <mergeCell ref="D868:E868"/>
    <mergeCell ref="D869:E869"/>
    <mergeCell ref="D870:E870"/>
    <mergeCell ref="D871:E871"/>
    <mergeCell ref="D872:E872"/>
    <mergeCell ref="D873:E873"/>
    <mergeCell ref="D886:E886"/>
    <mergeCell ref="D887:E887"/>
    <mergeCell ref="D888:E888"/>
    <mergeCell ref="D889:E889"/>
    <mergeCell ref="D890:E890"/>
    <mergeCell ref="D891:E891"/>
    <mergeCell ref="D880:E880"/>
    <mergeCell ref="D881:E881"/>
    <mergeCell ref="D882:E882"/>
    <mergeCell ref="D883:E883"/>
    <mergeCell ref="D884:E884"/>
    <mergeCell ref="D885:E885"/>
    <mergeCell ref="D898:E898"/>
    <mergeCell ref="D899:E899"/>
    <mergeCell ref="D900:E900"/>
    <mergeCell ref="D901:E901"/>
    <mergeCell ref="D902:E902"/>
    <mergeCell ref="D903:E903"/>
    <mergeCell ref="D892:E892"/>
    <mergeCell ref="D893:E893"/>
    <mergeCell ref="D894:E894"/>
    <mergeCell ref="D895:E895"/>
    <mergeCell ref="D896:E896"/>
    <mergeCell ref="D897:E897"/>
    <mergeCell ref="D910:E910"/>
    <mergeCell ref="D911:E911"/>
    <mergeCell ref="D912:E912"/>
    <mergeCell ref="D913:E913"/>
    <mergeCell ref="D914:E914"/>
    <mergeCell ref="D915:E915"/>
    <mergeCell ref="D904:E904"/>
    <mergeCell ref="D905:E905"/>
    <mergeCell ref="D906:E906"/>
    <mergeCell ref="D907:E907"/>
    <mergeCell ref="D908:E908"/>
    <mergeCell ref="D909:E909"/>
    <mergeCell ref="D922:E922"/>
    <mergeCell ref="D923:E923"/>
    <mergeCell ref="D924:E924"/>
    <mergeCell ref="D925:E925"/>
    <mergeCell ref="D926:E926"/>
    <mergeCell ref="D927:E927"/>
    <mergeCell ref="D916:E916"/>
    <mergeCell ref="D917:E917"/>
    <mergeCell ref="D918:E918"/>
    <mergeCell ref="D919:E919"/>
    <mergeCell ref="D920:E920"/>
    <mergeCell ref="D921:E921"/>
    <mergeCell ref="D940:F940"/>
    <mergeCell ref="A943:G943"/>
    <mergeCell ref="D934:F934"/>
    <mergeCell ref="D935:E935"/>
    <mergeCell ref="D936:F936"/>
    <mergeCell ref="D937:E937"/>
    <mergeCell ref="D938:F938"/>
    <mergeCell ref="D939:E939"/>
    <mergeCell ref="D928:E928"/>
    <mergeCell ref="D929:E929"/>
    <mergeCell ref="D930:F930"/>
    <mergeCell ref="D931:E931"/>
    <mergeCell ref="D932:F932"/>
    <mergeCell ref="D933:E93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Hefner</cp:lastModifiedBy>
  <dcterms:created xsi:type="dcterms:W3CDTF">2019-11-25T06:58:59Z</dcterms:created>
  <dcterms:modified xsi:type="dcterms:W3CDTF">2020-12-02T12:34:07Z</dcterms:modified>
</cp:coreProperties>
</file>