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<sst xmlns="http://schemas.openxmlformats.org/spreadsheetml/2006/main" count="1002" uniqueCount="408">
  <si>
    <t>Slepý stavební rozpočet</t>
  </si>
  <si>
    <t>Název stavby:</t>
  </si>
  <si>
    <t>Rekonstrukce střechy č.p. 483</t>
  </si>
  <si>
    <t>Doba výstavby:</t>
  </si>
  <si>
    <t xml:space="preserve"> </t>
  </si>
  <si>
    <t>Objednatel:</t>
  </si>
  <si>
    <t>Zařízení sociální intervence Kladno</t>
  </si>
  <si>
    <t>Druh stavby:</t>
  </si>
  <si>
    <t>Začátek výstavby:</t>
  </si>
  <si>
    <t>Projektant:</t>
  </si>
  <si>
    <t>Ing.arch.P.Stehlík</t>
  </si>
  <si>
    <t>Lokalita:</t>
  </si>
  <si>
    <t>Gen.Eliáše, Kladno-Dubí</t>
  </si>
  <si>
    <t>Konec výstavby:</t>
  </si>
  <si>
    <t>Zhotovitel:</t>
  </si>
  <si>
    <t>Dle výběrového řízení</t>
  </si>
  <si>
    <t>JKSO:</t>
  </si>
  <si>
    <t>Zpracováno dne:</t>
  </si>
  <si>
    <t>10.08.2020</t>
  </si>
  <si>
    <t>Zpracoval:</t>
  </si>
  <si>
    <t> </t>
  </si>
  <si>
    <t>Č</t>
  </si>
  <si>
    <t>Kód</t>
  </si>
  <si>
    <t>Zkrácený popis / Varianta</t>
  </si>
  <si>
    <t>MJ</t>
  </si>
  <si>
    <t>Množství</t>
  </si>
  <si>
    <t>Cena/MJ</t>
  </si>
  <si>
    <t>Náklady (Kč)</t>
  </si>
  <si>
    <t>Cenová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</si>
  <si>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</si>
  <si>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</si>
  <si>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</si>
  <si>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</si>
  <si>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</si>
  <si>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</si>
  <si>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</si>
  <si>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</si>
  <si>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</si>
  <si>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</si>
  <si>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</si>
  <si>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</si>
  <si>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</si>
  <si>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</si>
  <si>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</si>
  <si>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</si>
  <si>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</si>
  <si>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</si>
  <si>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31</t>
  </si>
  <si>
    <t>Zdi podpěrné a volné</t>
  </si>
  <si>
    <t>1</t>
  </si>
  <si>
    <t>317940911RAA</t>
  </si>
  <si>
    <t>Osazení válcovaných profilů dodatečně</t>
  </si>
  <si>
    <t>t</t>
  </si>
  <si>
    <t>RTS I / 2020</t>
  </si>
  <si>
    <t>31_</t>
  </si>
  <si>
    <t>3_</t>
  </si>
  <si>
    <t>_</t>
  </si>
  <si>
    <t>Varianta:</t>
  </si>
  <si>
    <t>vysekání drážky, dodávka profilů I 160</t>
  </si>
  <si>
    <t>2</t>
  </si>
  <si>
    <t>311270010RA0</t>
  </si>
  <si>
    <t>Zdivo z tvárnic pórobetonových, tloušťka 30 cm</t>
  </si>
  <si>
    <t>m3</t>
  </si>
  <si>
    <t>parapetní zdivo</t>
  </si>
  <si>
    <t>44</t>
  </si>
  <si>
    <t>Zastřešení</t>
  </si>
  <si>
    <t>3</t>
  </si>
  <si>
    <t>446122001R00</t>
  </si>
  <si>
    <t>Montáž nadstřešních dílců - výlezů na střechu</t>
  </si>
  <si>
    <t>kus</t>
  </si>
  <si>
    <t>44_</t>
  </si>
  <si>
    <t>4_</t>
  </si>
  <si>
    <t>4</t>
  </si>
  <si>
    <t>59160889.A0</t>
  </si>
  <si>
    <t>Výlez na střechu 600 x 600 mm</t>
  </si>
  <si>
    <t>61</t>
  </si>
  <si>
    <t>Úprava povrchů vnitřní</t>
  </si>
  <si>
    <t>5</t>
  </si>
  <si>
    <t>612481211RT2</t>
  </si>
  <si>
    <t>Montáž výztužné sítě(perlinky)do stěrky-vnit.stěny</t>
  </si>
  <si>
    <t>m2</t>
  </si>
  <si>
    <t>61_</t>
  </si>
  <si>
    <t>6_</t>
  </si>
  <si>
    <t>včetně výztužné sítě a stěrkového tmelu</t>
  </si>
  <si>
    <t>6</t>
  </si>
  <si>
    <t>602011141RT1</t>
  </si>
  <si>
    <t>Štuk na stěnách vnitřní , ručně</t>
  </si>
  <si>
    <t>tloušťka vrstvy 2 mm</t>
  </si>
  <si>
    <t>7</t>
  </si>
  <si>
    <t>602011112RT1</t>
  </si>
  <si>
    <t>Omítka jádrová , ručně</t>
  </si>
  <si>
    <t>tloušťka vrstvy 10 mm</t>
  </si>
  <si>
    <t>62</t>
  </si>
  <si>
    <t>Úprava povrchů vnější</t>
  </si>
  <si>
    <t>8</t>
  </si>
  <si>
    <t>622311735RT3</t>
  </si>
  <si>
    <t>Zatepl.syst. Etics, fasáda, miner.desky KV 160 mm</t>
  </si>
  <si>
    <t>62_</t>
  </si>
  <si>
    <t>s omítkou silikonovou, lepidlo</t>
  </si>
  <si>
    <t>64</t>
  </si>
  <si>
    <t>Výplně otvorů</t>
  </si>
  <si>
    <t>9</t>
  </si>
  <si>
    <t>648952421RT2</t>
  </si>
  <si>
    <t>Osazení parapetních desek dřevěných š. do 50 cm</t>
  </si>
  <si>
    <t>m</t>
  </si>
  <si>
    <t>64_</t>
  </si>
  <si>
    <t>včetně dodávky parepetní desky š. 30 cm</t>
  </si>
  <si>
    <t>95</t>
  </si>
  <si>
    <t>Různé dokončovací konstrukce a práce na pozemních stavbách</t>
  </si>
  <si>
    <t>10</t>
  </si>
  <si>
    <t>95388VD</t>
  </si>
  <si>
    <t>Demontáž + montáž antény</t>
  </si>
  <si>
    <t>RTS II / 2014</t>
  </si>
  <si>
    <t>95_</t>
  </si>
  <si>
    <t>9_</t>
  </si>
  <si>
    <t>11</t>
  </si>
  <si>
    <t>Oprava vnitřního SDK ostění</t>
  </si>
  <si>
    <t>po montáži střešních oken</t>
  </si>
  <si>
    <t>H99</t>
  </si>
  <si>
    <t>Staveništní přesuny hmot</t>
  </si>
  <si>
    <t>12</t>
  </si>
  <si>
    <t>999281108R00</t>
  </si>
  <si>
    <t>Přesun hmot pro opravy a údržbu do výšky 12 m</t>
  </si>
  <si>
    <t>H99_</t>
  </si>
  <si>
    <t>96</t>
  </si>
  <si>
    <t>Bourání konstrukcí</t>
  </si>
  <si>
    <t>13</t>
  </si>
  <si>
    <t>968083003R00</t>
  </si>
  <si>
    <t>Vybourání plastových oken do 4 m2</t>
  </si>
  <si>
    <t>96_</t>
  </si>
  <si>
    <t>14</t>
  </si>
  <si>
    <t>962032641R00</t>
  </si>
  <si>
    <t>Bourání zdiva komínového z cihel na MC</t>
  </si>
  <si>
    <t>15</t>
  </si>
  <si>
    <t>964073221R00</t>
  </si>
  <si>
    <t>Vybourání nosníků ze zdi cihelné dl. 4 m, 20 kg/m</t>
  </si>
  <si>
    <t>16</t>
  </si>
  <si>
    <t>764900010RAA</t>
  </si>
  <si>
    <t>Demontáž krytiny střech</t>
  </si>
  <si>
    <t>z plechu pozinkovaného</t>
  </si>
  <si>
    <t>17</t>
  </si>
  <si>
    <t>764900035RAA</t>
  </si>
  <si>
    <t>Demontáž nástřešních žlabů půlkruhových</t>
  </si>
  <si>
    <t>18</t>
  </si>
  <si>
    <t>764900040RAA</t>
  </si>
  <si>
    <t>Demontáž odpadních trub</t>
  </si>
  <si>
    <t>19</t>
  </si>
  <si>
    <t>764900020RAA</t>
  </si>
  <si>
    <t>Demontáž oplechování zdí</t>
  </si>
  <si>
    <t>20</t>
  </si>
  <si>
    <t>764900050RAA</t>
  </si>
  <si>
    <t>Demontáž oplechování parapetů</t>
  </si>
  <si>
    <t>21</t>
  </si>
  <si>
    <t>764359811R00</t>
  </si>
  <si>
    <t>Demontáž kotlíku kónického, sklon do 45°</t>
  </si>
  <si>
    <t>22</t>
  </si>
  <si>
    <t>767134802R00</t>
  </si>
  <si>
    <t>Demontáž oplechování stěn plechy</t>
  </si>
  <si>
    <t>vikýře</t>
  </si>
  <si>
    <t>23</t>
  </si>
  <si>
    <t>767851803R00</t>
  </si>
  <si>
    <t>Demontáž kompletní celé lávky</t>
  </si>
  <si>
    <t>24</t>
  </si>
  <si>
    <t>967031734R00</t>
  </si>
  <si>
    <t>Přisekání plošné zdiva cihelného na MVC tl. 30 cm</t>
  </si>
  <si>
    <t>25</t>
  </si>
  <si>
    <t>968062354R00</t>
  </si>
  <si>
    <t>Demontáž střešních oken a výlezů</t>
  </si>
  <si>
    <t>ks</t>
  </si>
  <si>
    <t>26</t>
  </si>
  <si>
    <t>762131811R00</t>
  </si>
  <si>
    <t>Demontáž bednění stěn z hrubých prken, latí</t>
  </si>
  <si>
    <t>27</t>
  </si>
  <si>
    <t>762341811R00</t>
  </si>
  <si>
    <t>Demontáž bednění střech rovných z prken hrubých</t>
  </si>
  <si>
    <t>oprava střechy</t>
  </si>
  <si>
    <t>28</t>
  </si>
  <si>
    <t>979100013RAB</t>
  </si>
  <si>
    <t>Odvoz suti a vyb.hmot do 15 km, vnitrost. 15 m</t>
  </si>
  <si>
    <t>svislá doprava z 2.NP ručním nošením</t>
  </si>
  <si>
    <t>29</t>
  </si>
  <si>
    <t>979951161R00</t>
  </si>
  <si>
    <t>Výkup kovů - zinek, plechy</t>
  </si>
  <si>
    <t>30</t>
  </si>
  <si>
    <t>979990163R00</t>
  </si>
  <si>
    <t>Poplatek za skládku suti - plast+sklo</t>
  </si>
  <si>
    <t>979999999R00</t>
  </si>
  <si>
    <t>Poplatek za skládku netříděný odpad</t>
  </si>
  <si>
    <t>32</t>
  </si>
  <si>
    <t>979990161R00</t>
  </si>
  <si>
    <t>Poplatek za skládku suti - dřevo</t>
  </si>
  <si>
    <t>712</t>
  </si>
  <si>
    <t>Izolace střech (živičné krytiny)</t>
  </si>
  <si>
    <t>33</t>
  </si>
  <si>
    <t>712211111R00</t>
  </si>
  <si>
    <t>Podkladní asfaltový izolační pás přibitím</t>
  </si>
  <si>
    <t>712_</t>
  </si>
  <si>
    <t>71_</t>
  </si>
  <si>
    <t>34</t>
  </si>
  <si>
    <t>62811120</t>
  </si>
  <si>
    <t>Pás asfaltovaný A 330 H nepískovaný</t>
  </si>
  <si>
    <t>35</t>
  </si>
  <si>
    <t>712378005R00</t>
  </si>
  <si>
    <t>Krycí lišta  RŠ 120 mm</t>
  </si>
  <si>
    <t>36</t>
  </si>
  <si>
    <t>712378003R00</t>
  </si>
  <si>
    <t>Podélné lemování ke zdi RŠ 280 mm</t>
  </si>
  <si>
    <t>37</t>
  </si>
  <si>
    <t>998712102R00</t>
  </si>
  <si>
    <t>Přesun hmot pro povlakové krytiny, výšky do 12 m</t>
  </si>
  <si>
    <t>762</t>
  </si>
  <si>
    <t>Konstrukce tesařské</t>
  </si>
  <si>
    <t>38</t>
  </si>
  <si>
    <t>762340132RAA</t>
  </si>
  <si>
    <t>Laťování střech rozteč 36 cm, impregnace</t>
  </si>
  <si>
    <t>762_</t>
  </si>
  <si>
    <t>76_</t>
  </si>
  <si>
    <t>latě 4 x 6 cm, včetně dodávky řeziva</t>
  </si>
  <si>
    <t>39</t>
  </si>
  <si>
    <t>762342205RT4</t>
  </si>
  <si>
    <t>Montáž kontralatí na vruty, s těsnicí pěnou</t>
  </si>
  <si>
    <t>včetně dodávky latí 4/6 cm+impregnace</t>
  </si>
  <si>
    <t>40</t>
  </si>
  <si>
    <t>762131124RT3</t>
  </si>
  <si>
    <t>Montáž bednění stěn, prkna hrubá do 32 mm, na sraz</t>
  </si>
  <si>
    <t>včetně dodávky řeziva-vikýře</t>
  </si>
  <si>
    <t>41</t>
  </si>
  <si>
    <t>762340110RAC</t>
  </si>
  <si>
    <t>Bednění střech z prken na sraz, impregnace</t>
  </si>
  <si>
    <t>prkna tloušťky 32 mm, včetně dodávky-oprava střechy</t>
  </si>
  <si>
    <t>42</t>
  </si>
  <si>
    <t>998762102R00</t>
  </si>
  <si>
    <t>Přesun hmot pro tesařské konstrukce, výšky do 12 m</t>
  </si>
  <si>
    <t>764</t>
  </si>
  <si>
    <t>Konstrukce klempířské</t>
  </si>
  <si>
    <t>43</t>
  </si>
  <si>
    <t>764903101R00</t>
  </si>
  <si>
    <t>Krytina, tašková tabule plech poplast.,na dřevo,do 30°</t>
  </si>
  <si>
    <t>764_</t>
  </si>
  <si>
    <t>764903202R00</t>
  </si>
  <si>
    <t>Plech poplast. úžlabní plech RD</t>
  </si>
  <si>
    <t>45</t>
  </si>
  <si>
    <t>764903204R00</t>
  </si>
  <si>
    <t>Plech poplast., štítové lemování</t>
  </si>
  <si>
    <t>46</t>
  </si>
  <si>
    <t>764903205R00</t>
  </si>
  <si>
    <t>Oplechování okapový plech poplast.</t>
  </si>
  <si>
    <t>47</t>
  </si>
  <si>
    <t>764903304R00</t>
  </si>
  <si>
    <t>Plech poplast. hřebenáč, střecha složitá, do 30°</t>
  </si>
  <si>
    <t>48</t>
  </si>
  <si>
    <t>764903305R00</t>
  </si>
  <si>
    <t>Plech poplast.,složité, hřebenáči, příplatek nad 30°</t>
  </si>
  <si>
    <t>49</t>
  </si>
  <si>
    <t>764903323R00</t>
  </si>
  <si>
    <t>Sněhové zábrany trubkové. l= 3,0 m</t>
  </si>
  <si>
    <t>50</t>
  </si>
  <si>
    <t>764903206R00</t>
  </si>
  <si>
    <t>Ukončovací lem ke zdi plech polast.</t>
  </si>
  <si>
    <t>51</t>
  </si>
  <si>
    <t>764908101R00</t>
  </si>
  <si>
    <t>Kotlík žlabový kónický vel.žlabu 125 mm</t>
  </si>
  <si>
    <t>52</t>
  </si>
  <si>
    <t>764908104RT2</t>
  </si>
  <si>
    <t>Žlab podokapní půlkruhový R,velikost 125 mm,plech poplast.</t>
  </si>
  <si>
    <t>v ostatních barvách</t>
  </si>
  <si>
    <t>53</t>
  </si>
  <si>
    <t>764908108RT2</t>
  </si>
  <si>
    <t>Odpadní trouby kruhové plech poplast., D 87 mm</t>
  </si>
  <si>
    <t>54</t>
  </si>
  <si>
    <t>764909401R00</t>
  </si>
  <si>
    <t>Izolační folie pojistná difuzní</t>
  </si>
  <si>
    <t>55</t>
  </si>
  <si>
    <t>764908301R00</t>
  </si>
  <si>
    <t>Plech poplast., oplechování parapetů, rš 200 mm</t>
  </si>
  <si>
    <t>56</t>
  </si>
  <si>
    <t>764908302R00</t>
  </si>
  <si>
    <t>Plech poplast., oplechování parapetů, rš 250 mm</t>
  </si>
  <si>
    <t>57</t>
  </si>
  <si>
    <t>764903310R00</t>
  </si>
  <si>
    <t>Komínek odvětrání,DN 110 mm,izolovaný</t>
  </si>
  <si>
    <t>58</t>
  </si>
  <si>
    <t>764892310R00</t>
  </si>
  <si>
    <t>Falcované tabule plech poplast., tl. 0,5 mm, na dřevo</t>
  </si>
  <si>
    <t>59</t>
  </si>
  <si>
    <t>764903316R00</t>
  </si>
  <si>
    <t>Pás větrací ochranný  80x5000 mm</t>
  </si>
  <si>
    <t>60</t>
  </si>
  <si>
    <t>998764102R00</t>
  </si>
  <si>
    <t>Přesun hmot pro klempířské konstr., výšky do 12 m</t>
  </si>
  <si>
    <t>765</t>
  </si>
  <si>
    <t>Krytina tvrdá</t>
  </si>
  <si>
    <t>765312674R00</t>
  </si>
  <si>
    <t>Střešní lávka, rošt 800 x 250 mm</t>
  </si>
  <si>
    <t>765_</t>
  </si>
  <si>
    <t>765311712R00</t>
  </si>
  <si>
    <t>Hřebenáč rozdělovací plech.poplast</t>
  </si>
  <si>
    <t>63</t>
  </si>
  <si>
    <t>9539991VD</t>
  </si>
  <si>
    <t>Těsnící komínový pás</t>
  </si>
  <si>
    <t>Dodávka+montáž</t>
  </si>
  <si>
    <t>998765102R00</t>
  </si>
  <si>
    <t>Přesun hmot pro krytiny tvrdé, výšky do 12 m</t>
  </si>
  <si>
    <t>766</t>
  </si>
  <si>
    <t>Konstrukce truhlářské</t>
  </si>
  <si>
    <t>65</t>
  </si>
  <si>
    <t>766624042R00</t>
  </si>
  <si>
    <t>Montáž střešních oken rozměr 78/98 - 118 cm</t>
  </si>
  <si>
    <t>766_</t>
  </si>
  <si>
    <t>66</t>
  </si>
  <si>
    <t>28323405</t>
  </si>
  <si>
    <t>Fólie parotěsná PE  BBX 0000 MK04 78 x 98 cm</t>
  </si>
  <si>
    <t>67</t>
  </si>
  <si>
    <t>6114025055</t>
  </si>
  <si>
    <t>Okno střešní GGL 3066 MK04 š. 78 x v. 98 cm</t>
  </si>
  <si>
    <t>68</t>
  </si>
  <si>
    <t>61140282.A</t>
  </si>
  <si>
    <t>Lemování okna  EDW 0000 MK04   78x 98 cm</t>
  </si>
  <si>
    <t>69</t>
  </si>
  <si>
    <t>766629303R00</t>
  </si>
  <si>
    <t>Montáž oken plastových plochy do 4,50 m2</t>
  </si>
  <si>
    <t>70</t>
  </si>
  <si>
    <t>61143866</t>
  </si>
  <si>
    <t>Okno plastové čtyřjkřídlé 300 x 75 cm OS+O+OS bílé</t>
  </si>
  <si>
    <t>71</t>
  </si>
  <si>
    <t>998766102R00</t>
  </si>
  <si>
    <t>Přesun hmot pro truhlářské konstr., výšky do 12 m</t>
  </si>
  <si>
    <t>784</t>
  </si>
  <si>
    <t>Malby</t>
  </si>
  <si>
    <t>72</t>
  </si>
  <si>
    <t>784191101R00</t>
  </si>
  <si>
    <t>Penetrace podkladu univerzální  1x</t>
  </si>
  <si>
    <t>784_</t>
  </si>
  <si>
    <t>78_</t>
  </si>
  <si>
    <t>73</t>
  </si>
  <si>
    <t>784195222R00</t>
  </si>
  <si>
    <t>Malba otěruvzdorná, barva, bez penetrace, 2 x</t>
  </si>
  <si>
    <t>90</t>
  </si>
  <si>
    <t>Hodinové zúčtovací sazby (HZS)</t>
  </si>
  <si>
    <t>74</t>
  </si>
  <si>
    <t>900      R01</t>
  </si>
  <si>
    <t>HZS - ostatní práce v rozpočtu nespecifikované</t>
  </si>
  <si>
    <t>h</t>
  </si>
  <si>
    <t>90_</t>
  </si>
  <si>
    <t>M21</t>
  </si>
  <si>
    <t>Elektromontáže</t>
  </si>
  <si>
    <t>75</t>
  </si>
  <si>
    <t>210200020RAA</t>
  </si>
  <si>
    <t>Hromosvod</t>
  </si>
  <si>
    <t>kompl</t>
  </si>
  <si>
    <t>M21_</t>
  </si>
  <si>
    <t>76</t>
  </si>
  <si>
    <t>210999VD</t>
  </si>
  <si>
    <t>Demontáž hromosvodu</t>
  </si>
  <si>
    <t>kpl</t>
  </si>
  <si>
    <t>Celkem:</t>
  </si>
  <si>
    <t>Poznámka: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</si>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</sst>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6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8" xfId="0" applyNumberFormat="1" applyFont="1" applyFill="1" applyBorder="1" applyAlignment="1" applyProtection="1">
      <alignment horizontal="left" vertical="center" wrapText="1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5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5" fontId="1" fillId="0" borderId="16" xfId="0" applyNumberFormat="1" applyFont="1" applyFill="1" applyBorder="1" applyAlignment="1" applyProtection="1">
      <alignment horizontal="left" vertical="center"/>
      <protection/>
    </xf>
    <xf numFmtId="165" fontId="1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6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top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165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1" fillId="0" borderId="23" xfId="0" applyNumberFormat="1" applyFont="1" applyFill="1" applyBorder="1" applyAlignment="1" applyProtection="1">
      <alignment horizontal="left" vertical="center"/>
      <protection/>
    </xf>
    <xf numFmtId="166" fontId="1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27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28" xfId="0" applyNumberFormat="1" applyFont="1" applyFill="1" applyBorder="1" applyAlignment="1" applyProtection="1">
      <alignment horizontal="left" vertical="center" wrapText="1"/>
      <protection/>
    </xf>
    <xf numFmtId="165" fontId="6" fillId="0" borderId="29" xfId="0" applyNumberFormat="1" applyFont="1" applyFill="1" applyBorder="1" applyAlignment="1" applyProtection="1">
      <alignment horizontal="center" vertical="center"/>
      <protection/>
    </xf>
    <xf numFmtId="165" fontId="7" fillId="2" borderId="30" xfId="0" applyNumberFormat="1" applyFont="1" applyFill="1" applyBorder="1" applyAlignment="1" applyProtection="1">
      <alignment horizontal="center" vertical="center"/>
      <protection/>
    </xf>
    <xf numFmtId="165" fontId="8" fillId="0" borderId="30" xfId="0" applyNumberFormat="1" applyFont="1" applyFill="1" applyBorder="1" applyAlignment="1" applyProtection="1">
      <alignment horizontal="left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5" fontId="10" fillId="0" borderId="30" xfId="0" applyNumberFormat="1" applyFont="1" applyFill="1" applyBorder="1" applyAlignment="1" applyProtection="1">
      <alignment horizontal="left" vertical="center"/>
      <protection/>
    </xf>
    <xf numFmtId="166" fontId="10" fillId="0" borderId="30" xfId="0" applyNumberFormat="1" applyFont="1" applyFill="1" applyBorder="1" applyAlignment="1" applyProtection="1">
      <alignment horizontal="right" vertical="center"/>
      <protection/>
    </xf>
    <xf numFmtId="165" fontId="9" fillId="0" borderId="32" xfId="0" applyNumberFormat="1" applyFont="1" applyFill="1" applyBorder="1" applyAlignment="1" applyProtection="1">
      <alignment horizontal="left" vertical="center"/>
      <protection/>
    </xf>
    <xf numFmtId="165" fontId="10" fillId="0" borderId="30" xfId="0" applyNumberFormat="1" applyFont="1" applyFill="1" applyBorder="1" applyAlignment="1" applyProtection="1">
      <alignment horizontal="right" vertical="center"/>
      <protection/>
    </xf>
    <xf numFmtId="165" fontId="9" fillId="0" borderId="30" xfId="0" applyNumberFormat="1" applyFont="1" applyFill="1" applyBorder="1" applyAlignment="1" applyProtection="1">
      <alignment horizontal="left" vertical="center"/>
      <protection/>
    </xf>
    <xf numFmtId="164" fontId="1" fillId="0" borderId="4" xfId="0" applyNumberFormat="1" applyFont="1" applyFill="1" applyBorder="1" applyAlignment="1" applyProtection="1">
      <alignment vertical="center"/>
      <protection/>
    </xf>
    <xf numFmtId="166" fontId="10" fillId="0" borderId="20" xfId="0" applyNumberFormat="1" applyFont="1" applyFill="1" applyBorder="1" applyAlignment="1" applyProtection="1">
      <alignment horizontal="right" vertical="center"/>
      <protection/>
    </xf>
    <xf numFmtId="164" fontId="1" fillId="0" borderId="33" xfId="0" applyNumberFormat="1" applyFont="1" applyFill="1" applyBorder="1" applyAlignment="1" applyProtection="1">
      <alignment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165" fontId="9" fillId="2" borderId="34" xfId="0" applyNumberFormat="1" applyFont="1" applyFill="1" applyBorder="1" applyAlignment="1" applyProtection="1">
      <alignment horizontal="left" vertical="center"/>
      <protection/>
    </xf>
    <xf numFmtId="166" fontId="9" fillId="2" borderId="35" xfId="0" applyNumberFormat="1" applyFont="1" applyFill="1" applyBorder="1" applyAlignment="1" applyProtection="1">
      <alignment horizontal="right" vertical="center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36" xfId="0" applyNumberFormat="1" applyFont="1" applyFill="1" applyBorder="1" applyAlignment="1" applyProtection="1">
      <alignment vertical="center"/>
      <protection/>
    </xf>
    <xf numFmtId="165" fontId="10" fillId="0" borderId="14" xfId="0" applyNumberFormat="1" applyFont="1" applyFill="1" applyBorder="1" applyAlignment="1" applyProtection="1">
      <alignment horizontal="left" vertical="center"/>
      <protection/>
    </xf>
    <xf numFmtId="165" fontId="10" fillId="0" borderId="37" xfId="0" applyNumberFormat="1" applyFont="1" applyFill="1" applyBorder="1" applyAlignment="1" applyProtection="1">
      <alignment horizontal="left" vertical="center"/>
      <protection/>
    </xf>
    <xf numFmtId="165" fontId="10" fillId="0" borderId="22" xfId="0" applyNumberFormat="1" applyFont="1" applyFill="1" applyBorder="1" applyAlignment="1" applyProtection="1">
      <alignment horizontal="left" vertical="center"/>
      <protection/>
    </xf>
    <xf numFmtId="165" fontId="5" fillId="0" borderId="23" xfId="0" applyNumberFormat="1" applyFont="1" applyFill="1" applyBorder="1" applyAlignment="1" applyProtection="1">
      <alignment horizontal="left"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3"/>
  <sheetViews>
    <sheetView tabSelected="1" workbookViewId="0" topLeftCell="A1">
      <pane ySplit="11" topLeftCell="A88" activePane="bottomLeft" state="frozen"/>
      <selection pane="topLeft" activeCell="A1" sqref="A1"/>
      <selection pane="bottomLeft" activeCell="G107" sqref="G107"/>
    </sheetView>
  </sheetViews>
  <sheetFormatPr defaultColWidth="12.57421875" defaultRowHeight="12.75"/>
  <cols>
    <col min="1" max="1" width="3.7109375" style="1" customWidth="1"/>
    <col min="2" max="2" width="14.28125" style="1" customWidth="1"/>
    <col min="3" max="3" width="50.57421875" style="1" customWidth="1"/>
    <col min="4" max="5" width="11.57421875" style="0" customWidth="1"/>
    <col min="6" max="6" width="5.8515625" style="1" customWidth="1"/>
    <col min="7" max="7" width="12.8515625" style="1" customWidth="1"/>
    <col min="8" max="8" width="12.00390625" style="1" customWidth="1"/>
    <col min="9" max="11" width="14.28125" style="1" customWidth="1"/>
    <col min="12" max="12" width="11.7109375" style="1" customWidth="1"/>
    <col min="13" max="24" width="11.57421875" style="0" customWidth="1"/>
    <col min="25" max="62" width="0" style="1" hidden="1" customWidth="1"/>
    <col min="63" max="16384" width="11.57421875" style="0" customWidth="1"/>
  </cols>
  <sheetData>
    <row r="1" spans="1:12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 customHeight="1">
      <c r="A2" s="3" t="s">
        <v>1</v>
      </c>
      <c r="B2" s="3"/>
      <c r="C2" s="4" t="s">
        <v>2</v>
      </c>
      <c r="D2" s="5" t="s">
        <v>3</v>
      </c>
      <c r="E2" s="5"/>
      <c r="F2" s="5" t="s">
        <v>4</v>
      </c>
      <c r="G2" s="5"/>
      <c r="H2" s="6" t="s">
        <v>5</v>
      </c>
      <c r="I2" s="7" t="s">
        <v>6</v>
      </c>
      <c r="J2" s="7"/>
      <c r="K2" s="7"/>
      <c r="L2" s="7"/>
      <c r="M2" s="8"/>
    </row>
    <row r="3" spans="1:13" ht="12.75">
      <c r="A3" s="3"/>
      <c r="B3" s="3"/>
      <c r="C3" s="4"/>
      <c r="D3" s="5"/>
      <c r="E3" s="5"/>
      <c r="F3" s="5"/>
      <c r="G3" s="5"/>
      <c r="H3" s="6"/>
      <c r="I3" s="6"/>
      <c r="J3" s="7"/>
      <c r="K3" s="7"/>
      <c r="L3" s="7"/>
      <c r="M3" s="8"/>
    </row>
    <row r="4" spans="1:13" ht="12.75" customHeight="1">
      <c r="A4" s="9" t="s">
        <v>7</v>
      </c>
      <c r="B4" s="9"/>
      <c r="C4" s="10" t="s">
        <v>4</v>
      </c>
      <c r="D4" s="11" t="s">
        <v>8</v>
      </c>
      <c r="E4" s="11"/>
      <c r="F4" s="11" t="s">
        <v>4</v>
      </c>
      <c r="G4" s="11"/>
      <c r="H4" s="10" t="s">
        <v>9</v>
      </c>
      <c r="I4" s="12" t="s">
        <v>10</v>
      </c>
      <c r="J4" s="12"/>
      <c r="K4" s="12"/>
      <c r="L4" s="12"/>
      <c r="M4" s="8"/>
    </row>
    <row r="5" spans="1:13" ht="12.75">
      <c r="A5" s="9"/>
      <c r="B5" s="9"/>
      <c r="C5" s="10"/>
      <c r="D5" s="10"/>
      <c r="E5" s="11"/>
      <c r="F5" s="11"/>
      <c r="G5" s="11"/>
      <c r="H5" s="10"/>
      <c r="I5" s="10"/>
      <c r="J5" s="12"/>
      <c r="K5" s="12"/>
      <c r="L5" s="12"/>
      <c r="M5" s="8"/>
    </row>
    <row r="6" spans="1:13" ht="12.75" customHeight="1">
      <c r="A6" s="9" t="s">
        <v>11</v>
      </c>
      <c r="B6" s="9"/>
      <c r="C6" s="10" t="s">
        <v>12</v>
      </c>
      <c r="D6" s="11" t="s">
        <v>13</v>
      </c>
      <c r="E6" s="11"/>
      <c r="F6" s="11" t="s">
        <v>4</v>
      </c>
      <c r="G6" s="11"/>
      <c r="H6" s="10" t="s">
        <v>14</v>
      </c>
      <c r="I6" s="12" t="s">
        <v>15</v>
      </c>
      <c r="J6" s="12"/>
      <c r="K6" s="12"/>
      <c r="L6" s="12"/>
      <c r="M6" s="8"/>
    </row>
    <row r="7" spans="1:13" ht="12.75">
      <c r="A7" s="9"/>
      <c r="B7" s="9"/>
      <c r="C7" s="10"/>
      <c r="D7" s="10"/>
      <c r="E7" s="11"/>
      <c r="F7" s="11"/>
      <c r="G7" s="11"/>
      <c r="H7" s="10"/>
      <c r="I7" s="10"/>
      <c r="J7" s="12"/>
      <c r="K7" s="12"/>
      <c r="L7" s="12"/>
      <c r="M7" s="8"/>
    </row>
    <row r="8" spans="1:13" ht="12.75" customHeight="1">
      <c r="A8" s="13" t="s">
        <v>16</v>
      </c>
      <c r="B8" s="13"/>
      <c r="C8" s="14" t="s">
        <v>4</v>
      </c>
      <c r="D8" s="15" t="s">
        <v>17</v>
      </c>
      <c r="E8" s="15"/>
      <c r="F8" s="15" t="s">
        <v>18</v>
      </c>
      <c r="G8" s="15"/>
      <c r="H8" s="14" t="s">
        <v>19</v>
      </c>
      <c r="I8" s="16" t="s">
        <v>20</v>
      </c>
      <c r="J8" s="16"/>
      <c r="K8" s="16"/>
      <c r="L8" s="16"/>
      <c r="M8" s="8"/>
    </row>
    <row r="9" spans="1:13" ht="12.75">
      <c r="A9" s="13"/>
      <c r="B9" s="13"/>
      <c r="C9" s="14"/>
      <c r="D9" s="14"/>
      <c r="E9" s="15"/>
      <c r="F9" s="15"/>
      <c r="G9" s="15"/>
      <c r="H9" s="14"/>
      <c r="I9" s="14"/>
      <c r="J9" s="16"/>
      <c r="K9" s="16"/>
      <c r="L9" s="16"/>
      <c r="M9" s="8"/>
    </row>
    <row r="10" spans="1:13" ht="12.75">
      <c r="A10" s="17" t="s">
        <v>21</v>
      </c>
      <c r="B10" s="18" t="s">
        <v>22</v>
      </c>
      <c r="C10" s="18" t="s">
        <v>23</v>
      </c>
      <c r="D10" s="18"/>
      <c r="E10" s="18"/>
      <c r="F10" s="18" t="s">
        <v>24</v>
      </c>
      <c r="G10" s="19" t="s">
        <v>25</v>
      </c>
      <c r="H10" s="20" t="s">
        <v>26</v>
      </c>
      <c r="I10" s="21" t="s">
        <v>27</v>
      </c>
      <c r="J10" s="21"/>
      <c r="K10" s="21"/>
      <c r="L10" s="22" t="s">
        <v>28</v>
      </c>
      <c r="M10" s="23"/>
    </row>
    <row r="11" spans="1:62" ht="12.75">
      <c r="A11" s="24" t="s">
        <v>4</v>
      </c>
      <c r="B11" s="25" t="s">
        <v>4</v>
      </c>
      <c r="C11" s="26" t="s">
        <v>29</v>
      </c>
      <c r="D11" s="26"/>
      <c r="E11" s="26"/>
      <c r="F11" s="25" t="s">
        <v>4</v>
      </c>
      <c r="G11" s="25" t="s">
        <v>4</v>
      </c>
      <c r="H11" s="27" t="s">
        <v>30</v>
      </c>
      <c r="I11" s="28" t="s">
        <v>31</v>
      </c>
      <c r="J11" s="29" t="s">
        <v>32</v>
      </c>
      <c r="K11" s="30" t="s">
        <v>33</v>
      </c>
      <c r="L11" s="31" t="s">
        <v>34</v>
      </c>
      <c r="M11" s="23"/>
      <c r="Z11" s="32" t="s">
        <v>35</v>
      </c>
      <c r="AA11" s="32" t="s">
        <v>36</v>
      </c>
      <c r="AB11" s="32" t="s">
        <v>37</v>
      </c>
      <c r="AC11" s="32" t="s">
        <v>38</v>
      </c>
      <c r="AD11" s="32" t="s">
        <v>39</v>
      </c>
      <c r="AE11" s="32" t="s">
        <v>40</v>
      </c>
      <c r="AF11" s="32" t="s">
        <v>41</v>
      </c>
      <c r="AG11" s="32" t="s">
        <v>42</v>
      </c>
      <c r="AH11" s="32" t="s">
        <v>43</v>
      </c>
      <c r="BH11" s="32" t="s">
        <v>44</v>
      </c>
      <c r="BI11" s="32" t="s">
        <v>45</v>
      </c>
      <c r="BJ11" s="32" t="s">
        <v>46</v>
      </c>
    </row>
    <row r="12" spans="1:47" ht="12.75">
      <c r="A12" s="33"/>
      <c r="B12" s="34" t="s">
        <v>47</v>
      </c>
      <c r="C12" s="34" t="s">
        <v>48</v>
      </c>
      <c r="D12" s="34"/>
      <c r="E12" s="34"/>
      <c r="F12" s="33" t="s">
        <v>4</v>
      </c>
      <c r="G12" s="33" t="s">
        <v>4</v>
      </c>
      <c r="H12" s="33" t="s">
        <v>4</v>
      </c>
      <c r="I12" s="35">
        <f>SUM(I13:I15)</f>
        <v>0</v>
      </c>
      <c r="J12" s="35">
        <f>SUM(J13:J15)</f>
        <v>0</v>
      </c>
      <c r="K12" s="35">
        <f>SUM(K13:K15)</f>
        <v>0</v>
      </c>
      <c r="L12" s="36"/>
      <c r="AI12" s="32"/>
      <c r="AS12" s="37">
        <f>SUM(AJ13:AJ15)</f>
        <v>0</v>
      </c>
      <c r="AT12" s="37">
        <f>SUM(AK13:AK15)</f>
        <v>0</v>
      </c>
      <c r="AU12" s="37">
        <f>SUM(AL13:AL15)</f>
        <v>0</v>
      </c>
    </row>
    <row r="13" spans="1:62" ht="12.75">
      <c r="A13" s="11" t="s">
        <v>49</v>
      </c>
      <c r="B13" s="11" t="s">
        <v>50</v>
      </c>
      <c r="C13" s="11" t="s">
        <v>51</v>
      </c>
      <c r="D13" s="11"/>
      <c r="E13" s="11"/>
      <c r="F13" s="11" t="s">
        <v>52</v>
      </c>
      <c r="G13" s="38">
        <v>0.127</v>
      </c>
      <c r="H13" s="39">
        <v>0</v>
      </c>
      <c r="I13" s="39">
        <f>G13*AO13</f>
        <v>0</v>
      </c>
      <c r="J13" s="39">
        <f>G13*AP13</f>
        <v>0</v>
      </c>
      <c r="K13" s="39">
        <f>G13*H13</f>
        <v>0</v>
      </c>
      <c r="L13" s="40" t="s">
        <v>53</v>
      </c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32"/>
      <c r="AJ13" s="39">
        <f>IF(AN13=0,K13,0)</f>
        <v>0</v>
      </c>
      <c r="AK13" s="39">
        <f>IF(AN13=15,K13,0)</f>
        <v>0</v>
      </c>
      <c r="AL13" s="39">
        <f>IF(AN13=21,K13,0)</f>
        <v>0</v>
      </c>
      <c r="AN13" s="39">
        <v>21</v>
      </c>
      <c r="AO13" s="39">
        <f>H13*0.498248416963573</f>
        <v>0</v>
      </c>
      <c r="AP13" s="39">
        <f>H13*(1-0.498248416963573)</f>
        <v>0</v>
      </c>
      <c r="AQ13" s="40" t="s">
        <v>49</v>
      </c>
      <c r="AV13" s="39">
        <f>AW13+AX13</f>
        <v>0</v>
      </c>
      <c r="AW13" s="39">
        <f>G13*AO13</f>
        <v>0</v>
      </c>
      <c r="AX13" s="39">
        <f>G13*AP13</f>
        <v>0</v>
      </c>
      <c r="AY13" s="40" t="s">
        <v>54</v>
      </c>
      <c r="AZ13" s="40" t="s">
        <v>55</v>
      </c>
      <c r="BA13" s="32" t="s">
        <v>56</v>
      </c>
      <c r="BC13" s="39">
        <f>AW13+AX13</f>
        <v>0</v>
      </c>
      <c r="BD13" s="39">
        <f>H13/(100-BE13)*100</f>
        <v>0</v>
      </c>
      <c r="BE13" s="39">
        <v>0</v>
      </c>
      <c r="BF13" s="39">
        <f>13</f>
        <v>13</v>
      </c>
      <c r="BH13" s="39">
        <f>G13*AO13</f>
        <v>0</v>
      </c>
      <c r="BI13" s="39">
        <f>G13*AP13</f>
        <v>0</v>
      </c>
      <c r="BJ13" s="39">
        <f>G13*H13</f>
        <v>0</v>
      </c>
    </row>
    <row r="14" spans="2:12" ht="12.75" customHeight="1">
      <c r="B14" s="41" t="s">
        <v>57</v>
      </c>
      <c r="C14" s="42" t="s">
        <v>58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1:62" ht="12.75">
      <c r="A15" s="11" t="s">
        <v>59</v>
      </c>
      <c r="B15" s="11" t="s">
        <v>60</v>
      </c>
      <c r="C15" s="11" t="s">
        <v>61</v>
      </c>
      <c r="D15" s="11"/>
      <c r="E15" s="11"/>
      <c r="F15" s="11" t="s">
        <v>62</v>
      </c>
      <c r="G15" s="38">
        <v>0.189</v>
      </c>
      <c r="H15" s="39">
        <v>0</v>
      </c>
      <c r="I15" s="39">
        <f>G15*AO15</f>
        <v>0</v>
      </c>
      <c r="J15" s="39">
        <f>G15*AP15</f>
        <v>0</v>
      </c>
      <c r="K15" s="39">
        <f>G15*H15</f>
        <v>0</v>
      </c>
      <c r="L15" s="40" t="s">
        <v>53</v>
      </c>
      <c r="Z15" s="39">
        <f>IF(AQ15="5",BJ15,0)</f>
        <v>0</v>
      </c>
      <c r="AB15" s="39">
        <f>IF(AQ15="1",BH15,0)</f>
        <v>0</v>
      </c>
      <c r="AC15" s="39">
        <f>IF(AQ15="1",BI15,0)</f>
        <v>0</v>
      </c>
      <c r="AD15" s="39">
        <f>IF(AQ15="7",BH15,0)</f>
        <v>0</v>
      </c>
      <c r="AE15" s="39">
        <f>IF(AQ15="7",BI15,0)</f>
        <v>0</v>
      </c>
      <c r="AF15" s="39">
        <f>IF(AQ15="2",BH15,0)</f>
        <v>0</v>
      </c>
      <c r="AG15" s="39">
        <f>IF(AQ15="2",BI15,0)</f>
        <v>0</v>
      </c>
      <c r="AH15" s="39">
        <f>IF(AQ15="0",BJ15,0)</f>
        <v>0</v>
      </c>
      <c r="AI15" s="32"/>
      <c r="AJ15" s="39">
        <f>IF(AN15=0,K15,0)</f>
        <v>0</v>
      </c>
      <c r="AK15" s="39">
        <f>IF(AN15=15,K15,0)</f>
        <v>0</v>
      </c>
      <c r="AL15" s="39">
        <f>IF(AN15=21,K15,0)</f>
        <v>0</v>
      </c>
      <c r="AN15" s="39">
        <v>21</v>
      </c>
      <c r="AO15" s="39">
        <f>H15*0.771220139581256</f>
        <v>0</v>
      </c>
      <c r="AP15" s="39">
        <f>H15*(1-0.771220139581256)</f>
        <v>0</v>
      </c>
      <c r="AQ15" s="40" t="s">
        <v>49</v>
      </c>
      <c r="AV15" s="39">
        <f>AW15+AX15</f>
        <v>0</v>
      </c>
      <c r="AW15" s="39">
        <f>G15*AO15</f>
        <v>0</v>
      </c>
      <c r="AX15" s="39">
        <f>G15*AP15</f>
        <v>0</v>
      </c>
      <c r="AY15" s="40" t="s">
        <v>54</v>
      </c>
      <c r="AZ15" s="40" t="s">
        <v>55</v>
      </c>
      <c r="BA15" s="32" t="s">
        <v>56</v>
      </c>
      <c r="BC15" s="39">
        <f>AW15+AX15</f>
        <v>0</v>
      </c>
      <c r="BD15" s="39">
        <f>H15/(100-BE15)*100</f>
        <v>0</v>
      </c>
      <c r="BE15" s="39">
        <v>0</v>
      </c>
      <c r="BF15" s="39">
        <f>15</f>
        <v>15</v>
      </c>
      <c r="BH15" s="39">
        <f>G15*AO15</f>
        <v>0</v>
      </c>
      <c r="BI15" s="39">
        <f>G15*AP15</f>
        <v>0</v>
      </c>
      <c r="BJ15" s="39">
        <f>G15*H15</f>
        <v>0</v>
      </c>
    </row>
    <row r="16" spans="2:12" ht="12.75" customHeight="1">
      <c r="B16" s="41" t="s">
        <v>57</v>
      </c>
      <c r="C16" s="42" t="s">
        <v>63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47" ht="12.75">
      <c r="A17" s="43"/>
      <c r="B17" s="44" t="s">
        <v>64</v>
      </c>
      <c r="C17" s="44" t="s">
        <v>65</v>
      </c>
      <c r="D17" s="44"/>
      <c r="E17" s="44"/>
      <c r="F17" s="43" t="s">
        <v>4</v>
      </c>
      <c r="G17" s="43" t="s">
        <v>4</v>
      </c>
      <c r="H17" s="43" t="s">
        <v>4</v>
      </c>
      <c r="I17" s="37">
        <f>SUM(I18:I19)</f>
        <v>0</v>
      </c>
      <c r="J17" s="37">
        <f>SUM(J18:J19)</f>
        <v>0</v>
      </c>
      <c r="K17" s="37">
        <f>SUM(K18:K19)</f>
        <v>0</v>
      </c>
      <c r="L17" s="32"/>
      <c r="AI17" s="32"/>
      <c r="AS17" s="37">
        <f>SUM(AJ18:AJ19)</f>
        <v>0</v>
      </c>
      <c r="AT17" s="37">
        <f>SUM(AK18:AK19)</f>
        <v>0</v>
      </c>
      <c r="AU17" s="37">
        <f>SUM(AL18:AL19)</f>
        <v>0</v>
      </c>
    </row>
    <row r="18" spans="1:62" ht="12.75">
      <c r="A18" s="11" t="s">
        <v>66</v>
      </c>
      <c r="B18" s="11" t="s">
        <v>67</v>
      </c>
      <c r="C18" s="11" t="s">
        <v>68</v>
      </c>
      <c r="D18" s="11"/>
      <c r="E18" s="11"/>
      <c r="F18" s="11" t="s">
        <v>69</v>
      </c>
      <c r="G18" s="38">
        <v>2</v>
      </c>
      <c r="H18" s="39">
        <v>0</v>
      </c>
      <c r="I18" s="39">
        <f>G18*AO18</f>
        <v>0</v>
      </c>
      <c r="J18" s="39">
        <f>G18*AP18</f>
        <v>0</v>
      </c>
      <c r="K18" s="39">
        <f>G18*H18</f>
        <v>0</v>
      </c>
      <c r="L18" s="40" t="s">
        <v>53</v>
      </c>
      <c r="Z18" s="39">
        <f>IF(AQ18="5",BJ18,0)</f>
        <v>0</v>
      </c>
      <c r="AB18" s="39">
        <f>IF(AQ18="1",BH18,0)</f>
        <v>0</v>
      </c>
      <c r="AC18" s="39">
        <f>IF(AQ18="1",BI18,0)</f>
        <v>0</v>
      </c>
      <c r="AD18" s="39">
        <f>IF(AQ18="7",BH18,0)</f>
        <v>0</v>
      </c>
      <c r="AE18" s="39">
        <f>IF(AQ18="7",BI18,0)</f>
        <v>0</v>
      </c>
      <c r="AF18" s="39">
        <f>IF(AQ18="2",BH18,0)</f>
        <v>0</v>
      </c>
      <c r="AG18" s="39">
        <f>IF(AQ18="2",BI18,0)</f>
        <v>0</v>
      </c>
      <c r="AH18" s="39">
        <f>IF(AQ18="0",BJ18,0)</f>
        <v>0</v>
      </c>
      <c r="AI18" s="32"/>
      <c r="AJ18" s="39">
        <f>IF(AN18=0,K18,0)</f>
        <v>0</v>
      </c>
      <c r="AK18" s="39">
        <f>IF(AN18=15,K18,0)</f>
        <v>0</v>
      </c>
      <c r="AL18" s="39">
        <f>IF(AN18=21,K18,0)</f>
        <v>0</v>
      </c>
      <c r="AN18" s="39">
        <v>21</v>
      </c>
      <c r="AO18" s="39">
        <f>H18*0.0209324758842444</f>
        <v>0</v>
      </c>
      <c r="AP18" s="39">
        <f>H18*(1-0.0209324758842444)</f>
        <v>0</v>
      </c>
      <c r="AQ18" s="40" t="s">
        <v>49</v>
      </c>
      <c r="AV18" s="39">
        <f>AW18+AX18</f>
        <v>0</v>
      </c>
      <c r="AW18" s="39">
        <f>G18*AO18</f>
        <v>0</v>
      </c>
      <c r="AX18" s="39">
        <f>G18*AP18</f>
        <v>0</v>
      </c>
      <c r="AY18" s="40" t="s">
        <v>70</v>
      </c>
      <c r="AZ18" s="40" t="s">
        <v>71</v>
      </c>
      <c r="BA18" s="32" t="s">
        <v>56</v>
      </c>
      <c r="BC18" s="39">
        <f>AW18+AX18</f>
        <v>0</v>
      </c>
      <c r="BD18" s="39">
        <f>H18/(100-BE18)*100</f>
        <v>0</v>
      </c>
      <c r="BE18" s="39">
        <v>0</v>
      </c>
      <c r="BF18" s="39">
        <f>18</f>
        <v>18</v>
      </c>
      <c r="BH18" s="39">
        <f>G18*AO18</f>
        <v>0</v>
      </c>
      <c r="BI18" s="39">
        <f>G18*AP18</f>
        <v>0</v>
      </c>
      <c r="BJ18" s="39">
        <f>G18*H18</f>
        <v>0</v>
      </c>
    </row>
    <row r="19" spans="1:62" ht="12.75">
      <c r="A19" s="11" t="s">
        <v>72</v>
      </c>
      <c r="B19" s="11" t="s">
        <v>73</v>
      </c>
      <c r="C19" s="11" t="s">
        <v>74</v>
      </c>
      <c r="D19" s="11"/>
      <c r="E19" s="11"/>
      <c r="F19" s="11" t="s">
        <v>69</v>
      </c>
      <c r="G19" s="38">
        <v>2</v>
      </c>
      <c r="H19" s="39">
        <v>0</v>
      </c>
      <c r="I19" s="39">
        <f>G19*AO19</f>
        <v>0</v>
      </c>
      <c r="J19" s="39">
        <f>G19*AP19</f>
        <v>0</v>
      </c>
      <c r="K19" s="39">
        <f>G19*H19</f>
        <v>0</v>
      </c>
      <c r="L19" s="40" t="s">
        <v>53</v>
      </c>
      <c r="Z19" s="39">
        <f>IF(AQ19="5",BJ19,0)</f>
        <v>0</v>
      </c>
      <c r="AB19" s="39">
        <f>IF(AQ19="1",BH19,0)</f>
        <v>0</v>
      </c>
      <c r="AC19" s="39">
        <f>IF(AQ19="1",BI19,0)</f>
        <v>0</v>
      </c>
      <c r="AD19" s="39">
        <f>IF(AQ19="7",BH19,0)</f>
        <v>0</v>
      </c>
      <c r="AE19" s="39">
        <f>IF(AQ19="7",BI19,0)</f>
        <v>0</v>
      </c>
      <c r="AF19" s="39">
        <f>IF(AQ19="2",BH19,0)</f>
        <v>0</v>
      </c>
      <c r="AG19" s="39">
        <f>IF(AQ19="2",BI19,0)</f>
        <v>0</v>
      </c>
      <c r="AH19" s="39">
        <f>IF(AQ19="0",BJ19,0)</f>
        <v>0</v>
      </c>
      <c r="AI19" s="32"/>
      <c r="AJ19" s="39">
        <f>IF(AN19=0,K19,0)</f>
        <v>0</v>
      </c>
      <c r="AK19" s="39">
        <f>IF(AN19=15,K19,0)</f>
        <v>0</v>
      </c>
      <c r="AL19" s="39">
        <f>IF(AN19=21,K19,0)</f>
        <v>0</v>
      </c>
      <c r="AN19" s="39">
        <v>21</v>
      </c>
      <c r="AO19" s="39">
        <f>H19*1</f>
        <v>0</v>
      </c>
      <c r="AP19" s="39">
        <f>H19*(1-1)</f>
        <v>0</v>
      </c>
      <c r="AQ19" s="40" t="s">
        <v>49</v>
      </c>
      <c r="AV19" s="39">
        <f>AW19+AX19</f>
        <v>0</v>
      </c>
      <c r="AW19" s="39">
        <f>G19*AO19</f>
        <v>0</v>
      </c>
      <c r="AX19" s="39">
        <f>G19*AP19</f>
        <v>0</v>
      </c>
      <c r="AY19" s="40" t="s">
        <v>70</v>
      </c>
      <c r="AZ19" s="40" t="s">
        <v>71</v>
      </c>
      <c r="BA19" s="32" t="s">
        <v>56</v>
      </c>
      <c r="BC19" s="39">
        <f>AW19+AX19</f>
        <v>0</v>
      </c>
      <c r="BD19" s="39">
        <f>H19/(100-BE19)*100</f>
        <v>0</v>
      </c>
      <c r="BE19" s="39">
        <v>0</v>
      </c>
      <c r="BF19" s="39">
        <f>19</f>
        <v>19</v>
      </c>
      <c r="BH19" s="39">
        <f>G19*AO19</f>
        <v>0</v>
      </c>
      <c r="BI19" s="39">
        <f>G19*AP19</f>
        <v>0</v>
      </c>
      <c r="BJ19" s="39">
        <f>G19*H19</f>
        <v>0</v>
      </c>
    </row>
    <row r="20" spans="1:47" ht="12.75">
      <c r="A20" s="43"/>
      <c r="B20" s="44" t="s">
        <v>75</v>
      </c>
      <c r="C20" s="44" t="s">
        <v>76</v>
      </c>
      <c r="D20" s="44"/>
      <c r="E20" s="44"/>
      <c r="F20" s="43" t="s">
        <v>4</v>
      </c>
      <c r="G20" s="43" t="s">
        <v>4</v>
      </c>
      <c r="H20" s="43" t="s">
        <v>4</v>
      </c>
      <c r="I20" s="37">
        <f>SUM(I21:I25)</f>
        <v>0</v>
      </c>
      <c r="J20" s="37">
        <f>SUM(J21:J25)</f>
        <v>0</v>
      </c>
      <c r="K20" s="37">
        <f>SUM(K21:K25)</f>
        <v>0</v>
      </c>
      <c r="L20" s="32"/>
      <c r="AI20" s="32"/>
      <c r="AS20" s="37">
        <f>SUM(AJ21:AJ25)</f>
        <v>0</v>
      </c>
      <c r="AT20" s="37">
        <f>SUM(AK21:AK25)</f>
        <v>0</v>
      </c>
      <c r="AU20" s="37">
        <f>SUM(AL21:AL25)</f>
        <v>0</v>
      </c>
    </row>
    <row r="21" spans="1:62" ht="12.75">
      <c r="A21" s="11" t="s">
        <v>77</v>
      </c>
      <c r="B21" s="11" t="s">
        <v>78</v>
      </c>
      <c r="C21" s="11" t="s">
        <v>79</v>
      </c>
      <c r="D21" s="11"/>
      <c r="E21" s="11"/>
      <c r="F21" s="11" t="s">
        <v>80</v>
      </c>
      <c r="G21" s="38">
        <v>1.98</v>
      </c>
      <c r="H21" s="39">
        <v>0</v>
      </c>
      <c r="I21" s="39">
        <f>G21*AO21</f>
        <v>0</v>
      </c>
      <c r="J21" s="39">
        <f>G21*AP21</f>
        <v>0</v>
      </c>
      <c r="K21" s="39">
        <f>G21*H21</f>
        <v>0</v>
      </c>
      <c r="L21" s="40" t="s">
        <v>53</v>
      </c>
      <c r="Z21" s="39">
        <f>IF(AQ21="5",BJ21,0)</f>
        <v>0</v>
      </c>
      <c r="AB21" s="39">
        <f>IF(AQ21="1",BH21,0)</f>
        <v>0</v>
      </c>
      <c r="AC21" s="39">
        <f>IF(AQ21="1",BI21,0)</f>
        <v>0</v>
      </c>
      <c r="AD21" s="39">
        <f>IF(AQ21="7",BH21,0)</f>
        <v>0</v>
      </c>
      <c r="AE21" s="39">
        <f>IF(AQ21="7",BI21,0)</f>
        <v>0</v>
      </c>
      <c r="AF21" s="39">
        <f>IF(AQ21="2",BH21,0)</f>
        <v>0</v>
      </c>
      <c r="AG21" s="39">
        <f>IF(AQ21="2",BI21,0)</f>
        <v>0</v>
      </c>
      <c r="AH21" s="39">
        <f>IF(AQ21="0",BJ21,0)</f>
        <v>0</v>
      </c>
      <c r="AI21" s="32"/>
      <c r="AJ21" s="39">
        <f>IF(AN21=0,K21,0)</f>
        <v>0</v>
      </c>
      <c r="AK21" s="39">
        <f>IF(AN21=15,K21,0)</f>
        <v>0</v>
      </c>
      <c r="AL21" s="39">
        <f>IF(AN21=21,K21,0)</f>
        <v>0</v>
      </c>
      <c r="AN21" s="39">
        <v>21</v>
      </c>
      <c r="AO21" s="39">
        <f>H21*0.251947944639537</f>
        <v>0</v>
      </c>
      <c r="AP21" s="39">
        <f>H21*(1-0.251947944639537)</f>
        <v>0</v>
      </c>
      <c r="AQ21" s="40" t="s">
        <v>49</v>
      </c>
      <c r="AV21" s="39">
        <f>AW21+AX21</f>
        <v>0</v>
      </c>
      <c r="AW21" s="39">
        <f>G21*AO21</f>
        <v>0</v>
      </c>
      <c r="AX21" s="39">
        <f>G21*AP21</f>
        <v>0</v>
      </c>
      <c r="AY21" s="40" t="s">
        <v>81</v>
      </c>
      <c r="AZ21" s="40" t="s">
        <v>82</v>
      </c>
      <c r="BA21" s="32" t="s">
        <v>56</v>
      </c>
      <c r="BC21" s="39">
        <f>AW21+AX21</f>
        <v>0</v>
      </c>
      <c r="BD21" s="39">
        <f>H21/(100-BE21)*100</f>
        <v>0</v>
      </c>
      <c r="BE21" s="39">
        <v>0</v>
      </c>
      <c r="BF21" s="39">
        <f>21</f>
        <v>21</v>
      </c>
      <c r="BH21" s="39">
        <f>G21*AO21</f>
        <v>0</v>
      </c>
      <c r="BI21" s="39">
        <f>G21*AP21</f>
        <v>0</v>
      </c>
      <c r="BJ21" s="39">
        <f>G21*H21</f>
        <v>0</v>
      </c>
    </row>
    <row r="22" spans="2:12" ht="12.75" customHeight="1">
      <c r="B22" s="41" t="s">
        <v>57</v>
      </c>
      <c r="C22" s="42" t="s">
        <v>83</v>
      </c>
      <c r="D22" s="42"/>
      <c r="E22" s="42"/>
      <c r="F22" s="42"/>
      <c r="G22" s="42"/>
      <c r="H22" s="42"/>
      <c r="I22" s="42"/>
      <c r="J22" s="42"/>
      <c r="K22" s="42"/>
      <c r="L22" s="42"/>
    </row>
    <row r="23" spans="1:62" ht="12.75">
      <c r="A23" s="11" t="s">
        <v>84</v>
      </c>
      <c r="B23" s="11" t="s">
        <v>85</v>
      </c>
      <c r="C23" s="11" t="s">
        <v>86</v>
      </c>
      <c r="D23" s="11"/>
      <c r="E23" s="11"/>
      <c r="F23" s="11" t="s">
        <v>80</v>
      </c>
      <c r="G23" s="38">
        <v>1.98</v>
      </c>
      <c r="H23" s="39">
        <v>0</v>
      </c>
      <c r="I23" s="39">
        <f>G23*AO23</f>
        <v>0</v>
      </c>
      <c r="J23" s="39">
        <f>G23*AP23</f>
        <v>0</v>
      </c>
      <c r="K23" s="39">
        <f>G23*H23</f>
        <v>0</v>
      </c>
      <c r="L23" s="40" t="s">
        <v>53</v>
      </c>
      <c r="Z23" s="39">
        <f>IF(AQ23="5",BJ23,0)</f>
        <v>0</v>
      </c>
      <c r="AB23" s="39">
        <f>IF(AQ23="1",BH23,0)</f>
        <v>0</v>
      </c>
      <c r="AC23" s="39">
        <f>IF(AQ23="1",BI23,0)</f>
        <v>0</v>
      </c>
      <c r="AD23" s="39">
        <f>IF(AQ23="7",BH23,0)</f>
        <v>0</v>
      </c>
      <c r="AE23" s="39">
        <f>IF(AQ23="7",BI23,0)</f>
        <v>0</v>
      </c>
      <c r="AF23" s="39">
        <f>IF(AQ23="2",BH23,0)</f>
        <v>0</v>
      </c>
      <c r="AG23" s="39">
        <f>IF(AQ23="2",BI23,0)</f>
        <v>0</v>
      </c>
      <c r="AH23" s="39">
        <f>IF(AQ23="0",BJ23,0)</f>
        <v>0</v>
      </c>
      <c r="AI23" s="32"/>
      <c r="AJ23" s="39">
        <f>IF(AN23=0,K23,0)</f>
        <v>0</v>
      </c>
      <c r="AK23" s="39">
        <f>IF(AN23=15,K23,0)</f>
        <v>0</v>
      </c>
      <c r="AL23" s="39">
        <f>IF(AN23=21,K23,0)</f>
        <v>0</v>
      </c>
      <c r="AN23" s="39">
        <v>21</v>
      </c>
      <c r="AO23" s="39">
        <f>H23*0.096951724137931</f>
        <v>0</v>
      </c>
      <c r="AP23" s="39">
        <f>H23*(1-0.096951724137931)</f>
        <v>0</v>
      </c>
      <c r="AQ23" s="40" t="s">
        <v>49</v>
      </c>
      <c r="AV23" s="39">
        <f>AW23+AX23</f>
        <v>0</v>
      </c>
      <c r="AW23" s="39">
        <f>G23*AO23</f>
        <v>0</v>
      </c>
      <c r="AX23" s="39">
        <f>G23*AP23</f>
        <v>0</v>
      </c>
      <c r="AY23" s="40" t="s">
        <v>81</v>
      </c>
      <c r="AZ23" s="40" t="s">
        <v>82</v>
      </c>
      <c r="BA23" s="32" t="s">
        <v>56</v>
      </c>
      <c r="BC23" s="39">
        <f>AW23+AX23</f>
        <v>0</v>
      </c>
      <c r="BD23" s="39">
        <f>H23/(100-BE23)*100</f>
        <v>0</v>
      </c>
      <c r="BE23" s="39">
        <v>0</v>
      </c>
      <c r="BF23" s="39">
        <f>23</f>
        <v>23</v>
      </c>
      <c r="BH23" s="39">
        <f>G23*AO23</f>
        <v>0</v>
      </c>
      <c r="BI23" s="39">
        <f>G23*AP23</f>
        <v>0</v>
      </c>
      <c r="BJ23" s="39">
        <f>G23*H23</f>
        <v>0</v>
      </c>
    </row>
    <row r="24" spans="2:12" ht="12.75" customHeight="1">
      <c r="B24" s="41" t="s">
        <v>57</v>
      </c>
      <c r="C24" s="42" t="s">
        <v>87</v>
      </c>
      <c r="D24" s="42"/>
      <c r="E24" s="42"/>
      <c r="F24" s="42"/>
      <c r="G24" s="42"/>
      <c r="H24" s="42"/>
      <c r="I24" s="42"/>
      <c r="J24" s="42"/>
      <c r="K24" s="42"/>
      <c r="L24" s="42"/>
    </row>
    <row r="25" spans="1:62" ht="12.75">
      <c r="A25" s="11" t="s">
        <v>88</v>
      </c>
      <c r="B25" s="11" t="s">
        <v>89</v>
      </c>
      <c r="C25" s="11" t="s">
        <v>90</v>
      </c>
      <c r="D25" s="11"/>
      <c r="E25" s="11"/>
      <c r="F25" s="11" t="s">
        <v>80</v>
      </c>
      <c r="G25" s="38">
        <v>1.98</v>
      </c>
      <c r="H25" s="39">
        <v>0</v>
      </c>
      <c r="I25" s="39">
        <f>G25*AO25</f>
        <v>0</v>
      </c>
      <c r="J25" s="39">
        <f>G25*AP25</f>
        <v>0</v>
      </c>
      <c r="K25" s="39">
        <f>G25*H25</f>
        <v>0</v>
      </c>
      <c r="L25" s="40" t="s">
        <v>53</v>
      </c>
      <c r="Z25" s="39">
        <f>IF(AQ25="5",BJ25,0)</f>
        <v>0</v>
      </c>
      <c r="AB25" s="39">
        <f>IF(AQ25="1",BH25,0)</f>
        <v>0</v>
      </c>
      <c r="AC25" s="39">
        <f>IF(AQ25="1",BI25,0)</f>
        <v>0</v>
      </c>
      <c r="AD25" s="39">
        <f>IF(AQ25="7",BH25,0)</f>
        <v>0</v>
      </c>
      <c r="AE25" s="39">
        <f>IF(AQ25="7",BI25,0)</f>
        <v>0</v>
      </c>
      <c r="AF25" s="39">
        <f>IF(AQ25="2",BH25,0)</f>
        <v>0</v>
      </c>
      <c r="AG25" s="39">
        <f>IF(AQ25="2",BI25,0)</f>
        <v>0</v>
      </c>
      <c r="AH25" s="39">
        <f>IF(AQ25="0",BJ25,0)</f>
        <v>0</v>
      </c>
      <c r="AI25" s="32"/>
      <c r="AJ25" s="39">
        <f>IF(AN25=0,K25,0)</f>
        <v>0</v>
      </c>
      <c r="AK25" s="39">
        <f>IF(AN25=15,K25,0)</f>
        <v>0</v>
      </c>
      <c r="AL25" s="39">
        <f>IF(AN25=21,K25,0)</f>
        <v>0</v>
      </c>
      <c r="AN25" s="39">
        <v>21</v>
      </c>
      <c r="AO25" s="39">
        <f>H25*0.281602855288774</f>
        <v>0</v>
      </c>
      <c r="AP25" s="39">
        <f>H25*(1-0.281602855288774)</f>
        <v>0</v>
      </c>
      <c r="AQ25" s="40" t="s">
        <v>49</v>
      </c>
      <c r="AV25" s="39">
        <f>AW25+AX25</f>
        <v>0</v>
      </c>
      <c r="AW25" s="39">
        <f>G25*AO25</f>
        <v>0</v>
      </c>
      <c r="AX25" s="39">
        <f>G25*AP25</f>
        <v>0</v>
      </c>
      <c r="AY25" s="40" t="s">
        <v>81</v>
      </c>
      <c r="AZ25" s="40" t="s">
        <v>82</v>
      </c>
      <c r="BA25" s="32" t="s">
        <v>56</v>
      </c>
      <c r="BC25" s="39">
        <f>AW25+AX25</f>
        <v>0</v>
      </c>
      <c r="BD25" s="39">
        <f>H25/(100-BE25)*100</f>
        <v>0</v>
      </c>
      <c r="BE25" s="39">
        <v>0</v>
      </c>
      <c r="BF25" s="39">
        <f>25</f>
        <v>25</v>
      </c>
      <c r="BH25" s="39">
        <f>G25*AO25</f>
        <v>0</v>
      </c>
      <c r="BI25" s="39">
        <f>G25*AP25</f>
        <v>0</v>
      </c>
      <c r="BJ25" s="39">
        <f>G25*H25</f>
        <v>0</v>
      </c>
    </row>
    <row r="26" spans="2:12" ht="12.75" customHeight="1">
      <c r="B26" s="41" t="s">
        <v>57</v>
      </c>
      <c r="C26" s="42" t="s">
        <v>91</v>
      </c>
      <c r="D26" s="42"/>
      <c r="E26" s="42"/>
      <c r="F26" s="42"/>
      <c r="G26" s="42"/>
      <c r="H26" s="42"/>
      <c r="I26" s="42"/>
      <c r="J26" s="42"/>
      <c r="K26" s="42"/>
      <c r="L26" s="42"/>
    </row>
    <row r="27" spans="1:47" ht="12.75">
      <c r="A27" s="43"/>
      <c r="B27" s="44" t="s">
        <v>92</v>
      </c>
      <c r="C27" s="44" t="s">
        <v>93</v>
      </c>
      <c r="D27" s="44"/>
      <c r="E27" s="44"/>
      <c r="F27" s="43" t="s">
        <v>4</v>
      </c>
      <c r="G27" s="43" t="s">
        <v>4</v>
      </c>
      <c r="H27" s="43" t="s">
        <v>4</v>
      </c>
      <c r="I27" s="37">
        <f>SUM(I28:I28)</f>
        <v>0</v>
      </c>
      <c r="J27" s="37">
        <f>SUM(J28:J28)</f>
        <v>0</v>
      </c>
      <c r="K27" s="37">
        <f>SUM(K28:K28)</f>
        <v>0</v>
      </c>
      <c r="L27" s="32"/>
      <c r="AI27" s="32"/>
      <c r="AS27" s="37">
        <f>SUM(AJ28:AJ28)</f>
        <v>0</v>
      </c>
      <c r="AT27" s="37">
        <f>SUM(AK28:AK28)</f>
        <v>0</v>
      </c>
      <c r="AU27" s="37">
        <f>SUM(AL28:AL28)</f>
        <v>0</v>
      </c>
    </row>
    <row r="28" spans="1:62" ht="12.75">
      <c r="A28" s="11" t="s">
        <v>94</v>
      </c>
      <c r="B28" s="11" t="s">
        <v>95</v>
      </c>
      <c r="C28" s="11" t="s">
        <v>96</v>
      </c>
      <c r="D28" s="11"/>
      <c r="E28" s="11"/>
      <c r="F28" s="11" t="s">
        <v>80</v>
      </c>
      <c r="G28" s="38">
        <v>12.13</v>
      </c>
      <c r="H28" s="39">
        <v>0</v>
      </c>
      <c r="I28" s="39">
        <f>G28*AO28</f>
        <v>0</v>
      </c>
      <c r="J28" s="39">
        <f>G28*AP28</f>
        <v>0</v>
      </c>
      <c r="K28" s="39">
        <f>G28*H28</f>
        <v>0</v>
      </c>
      <c r="L28" s="40" t="s">
        <v>53</v>
      </c>
      <c r="Z28" s="39">
        <f>IF(AQ28="5",BJ28,0)</f>
        <v>0</v>
      </c>
      <c r="AB28" s="39">
        <f>IF(AQ28="1",BH28,0)</f>
        <v>0</v>
      </c>
      <c r="AC28" s="39">
        <f>IF(AQ28="1",BI28,0)</f>
        <v>0</v>
      </c>
      <c r="AD28" s="39">
        <f>IF(AQ28="7",BH28,0)</f>
        <v>0</v>
      </c>
      <c r="AE28" s="39">
        <f>IF(AQ28="7",BI28,0)</f>
        <v>0</v>
      </c>
      <c r="AF28" s="39">
        <f>IF(AQ28="2",BH28,0)</f>
        <v>0</v>
      </c>
      <c r="AG28" s="39">
        <f>IF(AQ28="2",BI28,0)</f>
        <v>0</v>
      </c>
      <c r="AH28" s="39">
        <f>IF(AQ28="0",BJ28,0)</f>
        <v>0</v>
      </c>
      <c r="AI28" s="32"/>
      <c r="AJ28" s="39">
        <f>IF(AN28=0,K28,0)</f>
        <v>0</v>
      </c>
      <c r="AK28" s="39">
        <f>IF(AN28=15,K28,0)</f>
        <v>0</v>
      </c>
      <c r="AL28" s="39">
        <f>IF(AN28=21,K28,0)</f>
        <v>0</v>
      </c>
      <c r="AN28" s="39">
        <v>21</v>
      </c>
      <c r="AO28" s="39">
        <f>H28*0.677407407407407</f>
        <v>0</v>
      </c>
      <c r="AP28" s="39">
        <f>H28*(1-0.677407407407407)</f>
        <v>0</v>
      </c>
      <c r="AQ28" s="40" t="s">
        <v>49</v>
      </c>
      <c r="AV28" s="39">
        <f>AW28+AX28</f>
        <v>0</v>
      </c>
      <c r="AW28" s="39">
        <f>G28*AO28</f>
        <v>0</v>
      </c>
      <c r="AX28" s="39">
        <f>G28*AP28</f>
        <v>0</v>
      </c>
      <c r="AY28" s="40" t="s">
        <v>97</v>
      </c>
      <c r="AZ28" s="40" t="s">
        <v>82</v>
      </c>
      <c r="BA28" s="32" t="s">
        <v>56</v>
      </c>
      <c r="BC28" s="39">
        <f>AW28+AX28</f>
        <v>0</v>
      </c>
      <c r="BD28" s="39">
        <f>H28/(100-BE28)*100</f>
        <v>0</v>
      </c>
      <c r="BE28" s="39">
        <v>0</v>
      </c>
      <c r="BF28" s="39">
        <f>28</f>
        <v>28</v>
      </c>
      <c r="BH28" s="39">
        <f>G28*AO28</f>
        <v>0</v>
      </c>
      <c r="BI28" s="39">
        <f>G28*AP28</f>
        <v>0</v>
      </c>
      <c r="BJ28" s="39">
        <f>G28*H28</f>
        <v>0</v>
      </c>
    </row>
    <row r="29" spans="2:12" ht="12.75" customHeight="1">
      <c r="B29" s="41" t="s">
        <v>57</v>
      </c>
      <c r="C29" s="42" t="s">
        <v>98</v>
      </c>
      <c r="D29" s="42"/>
      <c r="E29" s="42"/>
      <c r="F29" s="42"/>
      <c r="G29" s="42"/>
      <c r="H29" s="42"/>
      <c r="I29" s="42"/>
      <c r="J29" s="42"/>
      <c r="K29" s="42"/>
      <c r="L29" s="42"/>
    </row>
    <row r="30" spans="1:47" ht="12.75">
      <c r="A30" s="43"/>
      <c r="B30" s="44" t="s">
        <v>99</v>
      </c>
      <c r="C30" s="44" t="s">
        <v>100</v>
      </c>
      <c r="D30" s="44"/>
      <c r="E30" s="44"/>
      <c r="F30" s="43" t="s">
        <v>4</v>
      </c>
      <c r="G30" s="43" t="s">
        <v>4</v>
      </c>
      <c r="H30" s="43" t="s">
        <v>4</v>
      </c>
      <c r="I30" s="37">
        <f>SUM(I31:I31)</f>
        <v>0</v>
      </c>
      <c r="J30" s="37">
        <f>SUM(J31:J31)</f>
        <v>0</v>
      </c>
      <c r="K30" s="37">
        <f>SUM(K31:K31)</f>
        <v>0</v>
      </c>
      <c r="L30" s="32"/>
      <c r="AI30" s="32"/>
      <c r="AS30" s="37">
        <f>SUM(AJ31:AJ31)</f>
        <v>0</v>
      </c>
      <c r="AT30" s="37">
        <f>SUM(AK31:AK31)</f>
        <v>0</v>
      </c>
      <c r="AU30" s="37">
        <f>SUM(AL31:AL31)</f>
        <v>0</v>
      </c>
    </row>
    <row r="31" spans="1:62" ht="12.75">
      <c r="A31" s="11" t="s">
        <v>101</v>
      </c>
      <c r="B31" s="11" t="s">
        <v>102</v>
      </c>
      <c r="C31" s="11" t="s">
        <v>103</v>
      </c>
      <c r="D31" s="11"/>
      <c r="E31" s="11"/>
      <c r="F31" s="11" t="s">
        <v>104</v>
      </c>
      <c r="G31" s="38">
        <v>3</v>
      </c>
      <c r="H31" s="39">
        <v>0</v>
      </c>
      <c r="I31" s="39">
        <f>G31*AO31</f>
        <v>0</v>
      </c>
      <c r="J31" s="39">
        <f>G31*AP31</f>
        <v>0</v>
      </c>
      <c r="K31" s="39">
        <f>G31*H31</f>
        <v>0</v>
      </c>
      <c r="L31" s="40" t="s">
        <v>53</v>
      </c>
      <c r="Z31" s="39">
        <f>IF(AQ31="5",BJ31,0)</f>
        <v>0</v>
      </c>
      <c r="AB31" s="39">
        <f>IF(AQ31="1",BH31,0)</f>
        <v>0</v>
      </c>
      <c r="AC31" s="39">
        <f>IF(AQ31="1",BI31,0)</f>
        <v>0</v>
      </c>
      <c r="AD31" s="39">
        <f>IF(AQ31="7",BH31,0)</f>
        <v>0</v>
      </c>
      <c r="AE31" s="39">
        <f>IF(AQ31="7",BI31,0)</f>
        <v>0</v>
      </c>
      <c r="AF31" s="39">
        <f>IF(AQ31="2",BH31,0)</f>
        <v>0</v>
      </c>
      <c r="AG31" s="39">
        <f>IF(AQ31="2",BI31,0)</f>
        <v>0</v>
      </c>
      <c r="AH31" s="39">
        <f>IF(AQ31="0",BJ31,0)</f>
        <v>0</v>
      </c>
      <c r="AI31" s="32"/>
      <c r="AJ31" s="39">
        <f>IF(AN31=0,K31,0)</f>
        <v>0</v>
      </c>
      <c r="AK31" s="39">
        <f>IF(AN31=15,K31,0)</f>
        <v>0</v>
      </c>
      <c r="AL31" s="39">
        <f>IF(AN31=21,K31,0)</f>
        <v>0</v>
      </c>
      <c r="AN31" s="39">
        <v>21</v>
      </c>
      <c r="AO31" s="39">
        <f>H31*0.637358490566038</f>
        <v>0</v>
      </c>
      <c r="AP31" s="39">
        <f>H31*(1-0.637358490566038)</f>
        <v>0</v>
      </c>
      <c r="AQ31" s="40" t="s">
        <v>49</v>
      </c>
      <c r="AV31" s="39">
        <f>AW31+AX31</f>
        <v>0</v>
      </c>
      <c r="AW31" s="39">
        <f>G31*AO31</f>
        <v>0</v>
      </c>
      <c r="AX31" s="39">
        <f>G31*AP31</f>
        <v>0</v>
      </c>
      <c r="AY31" s="40" t="s">
        <v>105</v>
      </c>
      <c r="AZ31" s="40" t="s">
        <v>82</v>
      </c>
      <c r="BA31" s="32" t="s">
        <v>56</v>
      </c>
      <c r="BC31" s="39">
        <f>AW31+AX31</f>
        <v>0</v>
      </c>
      <c r="BD31" s="39">
        <f>H31/(100-BE31)*100</f>
        <v>0</v>
      </c>
      <c r="BE31" s="39">
        <v>0</v>
      </c>
      <c r="BF31" s="39">
        <f>31</f>
        <v>31</v>
      </c>
      <c r="BH31" s="39">
        <f>G31*AO31</f>
        <v>0</v>
      </c>
      <c r="BI31" s="39">
        <f>G31*AP31</f>
        <v>0</v>
      </c>
      <c r="BJ31" s="39">
        <f>G31*H31</f>
        <v>0</v>
      </c>
    </row>
    <row r="32" spans="2:12" ht="12.75" customHeight="1">
      <c r="B32" s="41" t="s">
        <v>57</v>
      </c>
      <c r="C32" s="42" t="s">
        <v>106</v>
      </c>
      <c r="D32" s="42"/>
      <c r="E32" s="42"/>
      <c r="F32" s="42"/>
      <c r="G32" s="42"/>
      <c r="H32" s="42"/>
      <c r="I32" s="42"/>
      <c r="J32" s="42"/>
      <c r="K32" s="42"/>
      <c r="L32" s="42"/>
    </row>
    <row r="33" spans="1:47" ht="12.75">
      <c r="A33" s="43"/>
      <c r="B33" s="44" t="s">
        <v>107</v>
      </c>
      <c r="C33" s="44" t="s">
        <v>108</v>
      </c>
      <c r="D33" s="44"/>
      <c r="E33" s="44"/>
      <c r="F33" s="43" t="s">
        <v>4</v>
      </c>
      <c r="G33" s="43" t="s">
        <v>4</v>
      </c>
      <c r="H33" s="43" t="s">
        <v>4</v>
      </c>
      <c r="I33" s="37">
        <f>SUM(I34:I35)</f>
        <v>0</v>
      </c>
      <c r="J33" s="37">
        <f>SUM(J34:J35)</f>
        <v>0</v>
      </c>
      <c r="K33" s="37">
        <f>SUM(K34:K35)</f>
        <v>0</v>
      </c>
      <c r="L33" s="32"/>
      <c r="AI33" s="32"/>
      <c r="AS33" s="37">
        <f>SUM(AJ34:AJ35)</f>
        <v>0</v>
      </c>
      <c r="AT33" s="37">
        <f>SUM(AK34:AK35)</f>
        <v>0</v>
      </c>
      <c r="AU33" s="37">
        <f>SUM(AL34:AL35)</f>
        <v>0</v>
      </c>
    </row>
    <row r="34" spans="1:62" ht="12.75">
      <c r="A34" s="11" t="s">
        <v>109</v>
      </c>
      <c r="B34" s="11" t="s">
        <v>110</v>
      </c>
      <c r="C34" s="11" t="s">
        <v>111</v>
      </c>
      <c r="D34" s="11"/>
      <c r="E34" s="11"/>
      <c r="F34" s="11" t="s">
        <v>69</v>
      </c>
      <c r="G34" s="38">
        <v>1</v>
      </c>
      <c r="H34" s="39">
        <v>0</v>
      </c>
      <c r="I34" s="39">
        <f>G34*AO34</f>
        <v>0</v>
      </c>
      <c r="J34" s="39">
        <f>G34*AP34</f>
        <v>0</v>
      </c>
      <c r="K34" s="39">
        <f>G34*H34</f>
        <v>0</v>
      </c>
      <c r="L34" s="40" t="s">
        <v>112</v>
      </c>
      <c r="Z34" s="39">
        <f>IF(AQ34="5",BJ34,0)</f>
        <v>0</v>
      </c>
      <c r="AB34" s="39">
        <f>IF(AQ34="1",BH34,0)</f>
        <v>0</v>
      </c>
      <c r="AC34" s="39">
        <f>IF(AQ34="1",BI34,0)</f>
        <v>0</v>
      </c>
      <c r="AD34" s="39">
        <f>IF(AQ34="7",BH34,0)</f>
        <v>0</v>
      </c>
      <c r="AE34" s="39">
        <f>IF(AQ34="7",BI34,0)</f>
        <v>0</v>
      </c>
      <c r="AF34" s="39">
        <f>IF(AQ34="2",BH34,0)</f>
        <v>0</v>
      </c>
      <c r="AG34" s="39">
        <f>IF(AQ34="2",BI34,0)</f>
        <v>0</v>
      </c>
      <c r="AH34" s="39">
        <f>IF(AQ34="0",BJ34,0)</f>
        <v>0</v>
      </c>
      <c r="AI34" s="32"/>
      <c r="AJ34" s="39">
        <f>IF(AN34=0,K34,0)</f>
        <v>0</v>
      </c>
      <c r="AK34" s="39">
        <f>IF(AN34=15,K34,0)</f>
        <v>0</v>
      </c>
      <c r="AL34" s="39">
        <f>IF(AN34=21,K34,0)</f>
        <v>0</v>
      </c>
      <c r="AN34" s="39">
        <v>21</v>
      </c>
      <c r="AO34" s="39">
        <f>H34*0</f>
        <v>0</v>
      </c>
      <c r="AP34" s="39">
        <f>H34*(1-0)</f>
        <v>0</v>
      </c>
      <c r="AQ34" s="40" t="s">
        <v>49</v>
      </c>
      <c r="AV34" s="39">
        <f>AW34+AX34</f>
        <v>0</v>
      </c>
      <c r="AW34" s="39">
        <f>G34*AO34</f>
        <v>0</v>
      </c>
      <c r="AX34" s="39">
        <f>G34*AP34</f>
        <v>0</v>
      </c>
      <c r="AY34" s="40" t="s">
        <v>113</v>
      </c>
      <c r="AZ34" s="40" t="s">
        <v>114</v>
      </c>
      <c r="BA34" s="32" t="s">
        <v>56</v>
      </c>
      <c r="BC34" s="39">
        <f>AW34+AX34</f>
        <v>0</v>
      </c>
      <c r="BD34" s="39">
        <f>H34/(100-BE34)*100</f>
        <v>0</v>
      </c>
      <c r="BE34" s="39">
        <v>0</v>
      </c>
      <c r="BF34" s="39">
        <f>34</f>
        <v>34</v>
      </c>
      <c r="BH34" s="39">
        <f>G34*AO34</f>
        <v>0</v>
      </c>
      <c r="BI34" s="39">
        <f>G34*AP34</f>
        <v>0</v>
      </c>
      <c r="BJ34" s="39">
        <f>G34*H34</f>
        <v>0</v>
      </c>
    </row>
    <row r="35" spans="1:62" ht="12.75">
      <c r="A35" s="11" t="s">
        <v>115</v>
      </c>
      <c r="B35" s="11" t="s">
        <v>110</v>
      </c>
      <c r="C35" s="11" t="s">
        <v>116</v>
      </c>
      <c r="D35" s="11"/>
      <c r="E35" s="11"/>
      <c r="F35" s="11" t="s">
        <v>69</v>
      </c>
      <c r="G35" s="38">
        <v>1</v>
      </c>
      <c r="H35" s="39">
        <v>0</v>
      </c>
      <c r="I35" s="39">
        <f>G35*AO35</f>
        <v>0</v>
      </c>
      <c r="J35" s="39">
        <f>G35*AP35</f>
        <v>0</v>
      </c>
      <c r="K35" s="39">
        <f>G35*H35</f>
        <v>0</v>
      </c>
      <c r="L35" s="40" t="s">
        <v>112</v>
      </c>
      <c r="Z35" s="39">
        <f>IF(AQ35="5",BJ35,0)</f>
        <v>0</v>
      </c>
      <c r="AB35" s="39">
        <f>IF(AQ35="1",BH35,0)</f>
        <v>0</v>
      </c>
      <c r="AC35" s="39">
        <f>IF(AQ35="1",BI35,0)</f>
        <v>0</v>
      </c>
      <c r="AD35" s="39">
        <f>IF(AQ35="7",BH35,0)</f>
        <v>0</v>
      </c>
      <c r="AE35" s="39">
        <f>IF(AQ35="7",BI35,0)</f>
        <v>0</v>
      </c>
      <c r="AF35" s="39">
        <f>IF(AQ35="2",BH35,0)</f>
        <v>0</v>
      </c>
      <c r="AG35" s="39">
        <f>IF(AQ35="2",BI35,0)</f>
        <v>0</v>
      </c>
      <c r="AH35" s="39">
        <f>IF(AQ35="0",BJ35,0)</f>
        <v>0</v>
      </c>
      <c r="AI35" s="32"/>
      <c r="AJ35" s="39">
        <f>IF(AN35=0,K35,0)</f>
        <v>0</v>
      </c>
      <c r="AK35" s="39">
        <f>IF(AN35=15,K35,0)</f>
        <v>0</v>
      </c>
      <c r="AL35" s="39">
        <f>IF(AN35=21,K35,0)</f>
        <v>0</v>
      </c>
      <c r="AN35" s="39">
        <v>21</v>
      </c>
      <c r="AO35" s="39">
        <f>H35*0.3</f>
        <v>0</v>
      </c>
      <c r="AP35" s="39">
        <f>H35*(1-0.3)</f>
        <v>0</v>
      </c>
      <c r="AQ35" s="40" t="s">
        <v>49</v>
      </c>
      <c r="AV35" s="39">
        <f>AW35+AX35</f>
        <v>0</v>
      </c>
      <c r="AW35" s="39">
        <f>G35*AO35</f>
        <v>0</v>
      </c>
      <c r="AX35" s="39">
        <f>G35*AP35</f>
        <v>0</v>
      </c>
      <c r="AY35" s="40" t="s">
        <v>113</v>
      </c>
      <c r="AZ35" s="40" t="s">
        <v>114</v>
      </c>
      <c r="BA35" s="32" t="s">
        <v>56</v>
      </c>
      <c r="BC35" s="39">
        <f>AW35+AX35</f>
        <v>0</v>
      </c>
      <c r="BD35" s="39">
        <f>H35/(100-BE35)*100</f>
        <v>0</v>
      </c>
      <c r="BE35" s="39">
        <v>0</v>
      </c>
      <c r="BF35" s="39">
        <f>35</f>
        <v>35</v>
      </c>
      <c r="BH35" s="39">
        <f>G35*AO35</f>
        <v>0</v>
      </c>
      <c r="BI35" s="39">
        <f>G35*AP35</f>
        <v>0</v>
      </c>
      <c r="BJ35" s="39">
        <f>G35*H35</f>
        <v>0</v>
      </c>
    </row>
    <row r="36" spans="2:12" ht="12.75" customHeight="1">
      <c r="B36" s="41" t="s">
        <v>57</v>
      </c>
      <c r="C36" s="42" t="s">
        <v>117</v>
      </c>
      <c r="D36" s="42"/>
      <c r="E36" s="42"/>
      <c r="F36" s="42"/>
      <c r="G36" s="42"/>
      <c r="H36" s="42"/>
      <c r="I36" s="42"/>
      <c r="J36" s="42"/>
      <c r="K36" s="42"/>
      <c r="L36" s="42"/>
    </row>
    <row r="37" spans="1:47" ht="12.75">
      <c r="A37" s="43"/>
      <c r="B37" s="44" t="s">
        <v>118</v>
      </c>
      <c r="C37" s="44" t="s">
        <v>119</v>
      </c>
      <c r="D37" s="44"/>
      <c r="E37" s="44"/>
      <c r="F37" s="43" t="s">
        <v>4</v>
      </c>
      <c r="G37" s="43" t="s">
        <v>4</v>
      </c>
      <c r="H37" s="43" t="s">
        <v>4</v>
      </c>
      <c r="I37" s="37">
        <f>SUM(I38:I38)</f>
        <v>0</v>
      </c>
      <c r="J37" s="37">
        <f>SUM(J38:J38)</f>
        <v>0</v>
      </c>
      <c r="K37" s="37">
        <f>SUM(K38:K38)</f>
        <v>0</v>
      </c>
      <c r="L37" s="32"/>
      <c r="AI37" s="32"/>
      <c r="AS37" s="37">
        <f>SUM(AJ38:AJ38)</f>
        <v>0</v>
      </c>
      <c r="AT37" s="37">
        <f>SUM(AK38:AK38)</f>
        <v>0</v>
      </c>
      <c r="AU37" s="37">
        <f>SUM(AL38:AL38)</f>
        <v>0</v>
      </c>
    </row>
    <row r="38" spans="1:62" ht="12.75">
      <c r="A38" s="11" t="s">
        <v>120</v>
      </c>
      <c r="B38" s="11" t="s">
        <v>121</v>
      </c>
      <c r="C38" s="11" t="s">
        <v>122</v>
      </c>
      <c r="D38" s="11"/>
      <c r="E38" s="11"/>
      <c r="F38" s="11" t="s">
        <v>52</v>
      </c>
      <c r="G38" s="38">
        <v>1.168</v>
      </c>
      <c r="H38" s="39">
        <v>0</v>
      </c>
      <c r="I38" s="39">
        <f>G38*AO38</f>
        <v>0</v>
      </c>
      <c r="J38" s="39">
        <f>G38*AP38</f>
        <v>0</v>
      </c>
      <c r="K38" s="39">
        <f>G38*H38</f>
        <v>0</v>
      </c>
      <c r="L38" s="40" t="s">
        <v>53</v>
      </c>
      <c r="Z38" s="39">
        <f>IF(AQ38="5",BJ38,0)</f>
        <v>0</v>
      </c>
      <c r="AB38" s="39">
        <f>IF(AQ38="1",BH38,0)</f>
        <v>0</v>
      </c>
      <c r="AC38" s="39">
        <f>IF(AQ38="1",BI38,0)</f>
        <v>0</v>
      </c>
      <c r="AD38" s="39">
        <f>IF(AQ38="7",BH38,0)</f>
        <v>0</v>
      </c>
      <c r="AE38" s="39">
        <f>IF(AQ38="7",BI38,0)</f>
        <v>0</v>
      </c>
      <c r="AF38" s="39">
        <f>IF(AQ38="2",BH38,0)</f>
        <v>0</v>
      </c>
      <c r="AG38" s="39">
        <f>IF(AQ38="2",BI38,0)</f>
        <v>0</v>
      </c>
      <c r="AH38" s="39">
        <f>IF(AQ38="0",BJ38,0)</f>
        <v>0</v>
      </c>
      <c r="AI38" s="32"/>
      <c r="AJ38" s="39">
        <f>IF(AN38=0,K38,0)</f>
        <v>0</v>
      </c>
      <c r="AK38" s="39">
        <f>IF(AN38=15,K38,0)</f>
        <v>0</v>
      </c>
      <c r="AL38" s="39">
        <f>IF(AN38=21,K38,0)</f>
        <v>0</v>
      </c>
      <c r="AN38" s="39">
        <v>21</v>
      </c>
      <c r="AO38" s="39">
        <f>H38*0</f>
        <v>0</v>
      </c>
      <c r="AP38" s="39">
        <f>H38*(1-0)</f>
        <v>0</v>
      </c>
      <c r="AQ38" s="40" t="s">
        <v>77</v>
      </c>
      <c r="AV38" s="39">
        <f>AW38+AX38</f>
        <v>0</v>
      </c>
      <c r="AW38" s="39">
        <f>G38*AO38</f>
        <v>0</v>
      </c>
      <c r="AX38" s="39">
        <f>G38*AP38</f>
        <v>0</v>
      </c>
      <c r="AY38" s="40" t="s">
        <v>123</v>
      </c>
      <c r="AZ38" s="40" t="s">
        <v>114</v>
      </c>
      <c r="BA38" s="32" t="s">
        <v>56</v>
      </c>
      <c r="BC38" s="39">
        <f>AW38+AX38</f>
        <v>0</v>
      </c>
      <c r="BD38" s="39">
        <f>H38/(100-BE38)*100</f>
        <v>0</v>
      </c>
      <c r="BE38" s="39">
        <v>0</v>
      </c>
      <c r="BF38" s="39">
        <f>38</f>
        <v>38</v>
      </c>
      <c r="BH38" s="39">
        <f>G38*AO38</f>
        <v>0</v>
      </c>
      <c r="BI38" s="39">
        <f>G38*AP38</f>
        <v>0</v>
      </c>
      <c r="BJ38" s="39">
        <f>G38*H38</f>
        <v>0</v>
      </c>
    </row>
    <row r="39" spans="1:47" ht="12.75">
      <c r="A39" s="43"/>
      <c r="B39" s="44" t="s">
        <v>124</v>
      </c>
      <c r="C39" s="44" t="s">
        <v>125</v>
      </c>
      <c r="D39" s="44"/>
      <c r="E39" s="44"/>
      <c r="F39" s="43" t="s">
        <v>4</v>
      </c>
      <c r="G39" s="43" t="s">
        <v>4</v>
      </c>
      <c r="H39" s="43" t="s">
        <v>4</v>
      </c>
      <c r="I39" s="37">
        <f>SUM(I40:I68)</f>
        <v>0</v>
      </c>
      <c r="J39" s="37">
        <f>SUM(J40:J68)</f>
        <v>0</v>
      </c>
      <c r="K39" s="37">
        <f>SUM(K40:K68)</f>
        <v>0</v>
      </c>
      <c r="L39" s="32"/>
      <c r="AI39" s="32"/>
      <c r="AS39" s="37">
        <f>SUM(AJ40:AJ68)</f>
        <v>0</v>
      </c>
      <c r="AT39" s="37">
        <f>SUM(AK40:AK68)</f>
        <v>0</v>
      </c>
      <c r="AU39" s="37">
        <f>SUM(AL40:AL68)</f>
        <v>0</v>
      </c>
    </row>
    <row r="40" spans="1:62" ht="12.75">
      <c r="A40" s="11" t="s">
        <v>126</v>
      </c>
      <c r="B40" s="11" t="s">
        <v>127</v>
      </c>
      <c r="C40" s="11" t="s">
        <v>128</v>
      </c>
      <c r="D40" s="11"/>
      <c r="E40" s="11"/>
      <c r="F40" s="11" t="s">
        <v>80</v>
      </c>
      <c r="G40" s="38">
        <v>2.25</v>
      </c>
      <c r="H40" s="39">
        <v>0</v>
      </c>
      <c r="I40" s="39">
        <f>G40*AO40</f>
        <v>0</v>
      </c>
      <c r="J40" s="39">
        <f>G40*AP40</f>
        <v>0</v>
      </c>
      <c r="K40" s="39">
        <f>G40*H40</f>
        <v>0</v>
      </c>
      <c r="L40" s="40" t="s">
        <v>53</v>
      </c>
      <c r="Z40" s="39">
        <f>IF(AQ40="5",BJ40,0)</f>
        <v>0</v>
      </c>
      <c r="AB40" s="39">
        <f>IF(AQ40="1",BH40,0)</f>
        <v>0</v>
      </c>
      <c r="AC40" s="39">
        <f>IF(AQ40="1",BI40,0)</f>
        <v>0</v>
      </c>
      <c r="AD40" s="39">
        <f>IF(AQ40="7",BH40,0)</f>
        <v>0</v>
      </c>
      <c r="AE40" s="39">
        <f>IF(AQ40="7",BI40,0)</f>
        <v>0</v>
      </c>
      <c r="AF40" s="39">
        <f>IF(AQ40="2",BH40,0)</f>
        <v>0</v>
      </c>
      <c r="AG40" s="39">
        <f>IF(AQ40="2",BI40,0)</f>
        <v>0</v>
      </c>
      <c r="AH40" s="39">
        <f>IF(AQ40="0",BJ40,0)</f>
        <v>0</v>
      </c>
      <c r="AI40" s="32"/>
      <c r="AJ40" s="39">
        <f>IF(AN40=0,K40,0)</f>
        <v>0</v>
      </c>
      <c r="AK40" s="39">
        <f>IF(AN40=15,K40,0)</f>
        <v>0</v>
      </c>
      <c r="AL40" s="39">
        <f>IF(AN40=21,K40,0)</f>
        <v>0</v>
      </c>
      <c r="AN40" s="39">
        <v>21</v>
      </c>
      <c r="AO40" s="39">
        <f>H40*0.129736913849509</f>
        <v>0</v>
      </c>
      <c r="AP40" s="39">
        <f>H40*(1-0.129736913849509)</f>
        <v>0</v>
      </c>
      <c r="AQ40" s="40" t="s">
        <v>49</v>
      </c>
      <c r="AV40" s="39">
        <f>AW40+AX40</f>
        <v>0</v>
      </c>
      <c r="AW40" s="39">
        <f>G40*AO40</f>
        <v>0</v>
      </c>
      <c r="AX40" s="39">
        <f>G40*AP40</f>
        <v>0</v>
      </c>
      <c r="AY40" s="40" t="s">
        <v>129</v>
      </c>
      <c r="AZ40" s="40" t="s">
        <v>114</v>
      </c>
      <c r="BA40" s="32" t="s">
        <v>56</v>
      </c>
      <c r="BC40" s="39">
        <f>AW40+AX40</f>
        <v>0</v>
      </c>
      <c r="BD40" s="39">
        <f>H40/(100-BE40)*100</f>
        <v>0</v>
      </c>
      <c r="BE40" s="39">
        <v>0</v>
      </c>
      <c r="BF40" s="39">
        <f>40</f>
        <v>40</v>
      </c>
      <c r="BH40" s="39">
        <f>G40*AO40</f>
        <v>0</v>
      </c>
      <c r="BI40" s="39">
        <f>G40*AP40</f>
        <v>0</v>
      </c>
      <c r="BJ40" s="39">
        <f>G40*H40</f>
        <v>0</v>
      </c>
    </row>
    <row r="41" spans="1:62" ht="12.75">
      <c r="A41" s="11" t="s">
        <v>130</v>
      </c>
      <c r="B41" s="11" t="s">
        <v>131</v>
      </c>
      <c r="C41" s="11" t="s">
        <v>132</v>
      </c>
      <c r="D41" s="11"/>
      <c r="E41" s="11"/>
      <c r="F41" s="11" t="s">
        <v>62</v>
      </c>
      <c r="G41" s="38">
        <v>1.1</v>
      </c>
      <c r="H41" s="39">
        <v>0</v>
      </c>
      <c r="I41" s="39">
        <f>G41*AO41</f>
        <v>0</v>
      </c>
      <c r="J41" s="39">
        <f>G41*AP41</f>
        <v>0</v>
      </c>
      <c r="K41" s="39">
        <f>G41*H41</f>
        <v>0</v>
      </c>
      <c r="L41" s="40" t="s">
        <v>53</v>
      </c>
      <c r="Z41" s="39">
        <f>IF(AQ41="5",BJ41,0)</f>
        <v>0</v>
      </c>
      <c r="AB41" s="39">
        <f>IF(AQ41="1",BH41,0)</f>
        <v>0</v>
      </c>
      <c r="AC41" s="39">
        <f>IF(AQ41="1",BI41,0)</f>
        <v>0</v>
      </c>
      <c r="AD41" s="39">
        <f>IF(AQ41="7",BH41,0)</f>
        <v>0</v>
      </c>
      <c r="AE41" s="39">
        <f>IF(AQ41="7",BI41,0)</f>
        <v>0</v>
      </c>
      <c r="AF41" s="39">
        <f>IF(AQ41="2",BH41,0)</f>
        <v>0</v>
      </c>
      <c r="AG41" s="39">
        <f>IF(AQ41="2",BI41,0)</f>
        <v>0</v>
      </c>
      <c r="AH41" s="39">
        <f>IF(AQ41="0",BJ41,0)</f>
        <v>0</v>
      </c>
      <c r="AI41" s="32"/>
      <c r="AJ41" s="39">
        <f>IF(AN41=0,K41,0)</f>
        <v>0</v>
      </c>
      <c r="AK41" s="39">
        <f>IF(AN41=15,K41,0)</f>
        <v>0</v>
      </c>
      <c r="AL41" s="39">
        <f>IF(AN41=21,K41,0)</f>
        <v>0</v>
      </c>
      <c r="AN41" s="39">
        <v>21</v>
      </c>
      <c r="AO41" s="39">
        <f>H41*0</f>
        <v>0</v>
      </c>
      <c r="AP41" s="39">
        <f>H41*(1-0)</f>
        <v>0</v>
      </c>
      <c r="AQ41" s="40" t="s">
        <v>49</v>
      </c>
      <c r="AV41" s="39">
        <f>AW41+AX41</f>
        <v>0</v>
      </c>
      <c r="AW41" s="39">
        <f>G41*AO41</f>
        <v>0</v>
      </c>
      <c r="AX41" s="39">
        <f>G41*AP41</f>
        <v>0</v>
      </c>
      <c r="AY41" s="40" t="s">
        <v>129</v>
      </c>
      <c r="AZ41" s="40" t="s">
        <v>114</v>
      </c>
      <c r="BA41" s="32" t="s">
        <v>56</v>
      </c>
      <c r="BC41" s="39">
        <f>AW41+AX41</f>
        <v>0</v>
      </c>
      <c r="BD41" s="39">
        <f>H41/(100-BE41)*100</f>
        <v>0</v>
      </c>
      <c r="BE41" s="39">
        <v>0</v>
      </c>
      <c r="BF41" s="39">
        <f>41</f>
        <v>41</v>
      </c>
      <c r="BH41" s="39">
        <f>G41*AO41</f>
        <v>0</v>
      </c>
      <c r="BI41" s="39">
        <f>G41*AP41</f>
        <v>0</v>
      </c>
      <c r="BJ41" s="39">
        <f>G41*H41</f>
        <v>0</v>
      </c>
    </row>
    <row r="42" spans="1:62" ht="12.75">
      <c r="A42" s="11" t="s">
        <v>133</v>
      </c>
      <c r="B42" s="11" t="s">
        <v>134</v>
      </c>
      <c r="C42" s="11" t="s">
        <v>135</v>
      </c>
      <c r="D42" s="11"/>
      <c r="E42" s="11"/>
      <c r="F42" s="11" t="s">
        <v>52</v>
      </c>
      <c r="G42" s="38">
        <v>0.127</v>
      </c>
      <c r="H42" s="39">
        <v>0</v>
      </c>
      <c r="I42" s="39">
        <f>G42*AO42</f>
        <v>0</v>
      </c>
      <c r="J42" s="39">
        <f>G42*AP42</f>
        <v>0</v>
      </c>
      <c r="K42" s="39">
        <f>G42*H42</f>
        <v>0</v>
      </c>
      <c r="L42" s="40" t="s">
        <v>53</v>
      </c>
      <c r="Z42" s="39">
        <f>IF(AQ42="5",BJ42,0)</f>
        <v>0</v>
      </c>
      <c r="AB42" s="39">
        <f>IF(AQ42="1",BH42,0)</f>
        <v>0</v>
      </c>
      <c r="AC42" s="39">
        <f>IF(AQ42="1",BI42,0)</f>
        <v>0</v>
      </c>
      <c r="AD42" s="39">
        <f>IF(AQ42="7",BH42,0)</f>
        <v>0</v>
      </c>
      <c r="AE42" s="39">
        <f>IF(AQ42="7",BI42,0)</f>
        <v>0</v>
      </c>
      <c r="AF42" s="39">
        <f>IF(AQ42="2",BH42,0)</f>
        <v>0</v>
      </c>
      <c r="AG42" s="39">
        <f>IF(AQ42="2",BI42,0)</f>
        <v>0</v>
      </c>
      <c r="AH42" s="39">
        <f>IF(AQ42="0",BJ42,0)</f>
        <v>0</v>
      </c>
      <c r="AI42" s="32"/>
      <c r="AJ42" s="39">
        <f>IF(AN42=0,K42,0)</f>
        <v>0</v>
      </c>
      <c r="AK42" s="39">
        <f>IF(AN42=15,K42,0)</f>
        <v>0</v>
      </c>
      <c r="AL42" s="39">
        <f>IF(AN42=21,K42,0)</f>
        <v>0</v>
      </c>
      <c r="AN42" s="39">
        <v>21</v>
      </c>
      <c r="AO42" s="39">
        <f>H42*0.0951908196150161</f>
        <v>0</v>
      </c>
      <c r="AP42" s="39">
        <f>H42*(1-0.0951908196150161)</f>
        <v>0</v>
      </c>
      <c r="AQ42" s="40" t="s">
        <v>49</v>
      </c>
      <c r="AV42" s="39">
        <f>AW42+AX42</f>
        <v>0</v>
      </c>
      <c r="AW42" s="39">
        <f>G42*AO42</f>
        <v>0</v>
      </c>
      <c r="AX42" s="39">
        <f>G42*AP42</f>
        <v>0</v>
      </c>
      <c r="AY42" s="40" t="s">
        <v>129</v>
      </c>
      <c r="AZ42" s="40" t="s">
        <v>114</v>
      </c>
      <c r="BA42" s="32" t="s">
        <v>56</v>
      </c>
      <c r="BC42" s="39">
        <f>AW42+AX42</f>
        <v>0</v>
      </c>
      <c r="BD42" s="39">
        <f>H42/(100-BE42)*100</f>
        <v>0</v>
      </c>
      <c r="BE42" s="39">
        <v>0</v>
      </c>
      <c r="BF42" s="39">
        <f>42</f>
        <v>42</v>
      </c>
      <c r="BH42" s="39">
        <f>G42*AO42</f>
        <v>0</v>
      </c>
      <c r="BI42" s="39">
        <f>G42*AP42</f>
        <v>0</v>
      </c>
      <c r="BJ42" s="39">
        <f>G42*H42</f>
        <v>0</v>
      </c>
    </row>
    <row r="43" spans="1:62" ht="12.75">
      <c r="A43" s="11" t="s">
        <v>136</v>
      </c>
      <c r="B43" s="11" t="s">
        <v>137</v>
      </c>
      <c r="C43" s="11" t="s">
        <v>138</v>
      </c>
      <c r="D43" s="11"/>
      <c r="E43" s="11"/>
      <c r="F43" s="11" t="s">
        <v>80</v>
      </c>
      <c r="G43" s="38">
        <v>290</v>
      </c>
      <c r="H43" s="39">
        <v>0</v>
      </c>
      <c r="I43" s="39">
        <f>G43*AO43</f>
        <v>0</v>
      </c>
      <c r="J43" s="39">
        <f>G43*AP43</f>
        <v>0</v>
      </c>
      <c r="K43" s="39">
        <f>G43*H43</f>
        <v>0</v>
      </c>
      <c r="L43" s="40" t="s">
        <v>53</v>
      </c>
      <c r="Z43" s="39">
        <f>IF(AQ43="5",BJ43,0)</f>
        <v>0</v>
      </c>
      <c r="AB43" s="39">
        <f>IF(AQ43="1",BH43,0)</f>
        <v>0</v>
      </c>
      <c r="AC43" s="39">
        <f>IF(AQ43="1",BI43,0)</f>
        <v>0</v>
      </c>
      <c r="AD43" s="39">
        <f>IF(AQ43="7",BH43,0)</f>
        <v>0</v>
      </c>
      <c r="AE43" s="39">
        <f>IF(AQ43="7",BI43,0)</f>
        <v>0</v>
      </c>
      <c r="AF43" s="39">
        <f>IF(AQ43="2",BH43,0)</f>
        <v>0</v>
      </c>
      <c r="AG43" s="39">
        <f>IF(AQ43="2",BI43,0)</f>
        <v>0</v>
      </c>
      <c r="AH43" s="39">
        <f>IF(AQ43="0",BJ43,0)</f>
        <v>0</v>
      </c>
      <c r="AI43" s="32"/>
      <c r="AJ43" s="39">
        <f>IF(AN43=0,K43,0)</f>
        <v>0</v>
      </c>
      <c r="AK43" s="39">
        <f>IF(AN43=15,K43,0)</f>
        <v>0</v>
      </c>
      <c r="AL43" s="39">
        <f>IF(AN43=21,K43,0)</f>
        <v>0</v>
      </c>
      <c r="AN43" s="39">
        <v>21</v>
      </c>
      <c r="AO43" s="39">
        <f>H43*0</f>
        <v>0</v>
      </c>
      <c r="AP43" s="39">
        <f>H43*(1-0)</f>
        <v>0</v>
      </c>
      <c r="AQ43" s="40" t="s">
        <v>49</v>
      </c>
      <c r="AV43" s="39">
        <f>AW43+AX43</f>
        <v>0</v>
      </c>
      <c r="AW43" s="39">
        <f>G43*AO43</f>
        <v>0</v>
      </c>
      <c r="AX43" s="39">
        <f>G43*AP43</f>
        <v>0</v>
      </c>
      <c r="AY43" s="40" t="s">
        <v>129</v>
      </c>
      <c r="AZ43" s="40" t="s">
        <v>114</v>
      </c>
      <c r="BA43" s="32" t="s">
        <v>56</v>
      </c>
      <c r="BC43" s="39">
        <f>AW43+AX43</f>
        <v>0</v>
      </c>
      <c r="BD43" s="39">
        <f>H43/(100-BE43)*100</f>
        <v>0</v>
      </c>
      <c r="BE43" s="39">
        <v>0</v>
      </c>
      <c r="BF43" s="39">
        <f>43</f>
        <v>43</v>
      </c>
      <c r="BH43" s="39">
        <f>G43*AO43</f>
        <v>0</v>
      </c>
      <c r="BI43" s="39">
        <f>G43*AP43</f>
        <v>0</v>
      </c>
      <c r="BJ43" s="39">
        <f>G43*H43</f>
        <v>0</v>
      </c>
    </row>
    <row r="44" spans="2:12" ht="12.75" customHeight="1">
      <c r="B44" s="41" t="s">
        <v>57</v>
      </c>
      <c r="C44" s="42" t="s">
        <v>139</v>
      </c>
      <c r="D44" s="42"/>
      <c r="E44" s="42"/>
      <c r="F44" s="42"/>
      <c r="G44" s="42"/>
      <c r="H44" s="42"/>
      <c r="I44" s="42"/>
      <c r="J44" s="42"/>
      <c r="K44" s="42"/>
      <c r="L44" s="42"/>
    </row>
    <row r="45" spans="1:62" ht="12.75">
      <c r="A45" s="11" t="s">
        <v>140</v>
      </c>
      <c r="B45" s="11" t="s">
        <v>141</v>
      </c>
      <c r="C45" s="11" t="s">
        <v>142</v>
      </c>
      <c r="D45" s="11"/>
      <c r="E45" s="11"/>
      <c r="F45" s="11" t="s">
        <v>104</v>
      </c>
      <c r="G45" s="38">
        <v>80</v>
      </c>
      <c r="H45" s="39">
        <v>0</v>
      </c>
      <c r="I45" s="39">
        <f>G45*AO45</f>
        <v>0</v>
      </c>
      <c r="J45" s="39">
        <f>G45*AP45</f>
        <v>0</v>
      </c>
      <c r="K45" s="39">
        <f>G45*H45</f>
        <v>0</v>
      </c>
      <c r="L45" s="40" t="s">
        <v>53</v>
      </c>
      <c r="Z45" s="39">
        <f>IF(AQ45="5",BJ45,0)</f>
        <v>0</v>
      </c>
      <c r="AB45" s="39">
        <f>IF(AQ45="1",BH45,0)</f>
        <v>0</v>
      </c>
      <c r="AC45" s="39">
        <f>IF(AQ45="1",BI45,0)</f>
        <v>0</v>
      </c>
      <c r="AD45" s="39">
        <f>IF(AQ45="7",BH45,0)</f>
        <v>0</v>
      </c>
      <c r="AE45" s="39">
        <f>IF(AQ45="7",BI45,0)</f>
        <v>0</v>
      </c>
      <c r="AF45" s="39">
        <f>IF(AQ45="2",BH45,0)</f>
        <v>0</v>
      </c>
      <c r="AG45" s="39">
        <f>IF(AQ45="2",BI45,0)</f>
        <v>0</v>
      </c>
      <c r="AH45" s="39">
        <f>IF(AQ45="0",BJ45,0)</f>
        <v>0</v>
      </c>
      <c r="AI45" s="32"/>
      <c r="AJ45" s="39">
        <f>IF(AN45=0,K45,0)</f>
        <v>0</v>
      </c>
      <c r="AK45" s="39">
        <f>IF(AN45=15,K45,0)</f>
        <v>0</v>
      </c>
      <c r="AL45" s="39">
        <f>IF(AN45=21,K45,0)</f>
        <v>0</v>
      </c>
      <c r="AN45" s="39">
        <v>21</v>
      </c>
      <c r="AO45" s="39">
        <f>H45*0</f>
        <v>0</v>
      </c>
      <c r="AP45" s="39">
        <f>H45*(1-0)</f>
        <v>0</v>
      </c>
      <c r="AQ45" s="40" t="s">
        <v>49</v>
      </c>
      <c r="AV45" s="39">
        <f>AW45+AX45</f>
        <v>0</v>
      </c>
      <c r="AW45" s="39">
        <f>G45*AO45</f>
        <v>0</v>
      </c>
      <c r="AX45" s="39">
        <f>G45*AP45</f>
        <v>0</v>
      </c>
      <c r="AY45" s="40" t="s">
        <v>129</v>
      </c>
      <c r="AZ45" s="40" t="s">
        <v>114</v>
      </c>
      <c r="BA45" s="32" t="s">
        <v>56</v>
      </c>
      <c r="BC45" s="39">
        <f>AW45+AX45</f>
        <v>0</v>
      </c>
      <c r="BD45" s="39">
        <f>H45/(100-BE45)*100</f>
        <v>0</v>
      </c>
      <c r="BE45" s="39">
        <v>0</v>
      </c>
      <c r="BF45" s="39">
        <f>45</f>
        <v>45</v>
      </c>
      <c r="BH45" s="39">
        <f>G45*AO45</f>
        <v>0</v>
      </c>
      <c r="BI45" s="39">
        <f>G45*AP45</f>
        <v>0</v>
      </c>
      <c r="BJ45" s="39">
        <f>G45*H45</f>
        <v>0</v>
      </c>
    </row>
    <row r="46" spans="2:12" ht="12.75" customHeight="1">
      <c r="B46" s="41" t="s">
        <v>57</v>
      </c>
      <c r="C46" s="42" t="s">
        <v>139</v>
      </c>
      <c r="D46" s="42"/>
      <c r="E46" s="42"/>
      <c r="F46" s="42"/>
      <c r="G46" s="42"/>
      <c r="H46" s="42"/>
      <c r="I46" s="42"/>
      <c r="J46" s="42"/>
      <c r="K46" s="42"/>
      <c r="L46" s="42"/>
    </row>
    <row r="47" spans="1:62" ht="12.75">
      <c r="A47" s="11" t="s">
        <v>143</v>
      </c>
      <c r="B47" s="11" t="s">
        <v>144</v>
      </c>
      <c r="C47" s="11" t="s">
        <v>145</v>
      </c>
      <c r="D47" s="11"/>
      <c r="E47" s="11"/>
      <c r="F47" s="11" t="s">
        <v>104</v>
      </c>
      <c r="G47" s="38">
        <v>40</v>
      </c>
      <c r="H47" s="39">
        <v>0</v>
      </c>
      <c r="I47" s="39">
        <f>G47*AO47</f>
        <v>0</v>
      </c>
      <c r="J47" s="39">
        <f>G47*AP47</f>
        <v>0</v>
      </c>
      <c r="K47" s="39">
        <f>G47*H47</f>
        <v>0</v>
      </c>
      <c r="L47" s="40" t="s">
        <v>53</v>
      </c>
      <c r="Z47" s="39">
        <f>IF(AQ47="5",BJ47,0)</f>
        <v>0</v>
      </c>
      <c r="AB47" s="39">
        <f>IF(AQ47="1",BH47,0)</f>
        <v>0</v>
      </c>
      <c r="AC47" s="39">
        <f>IF(AQ47="1",BI47,0)</f>
        <v>0</v>
      </c>
      <c r="AD47" s="39">
        <f>IF(AQ47="7",BH47,0)</f>
        <v>0</v>
      </c>
      <c r="AE47" s="39">
        <f>IF(AQ47="7",BI47,0)</f>
        <v>0</v>
      </c>
      <c r="AF47" s="39">
        <f>IF(AQ47="2",BH47,0)</f>
        <v>0</v>
      </c>
      <c r="AG47" s="39">
        <f>IF(AQ47="2",BI47,0)</f>
        <v>0</v>
      </c>
      <c r="AH47" s="39">
        <f>IF(AQ47="0",BJ47,0)</f>
        <v>0</v>
      </c>
      <c r="AI47" s="32"/>
      <c r="AJ47" s="39">
        <f>IF(AN47=0,K47,0)</f>
        <v>0</v>
      </c>
      <c r="AK47" s="39">
        <f>IF(AN47=15,K47,0)</f>
        <v>0</v>
      </c>
      <c r="AL47" s="39">
        <f>IF(AN47=21,K47,0)</f>
        <v>0</v>
      </c>
      <c r="AN47" s="39">
        <v>21</v>
      </c>
      <c r="AO47" s="39">
        <f>H47*0</f>
        <v>0</v>
      </c>
      <c r="AP47" s="39">
        <f>H47*(1-0)</f>
        <v>0</v>
      </c>
      <c r="AQ47" s="40" t="s">
        <v>49</v>
      </c>
      <c r="AV47" s="39">
        <f>AW47+AX47</f>
        <v>0</v>
      </c>
      <c r="AW47" s="39">
        <f>G47*AO47</f>
        <v>0</v>
      </c>
      <c r="AX47" s="39">
        <f>G47*AP47</f>
        <v>0</v>
      </c>
      <c r="AY47" s="40" t="s">
        <v>129</v>
      </c>
      <c r="AZ47" s="40" t="s">
        <v>114</v>
      </c>
      <c r="BA47" s="32" t="s">
        <v>56</v>
      </c>
      <c r="BC47" s="39">
        <f>AW47+AX47</f>
        <v>0</v>
      </c>
      <c r="BD47" s="39">
        <f>H47/(100-BE47)*100</f>
        <v>0</v>
      </c>
      <c r="BE47" s="39">
        <v>0</v>
      </c>
      <c r="BF47" s="39">
        <f>47</f>
        <v>47</v>
      </c>
      <c r="BH47" s="39">
        <f>G47*AO47</f>
        <v>0</v>
      </c>
      <c r="BI47" s="39">
        <f>G47*AP47</f>
        <v>0</v>
      </c>
      <c r="BJ47" s="39">
        <f>G47*H47</f>
        <v>0</v>
      </c>
    </row>
    <row r="48" spans="2:12" ht="12.75" customHeight="1">
      <c r="B48" s="41" t="s">
        <v>57</v>
      </c>
      <c r="C48" s="42" t="s">
        <v>139</v>
      </c>
      <c r="D48" s="42"/>
      <c r="E48" s="42"/>
      <c r="F48" s="42"/>
      <c r="G48" s="42"/>
      <c r="H48" s="42"/>
      <c r="I48" s="42"/>
      <c r="J48" s="42"/>
      <c r="K48" s="42"/>
      <c r="L48" s="42"/>
    </row>
    <row r="49" spans="1:62" ht="12.75">
      <c r="A49" s="11" t="s">
        <v>146</v>
      </c>
      <c r="B49" s="11" t="s">
        <v>147</v>
      </c>
      <c r="C49" s="11" t="s">
        <v>148</v>
      </c>
      <c r="D49" s="11"/>
      <c r="E49" s="11"/>
      <c r="F49" s="11" t="s">
        <v>104</v>
      </c>
      <c r="G49" s="38">
        <v>25</v>
      </c>
      <c r="H49" s="39">
        <v>0</v>
      </c>
      <c r="I49" s="39">
        <f>G49*AO49</f>
        <v>0</v>
      </c>
      <c r="J49" s="39">
        <f>G49*AP49</f>
        <v>0</v>
      </c>
      <c r="K49" s="39">
        <f>G49*H49</f>
        <v>0</v>
      </c>
      <c r="L49" s="40" t="s">
        <v>53</v>
      </c>
      <c r="Z49" s="39">
        <f>IF(AQ49="5",BJ49,0)</f>
        <v>0</v>
      </c>
      <c r="AB49" s="39">
        <f>IF(AQ49="1",BH49,0)</f>
        <v>0</v>
      </c>
      <c r="AC49" s="39">
        <f>IF(AQ49="1",BI49,0)</f>
        <v>0</v>
      </c>
      <c r="AD49" s="39">
        <f>IF(AQ49="7",BH49,0)</f>
        <v>0</v>
      </c>
      <c r="AE49" s="39">
        <f>IF(AQ49="7",BI49,0)</f>
        <v>0</v>
      </c>
      <c r="AF49" s="39">
        <f>IF(AQ49="2",BH49,0)</f>
        <v>0</v>
      </c>
      <c r="AG49" s="39">
        <f>IF(AQ49="2",BI49,0)</f>
        <v>0</v>
      </c>
      <c r="AH49" s="39">
        <f>IF(AQ49="0",BJ49,0)</f>
        <v>0</v>
      </c>
      <c r="AI49" s="32"/>
      <c r="AJ49" s="39">
        <f>IF(AN49=0,K49,0)</f>
        <v>0</v>
      </c>
      <c r="AK49" s="39">
        <f>IF(AN49=15,K49,0)</f>
        <v>0</v>
      </c>
      <c r="AL49" s="39">
        <f>IF(AN49=21,K49,0)</f>
        <v>0</v>
      </c>
      <c r="AN49" s="39">
        <v>21</v>
      </c>
      <c r="AO49" s="39">
        <f>H49*0</f>
        <v>0</v>
      </c>
      <c r="AP49" s="39">
        <f>H49*(1-0)</f>
        <v>0</v>
      </c>
      <c r="AQ49" s="40" t="s">
        <v>49</v>
      </c>
      <c r="AV49" s="39">
        <f>AW49+AX49</f>
        <v>0</v>
      </c>
      <c r="AW49" s="39">
        <f>G49*AO49</f>
        <v>0</v>
      </c>
      <c r="AX49" s="39">
        <f>G49*AP49</f>
        <v>0</v>
      </c>
      <c r="AY49" s="40" t="s">
        <v>129</v>
      </c>
      <c r="AZ49" s="40" t="s">
        <v>114</v>
      </c>
      <c r="BA49" s="32" t="s">
        <v>56</v>
      </c>
      <c r="BC49" s="39">
        <f>AW49+AX49</f>
        <v>0</v>
      </c>
      <c r="BD49" s="39">
        <f>H49/(100-BE49)*100</f>
        <v>0</v>
      </c>
      <c r="BE49" s="39">
        <v>0</v>
      </c>
      <c r="BF49" s="39">
        <f>49</f>
        <v>49</v>
      </c>
      <c r="BH49" s="39">
        <f>G49*AO49</f>
        <v>0</v>
      </c>
      <c r="BI49" s="39">
        <f>G49*AP49</f>
        <v>0</v>
      </c>
      <c r="BJ49" s="39">
        <f>G49*H49</f>
        <v>0</v>
      </c>
    </row>
    <row r="50" spans="2:12" ht="12.75" customHeight="1">
      <c r="B50" s="41" t="s">
        <v>57</v>
      </c>
      <c r="C50" s="42" t="s">
        <v>139</v>
      </c>
      <c r="D50" s="42"/>
      <c r="E50" s="42"/>
      <c r="F50" s="42"/>
      <c r="G50" s="42"/>
      <c r="H50" s="42"/>
      <c r="I50" s="42"/>
      <c r="J50" s="42"/>
      <c r="K50" s="42"/>
      <c r="L50" s="42"/>
    </row>
    <row r="51" spans="1:62" ht="12.75">
      <c r="A51" s="11" t="s">
        <v>149</v>
      </c>
      <c r="B51" s="11" t="s">
        <v>150</v>
      </c>
      <c r="C51" s="11" t="s">
        <v>151</v>
      </c>
      <c r="D51" s="11"/>
      <c r="E51" s="11"/>
      <c r="F51" s="11" t="s">
        <v>104</v>
      </c>
      <c r="G51" s="38">
        <v>3</v>
      </c>
      <c r="H51" s="39">
        <v>0</v>
      </c>
      <c r="I51" s="39">
        <f>G51*AO51</f>
        <v>0</v>
      </c>
      <c r="J51" s="39">
        <f>G51*AP51</f>
        <v>0</v>
      </c>
      <c r="K51" s="39">
        <f>G51*H51</f>
        <v>0</v>
      </c>
      <c r="L51" s="40" t="s">
        <v>53</v>
      </c>
      <c r="Z51" s="39">
        <f>IF(AQ51="5",BJ51,0)</f>
        <v>0</v>
      </c>
      <c r="AB51" s="39">
        <f>IF(AQ51="1",BH51,0)</f>
        <v>0</v>
      </c>
      <c r="AC51" s="39">
        <f>IF(AQ51="1",BI51,0)</f>
        <v>0</v>
      </c>
      <c r="AD51" s="39">
        <f>IF(AQ51="7",BH51,0)</f>
        <v>0</v>
      </c>
      <c r="AE51" s="39">
        <f>IF(AQ51="7",BI51,0)</f>
        <v>0</v>
      </c>
      <c r="AF51" s="39">
        <f>IF(AQ51="2",BH51,0)</f>
        <v>0</v>
      </c>
      <c r="AG51" s="39">
        <f>IF(AQ51="2",BI51,0)</f>
        <v>0</v>
      </c>
      <c r="AH51" s="39">
        <f>IF(AQ51="0",BJ51,0)</f>
        <v>0</v>
      </c>
      <c r="AI51" s="32"/>
      <c r="AJ51" s="39">
        <f>IF(AN51=0,K51,0)</f>
        <v>0</v>
      </c>
      <c r="AK51" s="39">
        <f>IF(AN51=15,K51,0)</f>
        <v>0</v>
      </c>
      <c r="AL51" s="39">
        <f>IF(AN51=21,K51,0)</f>
        <v>0</v>
      </c>
      <c r="AN51" s="39">
        <v>21</v>
      </c>
      <c r="AO51" s="39">
        <f>H51*0</f>
        <v>0</v>
      </c>
      <c r="AP51" s="39">
        <f>H51*(1-0)</f>
        <v>0</v>
      </c>
      <c r="AQ51" s="40" t="s">
        <v>49</v>
      </c>
      <c r="AV51" s="39">
        <f>AW51+AX51</f>
        <v>0</v>
      </c>
      <c r="AW51" s="39">
        <f>G51*AO51</f>
        <v>0</v>
      </c>
      <c r="AX51" s="39">
        <f>G51*AP51</f>
        <v>0</v>
      </c>
      <c r="AY51" s="40" t="s">
        <v>129</v>
      </c>
      <c r="AZ51" s="40" t="s">
        <v>114</v>
      </c>
      <c r="BA51" s="32" t="s">
        <v>56</v>
      </c>
      <c r="BC51" s="39">
        <f>AW51+AX51</f>
        <v>0</v>
      </c>
      <c r="BD51" s="39">
        <f>H51/(100-BE51)*100</f>
        <v>0</v>
      </c>
      <c r="BE51" s="39">
        <v>0</v>
      </c>
      <c r="BF51" s="39">
        <f>51</f>
        <v>51</v>
      </c>
      <c r="BH51" s="39">
        <f>G51*AO51</f>
        <v>0</v>
      </c>
      <c r="BI51" s="39">
        <f>G51*AP51</f>
        <v>0</v>
      </c>
      <c r="BJ51" s="39">
        <f>G51*H51</f>
        <v>0</v>
      </c>
    </row>
    <row r="52" spans="2:12" ht="12.75" customHeight="1">
      <c r="B52" s="41" t="s">
        <v>57</v>
      </c>
      <c r="C52" s="42" t="s">
        <v>139</v>
      </c>
      <c r="D52" s="42"/>
      <c r="E52" s="42"/>
      <c r="F52" s="42"/>
      <c r="G52" s="42"/>
      <c r="H52" s="42"/>
      <c r="I52" s="42"/>
      <c r="J52" s="42"/>
      <c r="K52" s="42"/>
      <c r="L52" s="42"/>
    </row>
    <row r="53" spans="1:62" ht="12.75">
      <c r="A53" s="11" t="s">
        <v>152</v>
      </c>
      <c r="B53" s="11" t="s">
        <v>153</v>
      </c>
      <c r="C53" s="11" t="s">
        <v>154</v>
      </c>
      <c r="D53" s="11"/>
      <c r="E53" s="11"/>
      <c r="F53" s="11" t="s">
        <v>69</v>
      </c>
      <c r="G53" s="38">
        <v>7</v>
      </c>
      <c r="H53" s="39">
        <v>0</v>
      </c>
      <c r="I53" s="39">
        <f>G53*AO53</f>
        <v>0</v>
      </c>
      <c r="J53" s="39">
        <f>G53*AP53</f>
        <v>0</v>
      </c>
      <c r="K53" s="39">
        <f>G53*H53</f>
        <v>0</v>
      </c>
      <c r="L53" s="40" t="s">
        <v>53</v>
      </c>
      <c r="Z53" s="39">
        <f>IF(AQ53="5",BJ53,0)</f>
        <v>0</v>
      </c>
      <c r="AB53" s="39">
        <f>IF(AQ53="1",BH53,0)</f>
        <v>0</v>
      </c>
      <c r="AC53" s="39">
        <f>IF(AQ53="1",BI53,0)</f>
        <v>0</v>
      </c>
      <c r="AD53" s="39">
        <f>IF(AQ53="7",BH53,0)</f>
        <v>0</v>
      </c>
      <c r="AE53" s="39">
        <f>IF(AQ53="7",BI53,0)</f>
        <v>0</v>
      </c>
      <c r="AF53" s="39">
        <f>IF(AQ53="2",BH53,0)</f>
        <v>0</v>
      </c>
      <c r="AG53" s="39">
        <f>IF(AQ53="2",BI53,0)</f>
        <v>0</v>
      </c>
      <c r="AH53" s="39">
        <f>IF(AQ53="0",BJ53,0)</f>
        <v>0</v>
      </c>
      <c r="AI53" s="32"/>
      <c r="AJ53" s="39">
        <f>IF(AN53=0,K53,0)</f>
        <v>0</v>
      </c>
      <c r="AK53" s="39">
        <f>IF(AN53=15,K53,0)</f>
        <v>0</v>
      </c>
      <c r="AL53" s="39">
        <f>IF(AN53=21,K53,0)</f>
        <v>0</v>
      </c>
      <c r="AN53" s="39">
        <v>21</v>
      </c>
      <c r="AO53" s="39">
        <f>H53*0</f>
        <v>0</v>
      </c>
      <c r="AP53" s="39">
        <f>H53*(1-0)</f>
        <v>0</v>
      </c>
      <c r="AQ53" s="40" t="s">
        <v>49</v>
      </c>
      <c r="AV53" s="39">
        <f>AW53+AX53</f>
        <v>0</v>
      </c>
      <c r="AW53" s="39">
        <f>G53*AO53</f>
        <v>0</v>
      </c>
      <c r="AX53" s="39">
        <f>G53*AP53</f>
        <v>0</v>
      </c>
      <c r="AY53" s="40" t="s">
        <v>129</v>
      </c>
      <c r="AZ53" s="40" t="s">
        <v>114</v>
      </c>
      <c r="BA53" s="32" t="s">
        <v>56</v>
      </c>
      <c r="BC53" s="39">
        <f>AW53+AX53</f>
        <v>0</v>
      </c>
      <c r="BD53" s="39">
        <f>H53/(100-BE53)*100</f>
        <v>0</v>
      </c>
      <c r="BE53" s="39">
        <v>0</v>
      </c>
      <c r="BF53" s="39">
        <f>53</f>
        <v>53</v>
      </c>
      <c r="BH53" s="39">
        <f>G53*AO53</f>
        <v>0</v>
      </c>
      <c r="BI53" s="39">
        <f>G53*AP53</f>
        <v>0</v>
      </c>
      <c r="BJ53" s="39">
        <f>G53*H53</f>
        <v>0</v>
      </c>
    </row>
    <row r="54" spans="1:62" ht="12.75">
      <c r="A54" s="11" t="s">
        <v>155</v>
      </c>
      <c r="B54" s="11" t="s">
        <v>156</v>
      </c>
      <c r="C54" s="11" t="s">
        <v>157</v>
      </c>
      <c r="D54" s="11"/>
      <c r="E54" s="11"/>
      <c r="F54" s="11" t="s">
        <v>80</v>
      </c>
      <c r="G54" s="38">
        <v>7</v>
      </c>
      <c r="H54" s="39">
        <v>0</v>
      </c>
      <c r="I54" s="39">
        <f>G54*AO54</f>
        <v>0</v>
      </c>
      <c r="J54" s="39">
        <f>G54*AP54</f>
        <v>0</v>
      </c>
      <c r="K54" s="39">
        <f>G54*H54</f>
        <v>0</v>
      </c>
      <c r="L54" s="40" t="s">
        <v>53</v>
      </c>
      <c r="Z54" s="39">
        <f>IF(AQ54="5",BJ54,0)</f>
        <v>0</v>
      </c>
      <c r="AB54" s="39">
        <f>IF(AQ54="1",BH54,0)</f>
        <v>0</v>
      </c>
      <c r="AC54" s="39">
        <f>IF(AQ54="1",BI54,0)</f>
        <v>0</v>
      </c>
      <c r="AD54" s="39">
        <f>IF(AQ54="7",BH54,0)</f>
        <v>0</v>
      </c>
      <c r="AE54" s="39">
        <f>IF(AQ54="7",BI54,0)</f>
        <v>0</v>
      </c>
      <c r="AF54" s="39">
        <f>IF(AQ54="2",BH54,0)</f>
        <v>0</v>
      </c>
      <c r="AG54" s="39">
        <f>IF(AQ54="2",BI54,0)</f>
        <v>0</v>
      </c>
      <c r="AH54" s="39">
        <f>IF(AQ54="0",BJ54,0)</f>
        <v>0</v>
      </c>
      <c r="AI54" s="32"/>
      <c r="AJ54" s="39">
        <f>IF(AN54=0,K54,0)</f>
        <v>0</v>
      </c>
      <c r="AK54" s="39">
        <f>IF(AN54=15,K54,0)</f>
        <v>0</v>
      </c>
      <c r="AL54" s="39">
        <f>IF(AN54=21,K54,0)</f>
        <v>0</v>
      </c>
      <c r="AN54" s="39">
        <v>21</v>
      </c>
      <c r="AO54" s="39">
        <f>H54*0</f>
        <v>0</v>
      </c>
      <c r="AP54" s="39">
        <f>H54*(1-0)</f>
        <v>0</v>
      </c>
      <c r="AQ54" s="40" t="s">
        <v>49</v>
      </c>
      <c r="AV54" s="39">
        <f>AW54+AX54</f>
        <v>0</v>
      </c>
      <c r="AW54" s="39">
        <f>G54*AO54</f>
        <v>0</v>
      </c>
      <c r="AX54" s="39">
        <f>G54*AP54</f>
        <v>0</v>
      </c>
      <c r="AY54" s="40" t="s">
        <v>129</v>
      </c>
      <c r="AZ54" s="40" t="s">
        <v>114</v>
      </c>
      <c r="BA54" s="32" t="s">
        <v>56</v>
      </c>
      <c r="BC54" s="39">
        <f>AW54+AX54</f>
        <v>0</v>
      </c>
      <c r="BD54" s="39">
        <f>H54/(100-BE54)*100</f>
        <v>0</v>
      </c>
      <c r="BE54" s="39">
        <v>0</v>
      </c>
      <c r="BF54" s="39">
        <f>54</f>
        <v>54</v>
      </c>
      <c r="BH54" s="39">
        <f>G54*AO54</f>
        <v>0</v>
      </c>
      <c r="BI54" s="39">
        <f>G54*AP54</f>
        <v>0</v>
      </c>
      <c r="BJ54" s="39">
        <f>G54*H54</f>
        <v>0</v>
      </c>
    </row>
    <row r="55" spans="2:12" ht="12.75" customHeight="1">
      <c r="B55" s="41" t="s">
        <v>57</v>
      </c>
      <c r="C55" s="42" t="s">
        <v>158</v>
      </c>
      <c r="D55" s="42"/>
      <c r="E55" s="42"/>
      <c r="F55" s="42"/>
      <c r="G55" s="42"/>
      <c r="H55" s="42"/>
      <c r="I55" s="42"/>
      <c r="J55" s="42"/>
      <c r="K55" s="42"/>
      <c r="L55" s="42"/>
    </row>
    <row r="56" spans="1:62" ht="12.75">
      <c r="A56" s="11" t="s">
        <v>159</v>
      </c>
      <c r="B56" s="11" t="s">
        <v>160</v>
      </c>
      <c r="C56" s="11" t="s">
        <v>161</v>
      </c>
      <c r="D56" s="11"/>
      <c r="E56" s="11"/>
      <c r="F56" s="11" t="s">
        <v>104</v>
      </c>
      <c r="G56" s="38">
        <v>1.5</v>
      </c>
      <c r="H56" s="39">
        <v>0</v>
      </c>
      <c r="I56" s="39">
        <f>G56*AO56</f>
        <v>0</v>
      </c>
      <c r="J56" s="39">
        <f>G56*AP56</f>
        <v>0</v>
      </c>
      <c r="K56" s="39">
        <f>G56*H56</f>
        <v>0</v>
      </c>
      <c r="L56" s="40" t="s">
        <v>53</v>
      </c>
      <c r="Z56" s="39">
        <f>IF(AQ56="5",BJ56,0)</f>
        <v>0</v>
      </c>
      <c r="AB56" s="39">
        <f>IF(AQ56="1",BH56,0)</f>
        <v>0</v>
      </c>
      <c r="AC56" s="39">
        <f>IF(AQ56="1",BI56,0)</f>
        <v>0</v>
      </c>
      <c r="AD56" s="39">
        <f>IF(AQ56="7",BH56,0)</f>
        <v>0</v>
      </c>
      <c r="AE56" s="39">
        <f>IF(AQ56="7",BI56,0)</f>
        <v>0</v>
      </c>
      <c r="AF56" s="39">
        <f>IF(AQ56="2",BH56,0)</f>
        <v>0</v>
      </c>
      <c r="AG56" s="39">
        <f>IF(AQ56="2",BI56,0)</f>
        <v>0</v>
      </c>
      <c r="AH56" s="39">
        <f>IF(AQ56="0",BJ56,0)</f>
        <v>0</v>
      </c>
      <c r="AI56" s="32"/>
      <c r="AJ56" s="39">
        <f>IF(AN56=0,K56,0)</f>
        <v>0</v>
      </c>
      <c r="AK56" s="39">
        <f>IF(AN56=15,K56,0)</f>
        <v>0</v>
      </c>
      <c r="AL56" s="39">
        <f>IF(AN56=21,K56,0)</f>
        <v>0</v>
      </c>
      <c r="AN56" s="39">
        <v>21</v>
      </c>
      <c r="AO56" s="39">
        <f>H56*0</f>
        <v>0</v>
      </c>
      <c r="AP56" s="39">
        <f>H56*(1-0)</f>
        <v>0</v>
      </c>
      <c r="AQ56" s="40" t="s">
        <v>49</v>
      </c>
      <c r="AV56" s="39">
        <f>AW56+AX56</f>
        <v>0</v>
      </c>
      <c r="AW56" s="39">
        <f>G56*AO56</f>
        <v>0</v>
      </c>
      <c r="AX56" s="39">
        <f>G56*AP56</f>
        <v>0</v>
      </c>
      <c r="AY56" s="40" t="s">
        <v>129</v>
      </c>
      <c r="AZ56" s="40" t="s">
        <v>114</v>
      </c>
      <c r="BA56" s="32" t="s">
        <v>56</v>
      </c>
      <c r="BC56" s="39">
        <f>AW56+AX56</f>
        <v>0</v>
      </c>
      <c r="BD56" s="39">
        <f>H56/(100-BE56)*100</f>
        <v>0</v>
      </c>
      <c r="BE56" s="39">
        <v>0</v>
      </c>
      <c r="BF56" s="39">
        <f>56</f>
        <v>56</v>
      </c>
      <c r="BH56" s="39">
        <f>G56*AO56</f>
        <v>0</v>
      </c>
      <c r="BI56" s="39">
        <f>G56*AP56</f>
        <v>0</v>
      </c>
      <c r="BJ56" s="39">
        <f>G56*H56</f>
        <v>0</v>
      </c>
    </row>
    <row r="57" spans="1:62" ht="12.75">
      <c r="A57" s="11" t="s">
        <v>162</v>
      </c>
      <c r="B57" s="11" t="s">
        <v>163</v>
      </c>
      <c r="C57" s="11" t="s">
        <v>164</v>
      </c>
      <c r="D57" s="11"/>
      <c r="E57" s="11"/>
      <c r="F57" s="11" t="s">
        <v>80</v>
      </c>
      <c r="G57" s="38">
        <v>1.35</v>
      </c>
      <c r="H57" s="39">
        <v>0</v>
      </c>
      <c r="I57" s="39">
        <f>G57*AO57</f>
        <v>0</v>
      </c>
      <c r="J57" s="39">
        <f>G57*AP57</f>
        <v>0</v>
      </c>
      <c r="K57" s="39">
        <f>G57*H57</f>
        <v>0</v>
      </c>
      <c r="L57" s="40" t="s">
        <v>53</v>
      </c>
      <c r="Z57" s="39">
        <f>IF(AQ57="5",BJ57,0)</f>
        <v>0</v>
      </c>
      <c r="AB57" s="39">
        <f>IF(AQ57="1",BH57,0)</f>
        <v>0</v>
      </c>
      <c r="AC57" s="39">
        <f>IF(AQ57="1",BI57,0)</f>
        <v>0</v>
      </c>
      <c r="AD57" s="39">
        <f>IF(AQ57="7",BH57,0)</f>
        <v>0</v>
      </c>
      <c r="AE57" s="39">
        <f>IF(AQ57="7",BI57,0)</f>
        <v>0</v>
      </c>
      <c r="AF57" s="39">
        <f>IF(AQ57="2",BH57,0)</f>
        <v>0</v>
      </c>
      <c r="AG57" s="39">
        <f>IF(AQ57="2",BI57,0)</f>
        <v>0</v>
      </c>
      <c r="AH57" s="39">
        <f>IF(AQ57="0",BJ57,0)</f>
        <v>0</v>
      </c>
      <c r="AI57" s="32"/>
      <c r="AJ57" s="39">
        <f>IF(AN57=0,K57,0)</f>
        <v>0</v>
      </c>
      <c r="AK57" s="39">
        <f>IF(AN57=15,K57,0)</f>
        <v>0</v>
      </c>
      <c r="AL57" s="39">
        <f>IF(AN57=21,K57,0)</f>
        <v>0</v>
      </c>
      <c r="AN57" s="39">
        <v>21</v>
      </c>
      <c r="AO57" s="39">
        <f>H57*0.0147237960339943</f>
        <v>0</v>
      </c>
      <c r="AP57" s="39">
        <f>H57*(1-0.0147237960339943)</f>
        <v>0</v>
      </c>
      <c r="AQ57" s="40" t="s">
        <v>49</v>
      </c>
      <c r="AV57" s="39">
        <f>AW57+AX57</f>
        <v>0</v>
      </c>
      <c r="AW57" s="39">
        <f>G57*AO57</f>
        <v>0</v>
      </c>
      <c r="AX57" s="39">
        <f>G57*AP57</f>
        <v>0</v>
      </c>
      <c r="AY57" s="40" t="s">
        <v>129</v>
      </c>
      <c r="AZ57" s="40" t="s">
        <v>114</v>
      </c>
      <c r="BA57" s="32" t="s">
        <v>56</v>
      </c>
      <c r="BC57" s="39">
        <f>AW57+AX57</f>
        <v>0</v>
      </c>
      <c r="BD57" s="39">
        <f>H57/(100-BE57)*100</f>
        <v>0</v>
      </c>
      <c r="BE57" s="39">
        <v>0</v>
      </c>
      <c r="BF57" s="39">
        <f>57</f>
        <v>57</v>
      </c>
      <c r="BH57" s="39">
        <f>G57*AO57</f>
        <v>0</v>
      </c>
      <c r="BI57" s="39">
        <f>G57*AP57</f>
        <v>0</v>
      </c>
      <c r="BJ57" s="39">
        <f>G57*H57</f>
        <v>0</v>
      </c>
    </row>
    <row r="58" spans="1:62" ht="12.75">
      <c r="A58" s="11" t="s">
        <v>165</v>
      </c>
      <c r="B58" s="11" t="s">
        <v>166</v>
      </c>
      <c r="C58" s="11" t="s">
        <v>167</v>
      </c>
      <c r="D58" s="11"/>
      <c r="E58" s="11"/>
      <c r="F58" s="11" t="s">
        <v>168</v>
      </c>
      <c r="G58" s="38">
        <v>4</v>
      </c>
      <c r="H58" s="39">
        <v>0</v>
      </c>
      <c r="I58" s="39">
        <f>G58*AO58</f>
        <v>0</v>
      </c>
      <c r="J58" s="39">
        <f>G58*AP58</f>
        <v>0</v>
      </c>
      <c r="K58" s="39">
        <f>G58*H58</f>
        <v>0</v>
      </c>
      <c r="L58" s="40" t="s">
        <v>53</v>
      </c>
      <c r="Z58" s="39">
        <f>IF(AQ58="5",BJ58,0)</f>
        <v>0</v>
      </c>
      <c r="AB58" s="39">
        <f>IF(AQ58="1",BH58,0)</f>
        <v>0</v>
      </c>
      <c r="AC58" s="39">
        <f>IF(AQ58="1",BI58,0)</f>
        <v>0</v>
      </c>
      <c r="AD58" s="39">
        <f>IF(AQ58="7",BH58,0)</f>
        <v>0</v>
      </c>
      <c r="AE58" s="39">
        <f>IF(AQ58="7",BI58,0)</f>
        <v>0</v>
      </c>
      <c r="AF58" s="39">
        <f>IF(AQ58="2",BH58,0)</f>
        <v>0</v>
      </c>
      <c r="AG58" s="39">
        <f>IF(AQ58="2",BI58,0)</f>
        <v>0</v>
      </c>
      <c r="AH58" s="39">
        <f>IF(AQ58="0",BJ58,0)</f>
        <v>0</v>
      </c>
      <c r="AI58" s="32"/>
      <c r="AJ58" s="39">
        <f>IF(AN58=0,K58,0)</f>
        <v>0</v>
      </c>
      <c r="AK58" s="39">
        <f>IF(AN58=15,K58,0)</f>
        <v>0</v>
      </c>
      <c r="AL58" s="39">
        <f>IF(AN58=21,K58,0)</f>
        <v>0</v>
      </c>
      <c r="AN58" s="39">
        <v>21</v>
      </c>
      <c r="AO58" s="39">
        <f>H58*0.122082324455206</f>
        <v>0</v>
      </c>
      <c r="AP58" s="39">
        <f>H58*(1-0.122082324455206)</f>
        <v>0</v>
      </c>
      <c r="AQ58" s="40" t="s">
        <v>49</v>
      </c>
      <c r="AV58" s="39">
        <f>AW58+AX58</f>
        <v>0</v>
      </c>
      <c r="AW58" s="39">
        <f>G58*AO58</f>
        <v>0</v>
      </c>
      <c r="AX58" s="39">
        <f>G58*AP58</f>
        <v>0</v>
      </c>
      <c r="AY58" s="40" t="s">
        <v>129</v>
      </c>
      <c r="AZ58" s="40" t="s">
        <v>114</v>
      </c>
      <c r="BA58" s="32" t="s">
        <v>56</v>
      </c>
      <c r="BC58" s="39">
        <f>AW58+AX58</f>
        <v>0</v>
      </c>
      <c r="BD58" s="39">
        <f>H58/(100-BE58)*100</f>
        <v>0</v>
      </c>
      <c r="BE58" s="39">
        <v>0</v>
      </c>
      <c r="BF58" s="39">
        <f>58</f>
        <v>58</v>
      </c>
      <c r="BH58" s="39">
        <f>G58*AO58</f>
        <v>0</v>
      </c>
      <c r="BI58" s="39">
        <f>G58*AP58</f>
        <v>0</v>
      </c>
      <c r="BJ58" s="39">
        <f>G58*H58</f>
        <v>0</v>
      </c>
    </row>
    <row r="59" spans="1:62" ht="12.75">
      <c r="A59" s="11" t="s">
        <v>169</v>
      </c>
      <c r="B59" s="11" t="s">
        <v>170</v>
      </c>
      <c r="C59" s="11" t="s">
        <v>171</v>
      </c>
      <c r="D59" s="11"/>
      <c r="E59" s="11"/>
      <c r="F59" s="11" t="s">
        <v>80</v>
      </c>
      <c r="G59" s="38">
        <v>7</v>
      </c>
      <c r="H59" s="39">
        <v>0</v>
      </c>
      <c r="I59" s="39">
        <f>G59*AO59</f>
        <v>0</v>
      </c>
      <c r="J59" s="39">
        <f>G59*AP59</f>
        <v>0</v>
      </c>
      <c r="K59" s="39">
        <f>G59*H59</f>
        <v>0</v>
      </c>
      <c r="L59" s="40" t="s">
        <v>53</v>
      </c>
      <c r="Z59" s="39">
        <f>IF(AQ59="5",BJ59,0)</f>
        <v>0</v>
      </c>
      <c r="AB59" s="39">
        <f>IF(AQ59="1",BH59,0)</f>
        <v>0</v>
      </c>
      <c r="AC59" s="39">
        <f>IF(AQ59="1",BI59,0)</f>
        <v>0</v>
      </c>
      <c r="AD59" s="39">
        <f>IF(AQ59="7",BH59,0)</f>
        <v>0</v>
      </c>
      <c r="AE59" s="39">
        <f>IF(AQ59="7",BI59,0)</f>
        <v>0</v>
      </c>
      <c r="AF59" s="39">
        <f>IF(AQ59="2",BH59,0)</f>
        <v>0</v>
      </c>
      <c r="AG59" s="39">
        <f>IF(AQ59="2",BI59,0)</f>
        <v>0</v>
      </c>
      <c r="AH59" s="39">
        <f>IF(AQ59="0",BJ59,0)</f>
        <v>0</v>
      </c>
      <c r="AI59" s="32"/>
      <c r="AJ59" s="39">
        <f>IF(AN59=0,K59,0)</f>
        <v>0</v>
      </c>
      <c r="AK59" s="39">
        <f>IF(AN59=15,K59,0)</f>
        <v>0</v>
      </c>
      <c r="AL59" s="39">
        <f>IF(AN59=21,K59,0)</f>
        <v>0</v>
      </c>
      <c r="AN59" s="39">
        <v>21</v>
      </c>
      <c r="AO59" s="39">
        <f>H59*0.0852534562211982</f>
        <v>0</v>
      </c>
      <c r="AP59" s="39">
        <f>H59*(1-0.0852534562211982)</f>
        <v>0</v>
      </c>
      <c r="AQ59" s="40" t="s">
        <v>49</v>
      </c>
      <c r="AV59" s="39">
        <f>AW59+AX59</f>
        <v>0</v>
      </c>
      <c r="AW59" s="39">
        <f>G59*AO59</f>
        <v>0</v>
      </c>
      <c r="AX59" s="39">
        <f>G59*AP59</f>
        <v>0</v>
      </c>
      <c r="AY59" s="40" t="s">
        <v>129</v>
      </c>
      <c r="AZ59" s="40" t="s">
        <v>114</v>
      </c>
      <c r="BA59" s="32" t="s">
        <v>56</v>
      </c>
      <c r="BC59" s="39">
        <f>AW59+AX59</f>
        <v>0</v>
      </c>
      <c r="BD59" s="39">
        <f>H59/(100-BE59)*100</f>
        <v>0</v>
      </c>
      <c r="BE59" s="39">
        <v>0</v>
      </c>
      <c r="BF59" s="39">
        <f>59</f>
        <v>59</v>
      </c>
      <c r="BH59" s="39">
        <f>G59*AO59</f>
        <v>0</v>
      </c>
      <c r="BI59" s="39">
        <f>G59*AP59</f>
        <v>0</v>
      </c>
      <c r="BJ59" s="39">
        <f>G59*H59</f>
        <v>0</v>
      </c>
    </row>
    <row r="60" spans="2:12" ht="12.75" customHeight="1">
      <c r="B60" s="41" t="s">
        <v>57</v>
      </c>
      <c r="C60" s="42" t="s">
        <v>158</v>
      </c>
      <c r="D60" s="42"/>
      <c r="E60" s="42"/>
      <c r="F60" s="42"/>
      <c r="G60" s="42"/>
      <c r="H60" s="42"/>
      <c r="I60" s="42"/>
      <c r="J60" s="42"/>
      <c r="K60" s="42"/>
      <c r="L60" s="42"/>
    </row>
    <row r="61" spans="1:62" ht="12.75">
      <c r="A61" s="11" t="s">
        <v>172</v>
      </c>
      <c r="B61" s="11" t="s">
        <v>173</v>
      </c>
      <c r="C61" s="11" t="s">
        <v>174</v>
      </c>
      <c r="D61" s="11"/>
      <c r="E61" s="11"/>
      <c r="F61" s="11" t="s">
        <v>80</v>
      </c>
      <c r="G61" s="38">
        <v>17</v>
      </c>
      <c r="H61" s="39">
        <v>0</v>
      </c>
      <c r="I61" s="39">
        <f>G61*AO61</f>
        <v>0</v>
      </c>
      <c r="J61" s="39">
        <f>G61*AP61</f>
        <v>0</v>
      </c>
      <c r="K61" s="39">
        <f>G61*H61</f>
        <v>0</v>
      </c>
      <c r="L61" s="40" t="s">
        <v>53</v>
      </c>
      <c r="Z61" s="39">
        <f>IF(AQ61="5",BJ61,0)</f>
        <v>0</v>
      </c>
      <c r="AB61" s="39">
        <f>IF(AQ61="1",BH61,0)</f>
        <v>0</v>
      </c>
      <c r="AC61" s="39">
        <f>IF(AQ61="1",BI61,0)</f>
        <v>0</v>
      </c>
      <c r="AD61" s="39">
        <f>IF(AQ61="7",BH61,0)</f>
        <v>0</v>
      </c>
      <c r="AE61" s="39">
        <f>IF(AQ61="7",BI61,0)</f>
        <v>0</v>
      </c>
      <c r="AF61" s="39">
        <f>IF(AQ61="2",BH61,0)</f>
        <v>0</v>
      </c>
      <c r="AG61" s="39">
        <f>IF(AQ61="2",BI61,0)</f>
        <v>0</v>
      </c>
      <c r="AH61" s="39">
        <f>IF(AQ61="0",BJ61,0)</f>
        <v>0</v>
      </c>
      <c r="AI61" s="32"/>
      <c r="AJ61" s="39">
        <f>IF(AN61=0,K61,0)</f>
        <v>0</v>
      </c>
      <c r="AK61" s="39">
        <f>IF(AN61=15,K61,0)</f>
        <v>0</v>
      </c>
      <c r="AL61" s="39">
        <f>IF(AN61=21,K61,0)</f>
        <v>0</v>
      </c>
      <c r="AN61" s="39">
        <v>21</v>
      </c>
      <c r="AO61" s="39">
        <f>H61*0</f>
        <v>0</v>
      </c>
      <c r="AP61" s="39">
        <f>H61*(1-0)</f>
        <v>0</v>
      </c>
      <c r="AQ61" s="40" t="s">
        <v>49</v>
      </c>
      <c r="AV61" s="39">
        <f>AW61+AX61</f>
        <v>0</v>
      </c>
      <c r="AW61" s="39">
        <f>G61*AO61</f>
        <v>0</v>
      </c>
      <c r="AX61" s="39">
        <f>G61*AP61</f>
        <v>0</v>
      </c>
      <c r="AY61" s="40" t="s">
        <v>129</v>
      </c>
      <c r="AZ61" s="40" t="s">
        <v>114</v>
      </c>
      <c r="BA61" s="32" t="s">
        <v>56</v>
      </c>
      <c r="BC61" s="39">
        <f>AW61+AX61</f>
        <v>0</v>
      </c>
      <c r="BD61" s="39">
        <f>H61/(100-BE61)*100</f>
        <v>0</v>
      </c>
      <c r="BE61" s="39">
        <v>0</v>
      </c>
      <c r="BF61" s="39">
        <f>61</f>
        <v>61</v>
      </c>
      <c r="BH61" s="39">
        <f>G61*AO61</f>
        <v>0</v>
      </c>
      <c r="BI61" s="39">
        <f>G61*AP61</f>
        <v>0</v>
      </c>
      <c r="BJ61" s="39">
        <f>G61*H61</f>
        <v>0</v>
      </c>
    </row>
    <row r="62" spans="2:12" ht="12.75" customHeight="1">
      <c r="B62" s="41" t="s">
        <v>57</v>
      </c>
      <c r="C62" s="42" t="s">
        <v>175</v>
      </c>
      <c r="D62" s="42"/>
      <c r="E62" s="42"/>
      <c r="F62" s="42"/>
      <c r="G62" s="42"/>
      <c r="H62" s="42"/>
      <c r="I62" s="42"/>
      <c r="J62" s="42"/>
      <c r="K62" s="42"/>
      <c r="L62" s="42"/>
    </row>
    <row r="63" spans="1:62" ht="12.75">
      <c r="A63" s="11" t="s">
        <v>176</v>
      </c>
      <c r="B63" s="11" t="s">
        <v>177</v>
      </c>
      <c r="C63" s="11" t="s">
        <v>178</v>
      </c>
      <c r="D63" s="11"/>
      <c r="E63" s="11"/>
      <c r="F63" s="11" t="s">
        <v>52</v>
      </c>
      <c r="G63" s="38">
        <v>6.281</v>
      </c>
      <c r="H63" s="39">
        <v>0</v>
      </c>
      <c r="I63" s="39">
        <f>G63*AO63</f>
        <v>0</v>
      </c>
      <c r="J63" s="39">
        <f>G63*AP63</f>
        <v>0</v>
      </c>
      <c r="K63" s="39">
        <f>G63*H63</f>
        <v>0</v>
      </c>
      <c r="L63" s="40" t="s">
        <v>53</v>
      </c>
      <c r="Z63" s="39">
        <f>IF(AQ63="5",BJ63,0)</f>
        <v>0</v>
      </c>
      <c r="AB63" s="39">
        <f>IF(AQ63="1",BH63,0)</f>
        <v>0</v>
      </c>
      <c r="AC63" s="39">
        <f>IF(AQ63="1",BI63,0)</f>
        <v>0</v>
      </c>
      <c r="AD63" s="39">
        <f>IF(AQ63="7",BH63,0)</f>
        <v>0</v>
      </c>
      <c r="AE63" s="39">
        <f>IF(AQ63="7",BI63,0)</f>
        <v>0</v>
      </c>
      <c r="AF63" s="39">
        <f>IF(AQ63="2",BH63,0)</f>
        <v>0</v>
      </c>
      <c r="AG63" s="39">
        <f>IF(AQ63="2",BI63,0)</f>
        <v>0</v>
      </c>
      <c r="AH63" s="39">
        <f>IF(AQ63="0",BJ63,0)</f>
        <v>0</v>
      </c>
      <c r="AI63" s="32"/>
      <c r="AJ63" s="39">
        <f>IF(AN63=0,K63,0)</f>
        <v>0</v>
      </c>
      <c r="AK63" s="39">
        <f>IF(AN63=15,K63,0)</f>
        <v>0</v>
      </c>
      <c r="AL63" s="39">
        <f>IF(AN63=21,K63,0)</f>
        <v>0</v>
      </c>
      <c r="AN63" s="39">
        <v>21</v>
      </c>
      <c r="AO63" s="39">
        <f>H63*0</f>
        <v>0</v>
      </c>
      <c r="AP63" s="39">
        <f>H63*(1-0)</f>
        <v>0</v>
      </c>
      <c r="AQ63" s="40" t="s">
        <v>49</v>
      </c>
      <c r="AV63" s="39">
        <f>AW63+AX63</f>
        <v>0</v>
      </c>
      <c r="AW63" s="39">
        <f>G63*AO63</f>
        <v>0</v>
      </c>
      <c r="AX63" s="39">
        <f>G63*AP63</f>
        <v>0</v>
      </c>
      <c r="AY63" s="40" t="s">
        <v>129</v>
      </c>
      <c r="AZ63" s="40" t="s">
        <v>114</v>
      </c>
      <c r="BA63" s="32" t="s">
        <v>56</v>
      </c>
      <c r="BC63" s="39">
        <f>AW63+AX63</f>
        <v>0</v>
      </c>
      <c r="BD63" s="39">
        <f>H63/(100-BE63)*100</f>
        <v>0</v>
      </c>
      <c r="BE63" s="39">
        <v>0</v>
      </c>
      <c r="BF63" s="39">
        <f>63</f>
        <v>63</v>
      </c>
      <c r="BH63" s="39">
        <f>G63*AO63</f>
        <v>0</v>
      </c>
      <c r="BI63" s="39">
        <f>G63*AP63</f>
        <v>0</v>
      </c>
      <c r="BJ63" s="39">
        <f>G63*H63</f>
        <v>0</v>
      </c>
    </row>
    <row r="64" spans="2:12" ht="12.75" customHeight="1">
      <c r="B64" s="41" t="s">
        <v>57</v>
      </c>
      <c r="C64" s="42" t="s">
        <v>179</v>
      </c>
      <c r="D64" s="42"/>
      <c r="E64" s="42"/>
      <c r="F64" s="42"/>
      <c r="G64" s="42"/>
      <c r="H64" s="42"/>
      <c r="I64" s="42"/>
      <c r="J64" s="42"/>
      <c r="K64" s="42"/>
      <c r="L64" s="42"/>
    </row>
    <row r="65" spans="1:62" ht="12.75">
      <c r="A65" s="11" t="s">
        <v>180</v>
      </c>
      <c r="B65" s="11" t="s">
        <v>181</v>
      </c>
      <c r="C65" s="11" t="s">
        <v>182</v>
      </c>
      <c r="D65" s="11"/>
      <c r="E65" s="11"/>
      <c r="F65" s="11" t="s">
        <v>52</v>
      </c>
      <c r="G65" s="38">
        <v>2.952</v>
      </c>
      <c r="H65" s="39">
        <v>0</v>
      </c>
      <c r="I65" s="39">
        <f>G65*AO65</f>
        <v>0</v>
      </c>
      <c r="J65" s="39">
        <f>G65*AP65</f>
        <v>0</v>
      </c>
      <c r="K65" s="39">
        <f>G65*H65</f>
        <v>0</v>
      </c>
      <c r="L65" s="40" t="s">
        <v>53</v>
      </c>
      <c r="Z65" s="39">
        <f>IF(AQ65="5",BJ65,0)</f>
        <v>0</v>
      </c>
      <c r="AB65" s="39">
        <f>IF(AQ65="1",BH65,0)</f>
        <v>0</v>
      </c>
      <c r="AC65" s="39">
        <f>IF(AQ65="1",BI65,0)</f>
        <v>0</v>
      </c>
      <c r="AD65" s="39">
        <f>IF(AQ65="7",BH65,0)</f>
        <v>0</v>
      </c>
      <c r="AE65" s="39">
        <f>IF(AQ65="7",BI65,0)</f>
        <v>0</v>
      </c>
      <c r="AF65" s="39">
        <f>IF(AQ65="2",BH65,0)</f>
        <v>0</v>
      </c>
      <c r="AG65" s="39">
        <f>IF(AQ65="2",BI65,0)</f>
        <v>0</v>
      </c>
      <c r="AH65" s="39">
        <f>IF(AQ65="0",BJ65,0)</f>
        <v>0</v>
      </c>
      <c r="AI65" s="32"/>
      <c r="AJ65" s="39">
        <f>IF(AN65=0,K65,0)</f>
        <v>0</v>
      </c>
      <c r="AK65" s="39">
        <f>IF(AN65=15,K65,0)</f>
        <v>0</v>
      </c>
      <c r="AL65" s="39">
        <f>IF(AN65=21,K65,0)</f>
        <v>0</v>
      </c>
      <c r="AN65" s="39">
        <v>21</v>
      </c>
      <c r="AO65" s="39">
        <f>H65*0</f>
        <v>0</v>
      </c>
      <c r="AP65" s="39">
        <f>H65*(1-0)</f>
        <v>0</v>
      </c>
      <c r="AQ65" s="40" t="s">
        <v>77</v>
      </c>
      <c r="AV65" s="39">
        <f>AW65+AX65</f>
        <v>0</v>
      </c>
      <c r="AW65" s="39">
        <f>G65*AO65</f>
        <v>0</v>
      </c>
      <c r="AX65" s="39">
        <f>G65*AP65</f>
        <v>0</v>
      </c>
      <c r="AY65" s="40" t="s">
        <v>129</v>
      </c>
      <c r="AZ65" s="40" t="s">
        <v>114</v>
      </c>
      <c r="BA65" s="32" t="s">
        <v>56</v>
      </c>
      <c r="BC65" s="39">
        <f>AW65+AX65</f>
        <v>0</v>
      </c>
      <c r="BD65" s="39">
        <f>H65/(100-BE65)*100</f>
        <v>0</v>
      </c>
      <c r="BE65" s="39">
        <v>0</v>
      </c>
      <c r="BF65" s="39">
        <f>65</f>
        <v>65</v>
      </c>
      <c r="BH65" s="39">
        <f>G65*AO65</f>
        <v>0</v>
      </c>
      <c r="BI65" s="39">
        <f>G65*AP65</f>
        <v>0</v>
      </c>
      <c r="BJ65" s="39">
        <f>G65*H65</f>
        <v>0</v>
      </c>
    </row>
    <row r="66" spans="1:62" ht="12.75">
      <c r="A66" s="11" t="s">
        <v>183</v>
      </c>
      <c r="B66" s="11" t="s">
        <v>184</v>
      </c>
      <c r="C66" s="11" t="s">
        <v>185</v>
      </c>
      <c r="D66" s="11"/>
      <c r="E66" s="11"/>
      <c r="F66" s="11" t="s">
        <v>52</v>
      </c>
      <c r="G66" s="38">
        <v>0.092</v>
      </c>
      <c r="H66" s="39">
        <v>0</v>
      </c>
      <c r="I66" s="39">
        <f>G66*AO66</f>
        <v>0</v>
      </c>
      <c r="J66" s="39">
        <f>G66*AP66</f>
        <v>0</v>
      </c>
      <c r="K66" s="39">
        <f>G66*H66</f>
        <v>0</v>
      </c>
      <c r="L66" s="40" t="s">
        <v>53</v>
      </c>
      <c r="Z66" s="39">
        <f>IF(AQ66="5",BJ66,0)</f>
        <v>0</v>
      </c>
      <c r="AB66" s="39">
        <f>IF(AQ66="1",BH66,0)</f>
        <v>0</v>
      </c>
      <c r="AC66" s="39">
        <f>IF(AQ66="1",BI66,0)</f>
        <v>0</v>
      </c>
      <c r="AD66" s="39">
        <f>IF(AQ66="7",BH66,0)</f>
        <v>0</v>
      </c>
      <c r="AE66" s="39">
        <f>IF(AQ66="7",BI66,0)</f>
        <v>0</v>
      </c>
      <c r="AF66" s="39">
        <f>IF(AQ66="2",BH66,0)</f>
        <v>0</v>
      </c>
      <c r="AG66" s="39">
        <f>IF(AQ66="2",BI66,0)</f>
        <v>0</v>
      </c>
      <c r="AH66" s="39">
        <f>IF(AQ66="0",BJ66,0)</f>
        <v>0</v>
      </c>
      <c r="AI66" s="32"/>
      <c r="AJ66" s="39">
        <f>IF(AN66=0,K66,0)</f>
        <v>0</v>
      </c>
      <c r="AK66" s="39">
        <f>IF(AN66=15,K66,0)</f>
        <v>0</v>
      </c>
      <c r="AL66" s="39">
        <f>IF(AN66=21,K66,0)</f>
        <v>0</v>
      </c>
      <c r="AN66" s="39">
        <v>21</v>
      </c>
      <c r="AO66" s="39">
        <f>H66*0</f>
        <v>0</v>
      </c>
      <c r="AP66" s="39">
        <f>H66*(1-0)</f>
        <v>0</v>
      </c>
      <c r="AQ66" s="40" t="s">
        <v>77</v>
      </c>
      <c r="AV66" s="39">
        <f>AW66+AX66</f>
        <v>0</v>
      </c>
      <c r="AW66" s="39">
        <f>G66*AO66</f>
        <v>0</v>
      </c>
      <c r="AX66" s="39">
        <f>G66*AP66</f>
        <v>0</v>
      </c>
      <c r="AY66" s="40" t="s">
        <v>129</v>
      </c>
      <c r="AZ66" s="40" t="s">
        <v>114</v>
      </c>
      <c r="BA66" s="32" t="s">
        <v>56</v>
      </c>
      <c r="BC66" s="39">
        <f>AW66+AX66</f>
        <v>0</v>
      </c>
      <c r="BD66" s="39">
        <f>H66/(100-BE66)*100</f>
        <v>0</v>
      </c>
      <c r="BE66" s="39">
        <v>0</v>
      </c>
      <c r="BF66" s="39">
        <f>66</f>
        <v>66</v>
      </c>
      <c r="BH66" s="39">
        <f>G66*AO66</f>
        <v>0</v>
      </c>
      <c r="BI66" s="39">
        <f>G66*AP66</f>
        <v>0</v>
      </c>
      <c r="BJ66" s="39">
        <f>G66*H66</f>
        <v>0</v>
      </c>
    </row>
    <row r="67" spans="1:62" ht="12.75">
      <c r="A67" s="11" t="s">
        <v>47</v>
      </c>
      <c r="B67" s="11" t="s">
        <v>186</v>
      </c>
      <c r="C67" s="11" t="s">
        <v>187</v>
      </c>
      <c r="D67" s="11"/>
      <c r="E67" s="11"/>
      <c r="F67" s="11" t="s">
        <v>52</v>
      </c>
      <c r="G67" s="38">
        <v>2.574</v>
      </c>
      <c r="H67" s="39">
        <v>0</v>
      </c>
      <c r="I67" s="39">
        <f>G67*AO67</f>
        <v>0</v>
      </c>
      <c r="J67" s="39">
        <f>G67*AP67</f>
        <v>0</v>
      </c>
      <c r="K67" s="39">
        <f>G67*H67</f>
        <v>0</v>
      </c>
      <c r="L67" s="40" t="s">
        <v>53</v>
      </c>
      <c r="Z67" s="39">
        <f>IF(AQ67="5",BJ67,0)</f>
        <v>0</v>
      </c>
      <c r="AB67" s="39">
        <f>IF(AQ67="1",BH67,0)</f>
        <v>0</v>
      </c>
      <c r="AC67" s="39">
        <f>IF(AQ67="1",BI67,0)</f>
        <v>0</v>
      </c>
      <c r="AD67" s="39">
        <f>IF(AQ67="7",BH67,0)</f>
        <v>0</v>
      </c>
      <c r="AE67" s="39">
        <f>IF(AQ67="7",BI67,0)</f>
        <v>0</v>
      </c>
      <c r="AF67" s="39">
        <f>IF(AQ67="2",BH67,0)</f>
        <v>0</v>
      </c>
      <c r="AG67" s="39">
        <f>IF(AQ67="2",BI67,0)</f>
        <v>0</v>
      </c>
      <c r="AH67" s="39">
        <f>IF(AQ67="0",BJ67,0)</f>
        <v>0</v>
      </c>
      <c r="AI67" s="32"/>
      <c r="AJ67" s="39">
        <f>IF(AN67=0,K67,0)</f>
        <v>0</v>
      </c>
      <c r="AK67" s="39">
        <f>IF(AN67=15,K67,0)</f>
        <v>0</v>
      </c>
      <c r="AL67" s="39">
        <f>IF(AN67=21,K67,0)</f>
        <v>0</v>
      </c>
      <c r="AN67" s="39">
        <v>21</v>
      </c>
      <c r="AO67" s="39">
        <f>H67*0</f>
        <v>0</v>
      </c>
      <c r="AP67" s="39">
        <f>H67*(1-0)</f>
        <v>0</v>
      </c>
      <c r="AQ67" s="40" t="s">
        <v>77</v>
      </c>
      <c r="AV67" s="39">
        <f>AW67+AX67</f>
        <v>0</v>
      </c>
      <c r="AW67" s="39">
        <f>G67*AO67</f>
        <v>0</v>
      </c>
      <c r="AX67" s="39">
        <f>G67*AP67</f>
        <v>0</v>
      </c>
      <c r="AY67" s="40" t="s">
        <v>129</v>
      </c>
      <c r="AZ67" s="40" t="s">
        <v>114</v>
      </c>
      <c r="BA67" s="32" t="s">
        <v>56</v>
      </c>
      <c r="BC67" s="39">
        <f>AW67+AX67</f>
        <v>0</v>
      </c>
      <c r="BD67" s="39">
        <f>H67/(100-BE67)*100</f>
        <v>0</v>
      </c>
      <c r="BE67" s="39">
        <v>0</v>
      </c>
      <c r="BF67" s="39">
        <f>67</f>
        <v>67</v>
      </c>
      <c r="BH67" s="39">
        <f>G67*AO67</f>
        <v>0</v>
      </c>
      <c r="BI67" s="39">
        <f>G67*AP67</f>
        <v>0</v>
      </c>
      <c r="BJ67" s="39">
        <f>G67*H67</f>
        <v>0</v>
      </c>
    </row>
    <row r="68" spans="1:62" ht="12.75">
      <c r="A68" s="11" t="s">
        <v>188</v>
      </c>
      <c r="B68" s="11" t="s">
        <v>189</v>
      </c>
      <c r="C68" s="11" t="s">
        <v>190</v>
      </c>
      <c r="D68" s="11"/>
      <c r="E68" s="11"/>
      <c r="F68" s="11" t="s">
        <v>52</v>
      </c>
      <c r="G68" s="38">
        <v>0.662</v>
      </c>
      <c r="H68" s="39">
        <v>0</v>
      </c>
      <c r="I68" s="39">
        <f>G68*AO68</f>
        <v>0</v>
      </c>
      <c r="J68" s="39">
        <f>G68*AP68</f>
        <v>0</v>
      </c>
      <c r="K68" s="39">
        <f>G68*H68</f>
        <v>0</v>
      </c>
      <c r="L68" s="40" t="s">
        <v>53</v>
      </c>
      <c r="Z68" s="39">
        <f>IF(AQ68="5",BJ68,0)</f>
        <v>0</v>
      </c>
      <c r="AB68" s="39">
        <f>IF(AQ68="1",BH68,0)</f>
        <v>0</v>
      </c>
      <c r="AC68" s="39">
        <f>IF(AQ68="1",BI68,0)</f>
        <v>0</v>
      </c>
      <c r="AD68" s="39">
        <f>IF(AQ68="7",BH68,0)</f>
        <v>0</v>
      </c>
      <c r="AE68" s="39">
        <f>IF(AQ68="7",BI68,0)</f>
        <v>0</v>
      </c>
      <c r="AF68" s="39">
        <f>IF(AQ68="2",BH68,0)</f>
        <v>0</v>
      </c>
      <c r="AG68" s="39">
        <f>IF(AQ68="2",BI68,0)</f>
        <v>0</v>
      </c>
      <c r="AH68" s="39">
        <f>IF(AQ68="0",BJ68,0)</f>
        <v>0</v>
      </c>
      <c r="AI68" s="32"/>
      <c r="AJ68" s="39">
        <f>IF(AN68=0,K68,0)</f>
        <v>0</v>
      </c>
      <c r="AK68" s="39">
        <f>IF(AN68=15,K68,0)</f>
        <v>0</v>
      </c>
      <c r="AL68" s="39">
        <f>IF(AN68=21,K68,0)</f>
        <v>0</v>
      </c>
      <c r="AN68" s="39">
        <v>21</v>
      </c>
      <c r="AO68" s="39">
        <f>H68*0</f>
        <v>0</v>
      </c>
      <c r="AP68" s="39">
        <f>H68*(1-0)</f>
        <v>0</v>
      </c>
      <c r="AQ68" s="40" t="s">
        <v>77</v>
      </c>
      <c r="AV68" s="39">
        <f>AW68+AX68</f>
        <v>0</v>
      </c>
      <c r="AW68" s="39">
        <f>G68*AO68</f>
        <v>0</v>
      </c>
      <c r="AX68" s="39">
        <f>G68*AP68</f>
        <v>0</v>
      </c>
      <c r="AY68" s="40" t="s">
        <v>129</v>
      </c>
      <c r="AZ68" s="40" t="s">
        <v>114</v>
      </c>
      <c r="BA68" s="32" t="s">
        <v>56</v>
      </c>
      <c r="BC68" s="39">
        <f>AW68+AX68</f>
        <v>0</v>
      </c>
      <c r="BD68" s="39">
        <f>H68/(100-BE68)*100</f>
        <v>0</v>
      </c>
      <c r="BE68" s="39">
        <v>0</v>
      </c>
      <c r="BF68" s="39">
        <f>68</f>
        <v>68</v>
      </c>
      <c r="BH68" s="39">
        <f>G68*AO68</f>
        <v>0</v>
      </c>
      <c r="BI68" s="39">
        <f>G68*AP68</f>
        <v>0</v>
      </c>
      <c r="BJ68" s="39">
        <f>G68*H68</f>
        <v>0</v>
      </c>
    </row>
    <row r="69" spans="1:47" ht="12.75">
      <c r="A69" s="43"/>
      <c r="B69" s="44" t="s">
        <v>191</v>
      </c>
      <c r="C69" s="44" t="s">
        <v>192</v>
      </c>
      <c r="D69" s="44"/>
      <c r="E69" s="44"/>
      <c r="F69" s="43" t="s">
        <v>4</v>
      </c>
      <c r="G69" s="43" t="s">
        <v>4</v>
      </c>
      <c r="H69" s="43" t="s">
        <v>4</v>
      </c>
      <c r="I69" s="37">
        <f>SUM(I70:I75)</f>
        <v>0</v>
      </c>
      <c r="J69" s="37">
        <f>SUM(J70:J75)</f>
        <v>0</v>
      </c>
      <c r="K69" s="37">
        <f>SUM(K70:K75)</f>
        <v>0</v>
      </c>
      <c r="L69" s="32"/>
      <c r="AI69" s="32"/>
      <c r="AS69" s="37">
        <f>SUM(AJ70:AJ75)</f>
        <v>0</v>
      </c>
      <c r="AT69" s="37">
        <f>SUM(AK70:AK75)</f>
        <v>0</v>
      </c>
      <c r="AU69" s="37">
        <f>SUM(AL70:AL75)</f>
        <v>0</v>
      </c>
    </row>
    <row r="70" spans="1:62" ht="12.75">
      <c r="A70" s="11" t="s">
        <v>193</v>
      </c>
      <c r="B70" s="11" t="s">
        <v>194</v>
      </c>
      <c r="C70" s="11" t="s">
        <v>195</v>
      </c>
      <c r="D70" s="11"/>
      <c r="E70" s="11"/>
      <c r="F70" s="11" t="s">
        <v>80</v>
      </c>
      <c r="G70" s="38">
        <v>15</v>
      </c>
      <c r="H70" s="39">
        <v>0</v>
      </c>
      <c r="I70" s="39">
        <f>G70*AO70</f>
        <v>0</v>
      </c>
      <c r="J70" s="39">
        <f>G70*AP70</f>
        <v>0</v>
      </c>
      <c r="K70" s="39">
        <f>G70*H70</f>
        <v>0</v>
      </c>
      <c r="L70" s="40" t="s">
        <v>53</v>
      </c>
      <c r="Z70" s="39">
        <f>IF(AQ70="5",BJ70,0)</f>
        <v>0</v>
      </c>
      <c r="AB70" s="39">
        <f>IF(AQ70="1",BH70,0)</f>
        <v>0</v>
      </c>
      <c r="AC70" s="39">
        <f>IF(AQ70="1",BI70,0)</f>
        <v>0</v>
      </c>
      <c r="AD70" s="39">
        <f>IF(AQ70="7",BH70,0)</f>
        <v>0</v>
      </c>
      <c r="AE70" s="39">
        <f>IF(AQ70="7",BI70,0)</f>
        <v>0</v>
      </c>
      <c r="AF70" s="39">
        <f>IF(AQ70="2",BH70,0)</f>
        <v>0</v>
      </c>
      <c r="AG70" s="39">
        <f>IF(AQ70="2",BI70,0)</f>
        <v>0</v>
      </c>
      <c r="AH70" s="39">
        <f>IF(AQ70="0",BJ70,0)</f>
        <v>0</v>
      </c>
      <c r="AI70" s="32"/>
      <c r="AJ70" s="39">
        <f>IF(AN70=0,K70,0)</f>
        <v>0</v>
      </c>
      <c r="AK70" s="39">
        <f>IF(AN70=15,K70,0)</f>
        <v>0</v>
      </c>
      <c r="AL70" s="39">
        <f>IF(AN70=21,K70,0)</f>
        <v>0</v>
      </c>
      <c r="AN70" s="39">
        <v>21</v>
      </c>
      <c r="AO70" s="39">
        <f>H70*0.12707182320442</f>
        <v>0</v>
      </c>
      <c r="AP70" s="39">
        <f>H70*(1-0.12707182320442)</f>
        <v>0</v>
      </c>
      <c r="AQ70" s="40" t="s">
        <v>88</v>
      </c>
      <c r="AV70" s="39">
        <f>AW70+AX70</f>
        <v>0</v>
      </c>
      <c r="AW70" s="39">
        <f>G70*AO70</f>
        <v>0</v>
      </c>
      <c r="AX70" s="39">
        <f>G70*AP70</f>
        <v>0</v>
      </c>
      <c r="AY70" s="40" t="s">
        <v>196</v>
      </c>
      <c r="AZ70" s="40" t="s">
        <v>197</v>
      </c>
      <c r="BA70" s="32" t="s">
        <v>56</v>
      </c>
      <c r="BC70" s="39">
        <f>AW70+AX70</f>
        <v>0</v>
      </c>
      <c r="BD70" s="39">
        <f>H70/(100-BE70)*100</f>
        <v>0</v>
      </c>
      <c r="BE70" s="39">
        <v>0</v>
      </c>
      <c r="BF70" s="39">
        <f>70</f>
        <v>70</v>
      </c>
      <c r="BH70" s="39">
        <f>G70*AO70</f>
        <v>0</v>
      </c>
      <c r="BI70" s="39">
        <f>G70*AP70</f>
        <v>0</v>
      </c>
      <c r="BJ70" s="39">
        <f>G70*H70</f>
        <v>0</v>
      </c>
    </row>
    <row r="71" spans="2:12" ht="12.75" customHeight="1">
      <c r="B71" s="41" t="s">
        <v>57</v>
      </c>
      <c r="C71" s="42" t="s">
        <v>158</v>
      </c>
      <c r="D71" s="42"/>
      <c r="E71" s="42"/>
      <c r="F71" s="42"/>
      <c r="G71" s="42"/>
      <c r="H71" s="42"/>
      <c r="I71" s="42"/>
      <c r="J71" s="42"/>
      <c r="K71" s="42"/>
      <c r="L71" s="42"/>
    </row>
    <row r="72" spans="1:62" ht="12.75">
      <c r="A72" s="11" t="s">
        <v>198</v>
      </c>
      <c r="B72" s="11" t="s">
        <v>199</v>
      </c>
      <c r="C72" s="11" t="s">
        <v>200</v>
      </c>
      <c r="D72" s="11"/>
      <c r="E72" s="11"/>
      <c r="F72" s="11" t="s">
        <v>80</v>
      </c>
      <c r="G72" s="38">
        <v>16.5</v>
      </c>
      <c r="H72" s="39">
        <v>0</v>
      </c>
      <c r="I72" s="39">
        <f>G72*AO72</f>
        <v>0</v>
      </c>
      <c r="J72" s="39">
        <f>G72*AP72</f>
        <v>0</v>
      </c>
      <c r="K72" s="39">
        <f>G72*H72</f>
        <v>0</v>
      </c>
      <c r="L72" s="40" t="s">
        <v>53</v>
      </c>
      <c r="Z72" s="39">
        <f>IF(AQ72="5",BJ72,0)</f>
        <v>0</v>
      </c>
      <c r="AB72" s="39">
        <f>IF(AQ72="1",BH72,0)</f>
        <v>0</v>
      </c>
      <c r="AC72" s="39">
        <f>IF(AQ72="1",BI72,0)</f>
        <v>0</v>
      </c>
      <c r="AD72" s="39">
        <f>IF(AQ72="7",BH72,0)</f>
        <v>0</v>
      </c>
      <c r="AE72" s="39">
        <f>IF(AQ72="7",BI72,0)</f>
        <v>0</v>
      </c>
      <c r="AF72" s="39">
        <f>IF(AQ72="2",BH72,0)</f>
        <v>0</v>
      </c>
      <c r="AG72" s="39">
        <f>IF(AQ72="2",BI72,0)</f>
        <v>0</v>
      </c>
      <c r="AH72" s="39">
        <f>IF(AQ72="0",BJ72,0)</f>
        <v>0</v>
      </c>
      <c r="AI72" s="32"/>
      <c r="AJ72" s="39">
        <f>IF(AN72=0,K72,0)</f>
        <v>0</v>
      </c>
      <c r="AK72" s="39">
        <f>IF(AN72=15,K72,0)</f>
        <v>0</v>
      </c>
      <c r="AL72" s="39">
        <f>IF(AN72=21,K72,0)</f>
        <v>0</v>
      </c>
      <c r="AN72" s="39">
        <v>21</v>
      </c>
      <c r="AO72" s="39">
        <f>H72*1</f>
        <v>0</v>
      </c>
      <c r="AP72" s="39">
        <f>H72*(1-1)</f>
        <v>0</v>
      </c>
      <c r="AQ72" s="40" t="s">
        <v>88</v>
      </c>
      <c r="AV72" s="39">
        <f>AW72+AX72</f>
        <v>0</v>
      </c>
      <c r="AW72" s="39">
        <f>G72*AO72</f>
        <v>0</v>
      </c>
      <c r="AX72" s="39">
        <f>G72*AP72</f>
        <v>0</v>
      </c>
      <c r="AY72" s="40" t="s">
        <v>196</v>
      </c>
      <c r="AZ72" s="40" t="s">
        <v>197</v>
      </c>
      <c r="BA72" s="32" t="s">
        <v>56</v>
      </c>
      <c r="BC72" s="39">
        <f>AW72+AX72</f>
        <v>0</v>
      </c>
      <c r="BD72" s="39">
        <f>H72/(100-BE72)*100</f>
        <v>0</v>
      </c>
      <c r="BE72" s="39">
        <v>0</v>
      </c>
      <c r="BF72" s="39">
        <f>72</f>
        <v>72</v>
      </c>
      <c r="BH72" s="39">
        <f>G72*AO72</f>
        <v>0</v>
      </c>
      <c r="BI72" s="39">
        <f>G72*AP72</f>
        <v>0</v>
      </c>
      <c r="BJ72" s="39">
        <f>G72*H72</f>
        <v>0</v>
      </c>
    </row>
    <row r="73" spans="1:62" ht="12.75">
      <c r="A73" s="11" t="s">
        <v>201</v>
      </c>
      <c r="B73" s="11" t="s">
        <v>202</v>
      </c>
      <c r="C73" s="11" t="s">
        <v>203</v>
      </c>
      <c r="D73" s="11"/>
      <c r="E73" s="11"/>
      <c r="F73" s="11" t="s">
        <v>104</v>
      </c>
      <c r="G73" s="38">
        <v>40</v>
      </c>
      <c r="H73" s="39">
        <v>0</v>
      </c>
      <c r="I73" s="39">
        <f>G73*AO73</f>
        <v>0</v>
      </c>
      <c r="J73" s="39">
        <f>G73*AP73</f>
        <v>0</v>
      </c>
      <c r="K73" s="39">
        <f>G73*H73</f>
        <v>0</v>
      </c>
      <c r="L73" s="40" t="s">
        <v>53</v>
      </c>
      <c r="Z73" s="39">
        <f>IF(AQ73="5",BJ73,0)</f>
        <v>0</v>
      </c>
      <c r="AB73" s="39">
        <f>IF(AQ73="1",BH73,0)</f>
        <v>0</v>
      </c>
      <c r="AC73" s="39">
        <f>IF(AQ73="1",BI73,0)</f>
        <v>0</v>
      </c>
      <c r="AD73" s="39">
        <f>IF(AQ73="7",BH73,0)</f>
        <v>0</v>
      </c>
      <c r="AE73" s="39">
        <f>IF(AQ73="7",BI73,0)</f>
        <v>0</v>
      </c>
      <c r="AF73" s="39">
        <f>IF(AQ73="2",BH73,0)</f>
        <v>0</v>
      </c>
      <c r="AG73" s="39">
        <f>IF(AQ73="2",BI73,0)</f>
        <v>0</v>
      </c>
      <c r="AH73" s="39">
        <f>IF(AQ73="0",BJ73,0)</f>
        <v>0</v>
      </c>
      <c r="AI73" s="32"/>
      <c r="AJ73" s="39">
        <f>IF(AN73=0,K73,0)</f>
        <v>0</v>
      </c>
      <c r="AK73" s="39">
        <f>IF(AN73=15,K73,0)</f>
        <v>0</v>
      </c>
      <c r="AL73" s="39">
        <f>IF(AN73=21,K73,0)</f>
        <v>0</v>
      </c>
      <c r="AN73" s="39">
        <v>21</v>
      </c>
      <c r="AO73" s="39">
        <f>H73*0.366348044200393</f>
        <v>0</v>
      </c>
      <c r="AP73" s="39">
        <f>H73*(1-0.366348044200393)</f>
        <v>0</v>
      </c>
      <c r="AQ73" s="40" t="s">
        <v>88</v>
      </c>
      <c r="AV73" s="39">
        <f>AW73+AX73</f>
        <v>0</v>
      </c>
      <c r="AW73" s="39">
        <f>G73*AO73</f>
        <v>0</v>
      </c>
      <c r="AX73" s="39">
        <f>G73*AP73</f>
        <v>0</v>
      </c>
      <c r="AY73" s="40" t="s">
        <v>196</v>
      </c>
      <c r="AZ73" s="40" t="s">
        <v>197</v>
      </c>
      <c r="BA73" s="32" t="s">
        <v>56</v>
      </c>
      <c r="BC73" s="39">
        <f>AW73+AX73</f>
        <v>0</v>
      </c>
      <c r="BD73" s="39">
        <f>H73/(100-BE73)*100</f>
        <v>0</v>
      </c>
      <c r="BE73" s="39">
        <v>0</v>
      </c>
      <c r="BF73" s="39">
        <f>73</f>
        <v>73</v>
      </c>
      <c r="BH73" s="39">
        <f>G73*AO73</f>
        <v>0</v>
      </c>
      <c r="BI73" s="39">
        <f>G73*AP73</f>
        <v>0</v>
      </c>
      <c r="BJ73" s="39">
        <f>G73*H73</f>
        <v>0</v>
      </c>
    </row>
    <row r="74" spans="1:62" ht="12.75">
      <c r="A74" s="11" t="s">
        <v>204</v>
      </c>
      <c r="B74" s="11" t="s">
        <v>205</v>
      </c>
      <c r="C74" s="11" t="s">
        <v>206</v>
      </c>
      <c r="D74" s="11"/>
      <c r="E74" s="11"/>
      <c r="F74" s="11" t="s">
        <v>104</v>
      </c>
      <c r="G74" s="38">
        <v>25</v>
      </c>
      <c r="H74" s="39">
        <v>0</v>
      </c>
      <c r="I74" s="39">
        <f>G74*AO74</f>
        <v>0</v>
      </c>
      <c r="J74" s="39">
        <f>G74*AP74</f>
        <v>0</v>
      </c>
      <c r="K74" s="39">
        <f>G74*H74</f>
        <v>0</v>
      </c>
      <c r="L74" s="40" t="s">
        <v>53</v>
      </c>
      <c r="Z74" s="39">
        <f>IF(AQ74="5",BJ74,0)</f>
        <v>0</v>
      </c>
      <c r="AB74" s="39">
        <f>IF(AQ74="1",BH74,0)</f>
        <v>0</v>
      </c>
      <c r="AC74" s="39">
        <f>IF(AQ74="1",BI74,0)</f>
        <v>0</v>
      </c>
      <c r="AD74" s="39">
        <f>IF(AQ74="7",BH74,0)</f>
        <v>0</v>
      </c>
      <c r="AE74" s="39">
        <f>IF(AQ74="7",BI74,0)</f>
        <v>0</v>
      </c>
      <c r="AF74" s="39">
        <f>IF(AQ74="2",BH74,0)</f>
        <v>0</v>
      </c>
      <c r="AG74" s="39">
        <f>IF(AQ74="2",BI74,0)</f>
        <v>0</v>
      </c>
      <c r="AH74" s="39">
        <f>IF(AQ74="0",BJ74,0)</f>
        <v>0</v>
      </c>
      <c r="AI74" s="32"/>
      <c r="AJ74" s="39">
        <f>IF(AN74=0,K74,0)</f>
        <v>0</v>
      </c>
      <c r="AK74" s="39">
        <f>IF(AN74=15,K74,0)</f>
        <v>0</v>
      </c>
      <c r="AL74" s="39">
        <f>IF(AN74=21,K74,0)</f>
        <v>0</v>
      </c>
      <c r="AN74" s="39">
        <v>21</v>
      </c>
      <c r="AO74" s="39">
        <f>H74*0.494442190669371</f>
        <v>0</v>
      </c>
      <c r="AP74" s="39">
        <f>H74*(1-0.494442190669371)</f>
        <v>0</v>
      </c>
      <c r="AQ74" s="40" t="s">
        <v>88</v>
      </c>
      <c r="AV74" s="39">
        <f>AW74+AX74</f>
        <v>0</v>
      </c>
      <c r="AW74" s="39">
        <f>G74*AO74</f>
        <v>0</v>
      </c>
      <c r="AX74" s="39">
        <f>G74*AP74</f>
        <v>0</v>
      </c>
      <c r="AY74" s="40" t="s">
        <v>196</v>
      </c>
      <c r="AZ74" s="40" t="s">
        <v>197</v>
      </c>
      <c r="BA74" s="32" t="s">
        <v>56</v>
      </c>
      <c r="BC74" s="39">
        <f>AW74+AX74</f>
        <v>0</v>
      </c>
      <c r="BD74" s="39">
        <f>H74/(100-BE74)*100</f>
        <v>0</v>
      </c>
      <c r="BE74" s="39">
        <v>0</v>
      </c>
      <c r="BF74" s="39">
        <f>74</f>
        <v>74</v>
      </c>
      <c r="BH74" s="39">
        <f>G74*AO74</f>
        <v>0</v>
      </c>
      <c r="BI74" s="39">
        <f>G74*AP74</f>
        <v>0</v>
      </c>
      <c r="BJ74" s="39">
        <f>G74*H74</f>
        <v>0</v>
      </c>
    </row>
    <row r="75" spans="1:62" ht="12.75">
      <c r="A75" s="11" t="s">
        <v>207</v>
      </c>
      <c r="B75" s="11" t="s">
        <v>208</v>
      </c>
      <c r="C75" s="11" t="s">
        <v>209</v>
      </c>
      <c r="D75" s="11"/>
      <c r="E75" s="11"/>
      <c r="F75" s="11" t="s">
        <v>52</v>
      </c>
      <c r="G75" s="38">
        <v>0.086</v>
      </c>
      <c r="H75" s="39">
        <v>0</v>
      </c>
      <c r="I75" s="39">
        <f>G75*AO75</f>
        <v>0</v>
      </c>
      <c r="J75" s="39">
        <f>G75*AP75</f>
        <v>0</v>
      </c>
      <c r="K75" s="39">
        <f>G75*H75</f>
        <v>0</v>
      </c>
      <c r="L75" s="40" t="s">
        <v>53</v>
      </c>
      <c r="Z75" s="39">
        <f>IF(AQ75="5",BJ75,0)</f>
        <v>0</v>
      </c>
      <c r="AB75" s="39">
        <f>IF(AQ75="1",BH75,0)</f>
        <v>0</v>
      </c>
      <c r="AC75" s="39">
        <f>IF(AQ75="1",BI75,0)</f>
        <v>0</v>
      </c>
      <c r="AD75" s="39">
        <f>IF(AQ75="7",BH75,0)</f>
        <v>0</v>
      </c>
      <c r="AE75" s="39">
        <f>IF(AQ75="7",BI75,0)</f>
        <v>0</v>
      </c>
      <c r="AF75" s="39">
        <f>IF(AQ75="2",BH75,0)</f>
        <v>0</v>
      </c>
      <c r="AG75" s="39">
        <f>IF(AQ75="2",BI75,0)</f>
        <v>0</v>
      </c>
      <c r="AH75" s="39">
        <f>IF(AQ75="0",BJ75,0)</f>
        <v>0</v>
      </c>
      <c r="AI75" s="32"/>
      <c r="AJ75" s="39">
        <f>IF(AN75=0,K75,0)</f>
        <v>0</v>
      </c>
      <c r="AK75" s="39">
        <f>IF(AN75=15,K75,0)</f>
        <v>0</v>
      </c>
      <c r="AL75" s="39">
        <f>IF(AN75=21,K75,0)</f>
        <v>0</v>
      </c>
      <c r="AN75" s="39">
        <v>21</v>
      </c>
      <c r="AO75" s="39">
        <f>H75*0</f>
        <v>0</v>
      </c>
      <c r="AP75" s="39">
        <f>H75*(1-0)</f>
        <v>0</v>
      </c>
      <c r="AQ75" s="40" t="s">
        <v>77</v>
      </c>
      <c r="AV75" s="39">
        <f>AW75+AX75</f>
        <v>0</v>
      </c>
      <c r="AW75" s="39">
        <f>G75*AO75</f>
        <v>0</v>
      </c>
      <c r="AX75" s="39">
        <f>G75*AP75</f>
        <v>0</v>
      </c>
      <c r="AY75" s="40" t="s">
        <v>196</v>
      </c>
      <c r="AZ75" s="40" t="s">
        <v>197</v>
      </c>
      <c r="BA75" s="32" t="s">
        <v>56</v>
      </c>
      <c r="BC75" s="39">
        <f>AW75+AX75</f>
        <v>0</v>
      </c>
      <c r="BD75" s="39">
        <f>H75/(100-BE75)*100</f>
        <v>0</v>
      </c>
      <c r="BE75" s="39">
        <v>0</v>
      </c>
      <c r="BF75" s="39">
        <f>75</f>
        <v>75</v>
      </c>
      <c r="BH75" s="39">
        <f>G75*AO75</f>
        <v>0</v>
      </c>
      <c r="BI75" s="39">
        <f>G75*AP75</f>
        <v>0</v>
      </c>
      <c r="BJ75" s="39">
        <f>G75*H75</f>
        <v>0</v>
      </c>
    </row>
    <row r="76" spans="1:47" ht="12.75">
      <c r="A76" s="43"/>
      <c r="B76" s="44" t="s">
        <v>210</v>
      </c>
      <c r="C76" s="44" t="s">
        <v>211</v>
      </c>
      <c r="D76" s="44"/>
      <c r="E76" s="44"/>
      <c r="F76" s="43" t="s">
        <v>4</v>
      </c>
      <c r="G76" s="43" t="s">
        <v>4</v>
      </c>
      <c r="H76" s="43" t="s">
        <v>4</v>
      </c>
      <c r="I76" s="37">
        <f>SUM(I77:I85)</f>
        <v>0</v>
      </c>
      <c r="J76" s="37">
        <f>SUM(J77:J85)</f>
        <v>0</v>
      </c>
      <c r="K76" s="37">
        <f>SUM(K77:K85)</f>
        <v>0</v>
      </c>
      <c r="L76" s="32"/>
      <c r="AI76" s="32"/>
      <c r="AS76" s="37">
        <f>SUM(AJ77:AJ85)</f>
        <v>0</v>
      </c>
      <c r="AT76" s="37">
        <f>SUM(AK77:AK85)</f>
        <v>0</v>
      </c>
      <c r="AU76" s="37">
        <f>SUM(AL77:AL85)</f>
        <v>0</v>
      </c>
    </row>
    <row r="77" spans="1:62" ht="12.75">
      <c r="A77" s="11" t="s">
        <v>212</v>
      </c>
      <c r="B77" s="11" t="s">
        <v>213</v>
      </c>
      <c r="C77" s="11" t="s">
        <v>214</v>
      </c>
      <c r="D77" s="11"/>
      <c r="E77" s="11"/>
      <c r="F77" s="11" t="s">
        <v>80</v>
      </c>
      <c r="G77" s="38">
        <v>275</v>
      </c>
      <c r="H77" s="39">
        <v>0</v>
      </c>
      <c r="I77" s="39">
        <f>G77*AO77</f>
        <v>0</v>
      </c>
      <c r="J77" s="39">
        <f>G77*AP77</f>
        <v>0</v>
      </c>
      <c r="K77" s="39">
        <f>G77*H77</f>
        <v>0</v>
      </c>
      <c r="L77" s="40" t="s">
        <v>53</v>
      </c>
      <c r="Z77" s="39">
        <f>IF(AQ77="5",BJ77,0)</f>
        <v>0</v>
      </c>
      <c r="AB77" s="39">
        <f>IF(AQ77="1",BH77,0)</f>
        <v>0</v>
      </c>
      <c r="AC77" s="39">
        <f>IF(AQ77="1",BI77,0)</f>
        <v>0</v>
      </c>
      <c r="AD77" s="39">
        <f>IF(AQ77="7",BH77,0)</f>
        <v>0</v>
      </c>
      <c r="AE77" s="39">
        <f>IF(AQ77="7",BI77,0)</f>
        <v>0</v>
      </c>
      <c r="AF77" s="39">
        <f>IF(AQ77="2",BH77,0)</f>
        <v>0</v>
      </c>
      <c r="AG77" s="39">
        <f>IF(AQ77="2",BI77,0)</f>
        <v>0</v>
      </c>
      <c r="AH77" s="39">
        <f>IF(AQ77="0",BJ77,0)</f>
        <v>0</v>
      </c>
      <c r="AI77" s="32"/>
      <c r="AJ77" s="39">
        <f>IF(AN77=0,K77,0)</f>
        <v>0</v>
      </c>
      <c r="AK77" s="39">
        <f>IF(AN77=15,K77,0)</f>
        <v>0</v>
      </c>
      <c r="AL77" s="39">
        <f>IF(AN77=21,K77,0)</f>
        <v>0</v>
      </c>
      <c r="AN77" s="39">
        <v>21</v>
      </c>
      <c r="AO77" s="39">
        <f>H77*0.335681820534855</f>
        <v>0</v>
      </c>
      <c r="AP77" s="39">
        <f>H77*(1-0.335681820534855)</f>
        <v>0</v>
      </c>
      <c r="AQ77" s="40" t="s">
        <v>88</v>
      </c>
      <c r="AV77" s="39">
        <f>AW77+AX77</f>
        <v>0</v>
      </c>
      <c r="AW77" s="39">
        <f>G77*AO77</f>
        <v>0</v>
      </c>
      <c r="AX77" s="39">
        <f>G77*AP77</f>
        <v>0</v>
      </c>
      <c r="AY77" s="40" t="s">
        <v>215</v>
      </c>
      <c r="AZ77" s="40" t="s">
        <v>216</v>
      </c>
      <c r="BA77" s="32" t="s">
        <v>56</v>
      </c>
      <c r="BC77" s="39">
        <f>AW77+AX77</f>
        <v>0</v>
      </c>
      <c r="BD77" s="39">
        <f>H77/(100-BE77)*100</f>
        <v>0</v>
      </c>
      <c r="BE77" s="39">
        <v>0</v>
      </c>
      <c r="BF77" s="39">
        <f>77</f>
        <v>77</v>
      </c>
      <c r="BH77" s="39">
        <f>G77*AO77</f>
        <v>0</v>
      </c>
      <c r="BI77" s="39">
        <f>G77*AP77</f>
        <v>0</v>
      </c>
      <c r="BJ77" s="39">
        <f>G77*H77</f>
        <v>0</v>
      </c>
    </row>
    <row r="78" spans="2:12" ht="12.75" customHeight="1">
      <c r="B78" s="41" t="s">
        <v>57</v>
      </c>
      <c r="C78" s="42" t="s">
        <v>217</v>
      </c>
      <c r="D78" s="42"/>
      <c r="E78" s="42"/>
      <c r="F78" s="42"/>
      <c r="G78" s="42"/>
      <c r="H78" s="42"/>
      <c r="I78" s="42"/>
      <c r="J78" s="42"/>
      <c r="K78" s="42"/>
      <c r="L78" s="42"/>
    </row>
    <row r="79" spans="1:62" ht="12.75">
      <c r="A79" s="11" t="s">
        <v>218</v>
      </c>
      <c r="B79" s="11" t="s">
        <v>219</v>
      </c>
      <c r="C79" s="11" t="s">
        <v>220</v>
      </c>
      <c r="D79" s="11"/>
      <c r="E79" s="11"/>
      <c r="F79" s="11" t="s">
        <v>80</v>
      </c>
      <c r="G79" s="38">
        <v>275</v>
      </c>
      <c r="H79" s="39">
        <v>0</v>
      </c>
      <c r="I79" s="39">
        <f>G79*AO79</f>
        <v>0</v>
      </c>
      <c r="J79" s="39">
        <f>G79*AP79</f>
        <v>0</v>
      </c>
      <c r="K79" s="39">
        <f>G79*H79</f>
        <v>0</v>
      </c>
      <c r="L79" s="40" t="s">
        <v>53</v>
      </c>
      <c r="Z79" s="39">
        <f>IF(AQ79="5",BJ79,0)</f>
        <v>0</v>
      </c>
      <c r="AB79" s="39">
        <f>IF(AQ79="1",BH79,0)</f>
        <v>0</v>
      </c>
      <c r="AC79" s="39">
        <f>IF(AQ79="1",BI79,0)</f>
        <v>0</v>
      </c>
      <c r="AD79" s="39">
        <f>IF(AQ79="7",BH79,0)</f>
        <v>0</v>
      </c>
      <c r="AE79" s="39">
        <f>IF(AQ79="7",BI79,0)</f>
        <v>0</v>
      </c>
      <c r="AF79" s="39">
        <f>IF(AQ79="2",BH79,0)</f>
        <v>0</v>
      </c>
      <c r="AG79" s="39">
        <f>IF(AQ79="2",BI79,0)</f>
        <v>0</v>
      </c>
      <c r="AH79" s="39">
        <f>IF(AQ79="0",BJ79,0)</f>
        <v>0</v>
      </c>
      <c r="AI79" s="32"/>
      <c r="AJ79" s="39">
        <f>IF(AN79=0,K79,0)</f>
        <v>0</v>
      </c>
      <c r="AK79" s="39">
        <f>IF(AN79=15,K79,0)</f>
        <v>0</v>
      </c>
      <c r="AL79" s="39">
        <f>IF(AN79=21,K79,0)</f>
        <v>0</v>
      </c>
      <c r="AN79" s="39">
        <v>21</v>
      </c>
      <c r="AO79" s="39">
        <f>H79*0.438938053097345</f>
        <v>0</v>
      </c>
      <c r="AP79" s="39">
        <f>H79*(1-0.438938053097345)</f>
        <v>0</v>
      </c>
      <c r="AQ79" s="40" t="s">
        <v>88</v>
      </c>
      <c r="AV79" s="39">
        <f>AW79+AX79</f>
        <v>0</v>
      </c>
      <c r="AW79" s="39">
        <f>G79*AO79</f>
        <v>0</v>
      </c>
      <c r="AX79" s="39">
        <f>G79*AP79</f>
        <v>0</v>
      </c>
      <c r="AY79" s="40" t="s">
        <v>215</v>
      </c>
      <c r="AZ79" s="40" t="s">
        <v>216</v>
      </c>
      <c r="BA79" s="32" t="s">
        <v>56</v>
      </c>
      <c r="BC79" s="39">
        <f>AW79+AX79</f>
        <v>0</v>
      </c>
      <c r="BD79" s="39">
        <f>H79/(100-BE79)*100</f>
        <v>0</v>
      </c>
      <c r="BE79" s="39">
        <v>0</v>
      </c>
      <c r="BF79" s="39">
        <f>79</f>
        <v>79</v>
      </c>
      <c r="BH79" s="39">
        <f>G79*AO79</f>
        <v>0</v>
      </c>
      <c r="BI79" s="39">
        <f>G79*AP79</f>
        <v>0</v>
      </c>
      <c r="BJ79" s="39">
        <f>G79*H79</f>
        <v>0</v>
      </c>
    </row>
    <row r="80" spans="2:12" ht="12.75" customHeight="1">
      <c r="B80" s="41" t="s">
        <v>57</v>
      </c>
      <c r="C80" s="42" t="s">
        <v>221</v>
      </c>
      <c r="D80" s="42"/>
      <c r="E80" s="42"/>
      <c r="F80" s="42"/>
      <c r="G80" s="42"/>
      <c r="H80" s="42"/>
      <c r="I80" s="42"/>
      <c r="J80" s="42"/>
      <c r="K80" s="42"/>
      <c r="L80" s="42"/>
    </row>
    <row r="81" spans="1:62" ht="12.75">
      <c r="A81" s="11" t="s">
        <v>222</v>
      </c>
      <c r="B81" s="11" t="s">
        <v>223</v>
      </c>
      <c r="C81" s="11" t="s">
        <v>224</v>
      </c>
      <c r="D81" s="11"/>
      <c r="E81" s="11"/>
      <c r="F81" s="11" t="s">
        <v>80</v>
      </c>
      <c r="G81" s="38">
        <v>7</v>
      </c>
      <c r="H81" s="39">
        <v>0</v>
      </c>
      <c r="I81" s="39">
        <f>G81*AO81</f>
        <v>0</v>
      </c>
      <c r="J81" s="39">
        <f>G81*AP81</f>
        <v>0</v>
      </c>
      <c r="K81" s="39">
        <f>G81*H81</f>
        <v>0</v>
      </c>
      <c r="L81" s="40" t="s">
        <v>53</v>
      </c>
      <c r="Z81" s="39">
        <f>IF(AQ81="5",BJ81,0)</f>
        <v>0</v>
      </c>
      <c r="AB81" s="39">
        <f>IF(AQ81="1",BH81,0)</f>
        <v>0</v>
      </c>
      <c r="AC81" s="39">
        <f>IF(AQ81="1",BI81,0)</f>
        <v>0</v>
      </c>
      <c r="AD81" s="39">
        <f>IF(AQ81="7",BH81,0)</f>
        <v>0</v>
      </c>
      <c r="AE81" s="39">
        <f>IF(AQ81="7",BI81,0)</f>
        <v>0</v>
      </c>
      <c r="AF81" s="39">
        <f>IF(AQ81="2",BH81,0)</f>
        <v>0</v>
      </c>
      <c r="AG81" s="39">
        <f>IF(AQ81="2",BI81,0)</f>
        <v>0</v>
      </c>
      <c r="AH81" s="39">
        <f>IF(AQ81="0",BJ81,0)</f>
        <v>0</v>
      </c>
      <c r="AI81" s="32"/>
      <c r="AJ81" s="39">
        <f>IF(AN81=0,K81,0)</f>
        <v>0</v>
      </c>
      <c r="AK81" s="39">
        <f>IF(AN81=15,K81,0)</f>
        <v>0</v>
      </c>
      <c r="AL81" s="39">
        <f>IF(AN81=21,K81,0)</f>
        <v>0</v>
      </c>
      <c r="AN81" s="39">
        <v>21</v>
      </c>
      <c r="AO81" s="39">
        <f>H81*0.642735849056604</f>
        <v>0</v>
      </c>
      <c r="AP81" s="39">
        <f>H81*(1-0.642735849056604)</f>
        <v>0</v>
      </c>
      <c r="AQ81" s="40" t="s">
        <v>88</v>
      </c>
      <c r="AV81" s="39">
        <f>AW81+AX81</f>
        <v>0</v>
      </c>
      <c r="AW81" s="39">
        <f>G81*AO81</f>
        <v>0</v>
      </c>
      <c r="AX81" s="39">
        <f>G81*AP81</f>
        <v>0</v>
      </c>
      <c r="AY81" s="40" t="s">
        <v>215</v>
      </c>
      <c r="AZ81" s="40" t="s">
        <v>216</v>
      </c>
      <c r="BA81" s="32" t="s">
        <v>56</v>
      </c>
      <c r="BC81" s="39">
        <f>AW81+AX81</f>
        <v>0</v>
      </c>
      <c r="BD81" s="39">
        <f>H81/(100-BE81)*100</f>
        <v>0</v>
      </c>
      <c r="BE81" s="39">
        <v>0</v>
      </c>
      <c r="BF81" s="39">
        <f>81</f>
        <v>81</v>
      </c>
      <c r="BH81" s="39">
        <f>G81*AO81</f>
        <v>0</v>
      </c>
      <c r="BI81" s="39">
        <f>G81*AP81</f>
        <v>0</v>
      </c>
      <c r="BJ81" s="39">
        <f>G81*H81</f>
        <v>0</v>
      </c>
    </row>
    <row r="82" spans="2:12" ht="12.75" customHeight="1">
      <c r="B82" s="41" t="s">
        <v>57</v>
      </c>
      <c r="C82" s="42" t="s">
        <v>225</v>
      </c>
      <c r="D82" s="42"/>
      <c r="E82" s="42"/>
      <c r="F82" s="42"/>
      <c r="G82" s="42"/>
      <c r="H82" s="42"/>
      <c r="I82" s="42"/>
      <c r="J82" s="42"/>
      <c r="K82" s="42"/>
      <c r="L82" s="42"/>
    </row>
    <row r="83" spans="1:62" ht="12.75">
      <c r="A83" s="11" t="s">
        <v>226</v>
      </c>
      <c r="B83" s="11" t="s">
        <v>227</v>
      </c>
      <c r="C83" s="11" t="s">
        <v>228</v>
      </c>
      <c r="D83" s="11"/>
      <c r="E83" s="11"/>
      <c r="F83" s="11" t="s">
        <v>80</v>
      </c>
      <c r="G83" s="38">
        <v>17</v>
      </c>
      <c r="H83" s="39">
        <v>0</v>
      </c>
      <c r="I83" s="39">
        <f>G83*AO83</f>
        <v>0</v>
      </c>
      <c r="J83" s="39">
        <f>G83*AP83</f>
        <v>0</v>
      </c>
      <c r="K83" s="39">
        <f>G83*H83</f>
        <v>0</v>
      </c>
      <c r="L83" s="40" t="s">
        <v>53</v>
      </c>
      <c r="Z83" s="39">
        <f>IF(AQ83="5",BJ83,0)</f>
        <v>0</v>
      </c>
      <c r="AB83" s="39">
        <f>IF(AQ83="1",BH83,0)</f>
        <v>0</v>
      </c>
      <c r="AC83" s="39">
        <f>IF(AQ83="1",BI83,0)</f>
        <v>0</v>
      </c>
      <c r="AD83" s="39">
        <f>IF(AQ83="7",BH83,0)</f>
        <v>0</v>
      </c>
      <c r="AE83" s="39">
        <f>IF(AQ83="7",BI83,0)</f>
        <v>0</v>
      </c>
      <c r="AF83" s="39">
        <f>IF(AQ83="2",BH83,0)</f>
        <v>0</v>
      </c>
      <c r="AG83" s="39">
        <f>IF(AQ83="2",BI83,0)</f>
        <v>0</v>
      </c>
      <c r="AH83" s="39">
        <f>IF(AQ83="0",BJ83,0)</f>
        <v>0</v>
      </c>
      <c r="AI83" s="32"/>
      <c r="AJ83" s="39">
        <f>IF(AN83=0,K83,0)</f>
        <v>0</v>
      </c>
      <c r="AK83" s="39">
        <f>IF(AN83=15,K83,0)</f>
        <v>0</v>
      </c>
      <c r="AL83" s="39">
        <f>IF(AN83=21,K83,0)</f>
        <v>0</v>
      </c>
      <c r="AN83" s="39">
        <v>21</v>
      </c>
      <c r="AO83" s="39">
        <f>H83*0.598597339782346</f>
        <v>0</v>
      </c>
      <c r="AP83" s="39">
        <f>H83*(1-0.598597339782346)</f>
        <v>0</v>
      </c>
      <c r="AQ83" s="40" t="s">
        <v>88</v>
      </c>
      <c r="AV83" s="39">
        <f>AW83+AX83</f>
        <v>0</v>
      </c>
      <c r="AW83" s="39">
        <f>G83*AO83</f>
        <v>0</v>
      </c>
      <c r="AX83" s="39">
        <f>G83*AP83</f>
        <v>0</v>
      </c>
      <c r="AY83" s="40" t="s">
        <v>215</v>
      </c>
      <c r="AZ83" s="40" t="s">
        <v>216</v>
      </c>
      <c r="BA83" s="32" t="s">
        <v>56</v>
      </c>
      <c r="BC83" s="39">
        <f>AW83+AX83</f>
        <v>0</v>
      </c>
      <c r="BD83" s="39">
        <f>H83/(100-BE83)*100</f>
        <v>0</v>
      </c>
      <c r="BE83" s="39">
        <v>0</v>
      </c>
      <c r="BF83" s="39">
        <f>83</f>
        <v>83</v>
      </c>
      <c r="BH83" s="39">
        <f>G83*AO83</f>
        <v>0</v>
      </c>
      <c r="BI83" s="39">
        <f>G83*AP83</f>
        <v>0</v>
      </c>
      <c r="BJ83" s="39">
        <f>G83*H83</f>
        <v>0</v>
      </c>
    </row>
    <row r="84" spans="2:12" ht="12.75" customHeight="1">
      <c r="B84" s="41" t="s">
        <v>57</v>
      </c>
      <c r="C84" s="42" t="s">
        <v>229</v>
      </c>
      <c r="D84" s="42"/>
      <c r="E84" s="42"/>
      <c r="F84" s="42"/>
      <c r="G84" s="42"/>
      <c r="H84" s="42"/>
      <c r="I84" s="42"/>
      <c r="J84" s="42"/>
      <c r="K84" s="42"/>
      <c r="L84" s="42"/>
    </row>
    <row r="85" spans="1:62" ht="12.75">
      <c r="A85" s="11" t="s">
        <v>230</v>
      </c>
      <c r="B85" s="11" t="s">
        <v>231</v>
      </c>
      <c r="C85" s="11" t="s">
        <v>232</v>
      </c>
      <c r="D85" s="11"/>
      <c r="E85" s="11"/>
      <c r="F85" s="11" t="s">
        <v>52</v>
      </c>
      <c r="G85" s="38">
        <v>1.6</v>
      </c>
      <c r="H85" s="39">
        <v>0</v>
      </c>
      <c r="I85" s="39">
        <f>G85*AO85</f>
        <v>0</v>
      </c>
      <c r="J85" s="39">
        <f>G85*AP85</f>
        <v>0</v>
      </c>
      <c r="K85" s="39">
        <f>G85*H85</f>
        <v>0</v>
      </c>
      <c r="L85" s="40" t="s">
        <v>53</v>
      </c>
      <c r="Z85" s="39">
        <f>IF(AQ85="5",BJ85,0)</f>
        <v>0</v>
      </c>
      <c r="AB85" s="39">
        <f>IF(AQ85="1",BH85,0)</f>
        <v>0</v>
      </c>
      <c r="AC85" s="39">
        <f>IF(AQ85="1",BI85,0)</f>
        <v>0</v>
      </c>
      <c r="AD85" s="39">
        <f>IF(AQ85="7",BH85,0)</f>
        <v>0</v>
      </c>
      <c r="AE85" s="39">
        <f>IF(AQ85="7",BI85,0)</f>
        <v>0</v>
      </c>
      <c r="AF85" s="39">
        <f>IF(AQ85="2",BH85,0)</f>
        <v>0</v>
      </c>
      <c r="AG85" s="39">
        <f>IF(AQ85="2",BI85,0)</f>
        <v>0</v>
      </c>
      <c r="AH85" s="39">
        <f>IF(AQ85="0",BJ85,0)</f>
        <v>0</v>
      </c>
      <c r="AI85" s="32"/>
      <c r="AJ85" s="39">
        <f>IF(AN85=0,K85,0)</f>
        <v>0</v>
      </c>
      <c r="AK85" s="39">
        <f>IF(AN85=15,K85,0)</f>
        <v>0</v>
      </c>
      <c r="AL85" s="39">
        <f>IF(AN85=21,K85,0)</f>
        <v>0</v>
      </c>
      <c r="AN85" s="39">
        <v>21</v>
      </c>
      <c r="AO85" s="39">
        <f>H85*0</f>
        <v>0</v>
      </c>
      <c r="AP85" s="39">
        <f>H85*(1-0)</f>
        <v>0</v>
      </c>
      <c r="AQ85" s="40" t="s">
        <v>77</v>
      </c>
      <c r="AV85" s="39">
        <f>AW85+AX85</f>
        <v>0</v>
      </c>
      <c r="AW85" s="39">
        <f>G85*AO85</f>
        <v>0</v>
      </c>
      <c r="AX85" s="39">
        <f>G85*AP85</f>
        <v>0</v>
      </c>
      <c r="AY85" s="40" t="s">
        <v>215</v>
      </c>
      <c r="AZ85" s="40" t="s">
        <v>216</v>
      </c>
      <c r="BA85" s="32" t="s">
        <v>56</v>
      </c>
      <c r="BC85" s="39">
        <f>AW85+AX85</f>
        <v>0</v>
      </c>
      <c r="BD85" s="39">
        <f>H85/(100-BE85)*100</f>
        <v>0</v>
      </c>
      <c r="BE85" s="39">
        <v>0</v>
      </c>
      <c r="BF85" s="39">
        <f>85</f>
        <v>85</v>
      </c>
      <c r="BH85" s="39">
        <f>G85*AO85</f>
        <v>0</v>
      </c>
      <c r="BI85" s="39">
        <f>G85*AP85</f>
        <v>0</v>
      </c>
      <c r="BJ85" s="39">
        <f>G85*H85</f>
        <v>0</v>
      </c>
    </row>
    <row r="86" spans="1:47" ht="12.75">
      <c r="A86" s="43"/>
      <c r="B86" s="44" t="s">
        <v>233</v>
      </c>
      <c r="C86" s="44" t="s">
        <v>234</v>
      </c>
      <c r="D86" s="44"/>
      <c r="E86" s="44"/>
      <c r="F86" s="43" t="s">
        <v>4</v>
      </c>
      <c r="G86" s="43" t="s">
        <v>4</v>
      </c>
      <c r="H86" s="43" t="s">
        <v>4</v>
      </c>
      <c r="I86" s="37">
        <f>SUM(I87:I107)</f>
        <v>0</v>
      </c>
      <c r="J86" s="37">
        <f>SUM(J87:J107)</f>
        <v>0</v>
      </c>
      <c r="K86" s="37">
        <f>SUM(K87:K107)</f>
        <v>0</v>
      </c>
      <c r="L86" s="32"/>
      <c r="AI86" s="32"/>
      <c r="AS86" s="37">
        <f>SUM(AJ87:AJ107)</f>
        <v>0</v>
      </c>
      <c r="AT86" s="37">
        <f>SUM(AK87:AK107)</f>
        <v>0</v>
      </c>
      <c r="AU86" s="37">
        <f>SUM(AL87:AL107)</f>
        <v>0</v>
      </c>
    </row>
    <row r="87" spans="1:62" ht="12.75">
      <c r="A87" s="11" t="s">
        <v>235</v>
      </c>
      <c r="B87" s="11" t="s">
        <v>236</v>
      </c>
      <c r="C87" s="11" t="s">
        <v>237</v>
      </c>
      <c r="D87" s="11"/>
      <c r="E87" s="11"/>
      <c r="F87" s="11" t="s">
        <v>80</v>
      </c>
      <c r="G87" s="38">
        <v>275</v>
      </c>
      <c r="H87" s="39">
        <v>0</v>
      </c>
      <c r="I87" s="39">
        <f aca="true" t="shared" si="0" ref="I87:I96">G87*AO87</f>
        <v>0</v>
      </c>
      <c r="J87" s="39">
        <f aca="true" t="shared" si="1" ref="J87:J96">G87*AP87</f>
        <v>0</v>
      </c>
      <c r="K87" s="39">
        <f aca="true" t="shared" si="2" ref="K87:K96">G87*H87</f>
        <v>0</v>
      </c>
      <c r="L87" s="40" t="s">
        <v>53</v>
      </c>
      <c r="Z87" s="39">
        <f aca="true" t="shared" si="3" ref="Z87:Z96">IF(AQ87="5",BJ87,0)</f>
        <v>0</v>
      </c>
      <c r="AB87" s="39">
        <f aca="true" t="shared" si="4" ref="AB87:AB96">IF(AQ87="1",BH87,0)</f>
        <v>0</v>
      </c>
      <c r="AC87" s="39">
        <f aca="true" t="shared" si="5" ref="AC87:AC96">IF(AQ87="1",BI87,0)</f>
        <v>0</v>
      </c>
      <c r="AD87" s="39">
        <f aca="true" t="shared" si="6" ref="AD87:AD96">IF(AQ87="7",BH87,0)</f>
        <v>0</v>
      </c>
      <c r="AE87" s="39">
        <f aca="true" t="shared" si="7" ref="AE87:AE96">IF(AQ87="7",BI87,0)</f>
        <v>0</v>
      </c>
      <c r="AF87" s="39">
        <f aca="true" t="shared" si="8" ref="AF87:AF96">IF(AQ87="2",BH87,0)</f>
        <v>0</v>
      </c>
      <c r="AG87" s="39">
        <f aca="true" t="shared" si="9" ref="AG87:AG96">IF(AQ87="2",BI87,0)</f>
        <v>0</v>
      </c>
      <c r="AH87" s="39">
        <f aca="true" t="shared" si="10" ref="AH87:AH96">IF(AQ87="0",BJ87,0)</f>
        <v>0</v>
      </c>
      <c r="AI87" s="32"/>
      <c r="AJ87" s="39">
        <f aca="true" t="shared" si="11" ref="AJ87:AJ96">IF(AN87=0,K87,0)</f>
        <v>0</v>
      </c>
      <c r="AK87" s="39">
        <f aca="true" t="shared" si="12" ref="AK87:AK96">IF(AN87=15,K87,0)</f>
        <v>0</v>
      </c>
      <c r="AL87" s="39">
        <f aca="true" t="shared" si="13" ref="AL87:AL96">IF(AN87=21,K87,0)</f>
        <v>0</v>
      </c>
      <c r="AN87" s="39">
        <v>21</v>
      </c>
      <c r="AO87" s="39">
        <f>H87*0.748143939393939</f>
        <v>0</v>
      </c>
      <c r="AP87" s="39">
        <f>H87*(1-0.748143939393939)</f>
        <v>0</v>
      </c>
      <c r="AQ87" s="40" t="s">
        <v>88</v>
      </c>
      <c r="AV87" s="39">
        <f aca="true" t="shared" si="14" ref="AV87:AV96">AW87+AX87</f>
        <v>0</v>
      </c>
      <c r="AW87" s="39">
        <f aca="true" t="shared" si="15" ref="AW87:AW96">G87*AO87</f>
        <v>0</v>
      </c>
      <c r="AX87" s="39">
        <f aca="true" t="shared" si="16" ref="AX87:AX96">G87*AP87</f>
        <v>0</v>
      </c>
      <c r="AY87" s="40" t="s">
        <v>238</v>
      </c>
      <c r="AZ87" s="40" t="s">
        <v>216</v>
      </c>
      <c r="BA87" s="32" t="s">
        <v>56</v>
      </c>
      <c r="BC87" s="39">
        <f aca="true" t="shared" si="17" ref="BC87:BC96">AW87+AX87</f>
        <v>0</v>
      </c>
      <c r="BD87" s="39">
        <f aca="true" t="shared" si="18" ref="BD87:BD96">H87/(100-BE87)*100</f>
        <v>0</v>
      </c>
      <c r="BE87" s="39">
        <v>0</v>
      </c>
      <c r="BF87" s="39">
        <f>87</f>
        <v>87</v>
      </c>
      <c r="BH87" s="39">
        <f aca="true" t="shared" si="19" ref="BH87:BH96">G87*AO87</f>
        <v>0</v>
      </c>
      <c r="BI87" s="39">
        <f aca="true" t="shared" si="20" ref="BI87:BI96">G87*AP87</f>
        <v>0</v>
      </c>
      <c r="BJ87" s="39">
        <f aca="true" t="shared" si="21" ref="BJ87:BJ96">G87*H87</f>
        <v>0</v>
      </c>
    </row>
    <row r="88" spans="1:62" ht="12.75">
      <c r="A88" s="11" t="s">
        <v>64</v>
      </c>
      <c r="B88" s="11" t="s">
        <v>239</v>
      </c>
      <c r="C88" s="11" t="s">
        <v>240</v>
      </c>
      <c r="D88" s="11"/>
      <c r="E88" s="11"/>
      <c r="F88" s="11" t="s">
        <v>104</v>
      </c>
      <c r="G88" s="38">
        <v>24</v>
      </c>
      <c r="H88" s="39">
        <v>0</v>
      </c>
      <c r="I88" s="39">
        <f t="shared" si="0"/>
        <v>0</v>
      </c>
      <c r="J88" s="39">
        <f t="shared" si="1"/>
        <v>0</v>
      </c>
      <c r="K88" s="39">
        <f t="shared" si="2"/>
        <v>0</v>
      </c>
      <c r="L88" s="40" t="s">
        <v>53</v>
      </c>
      <c r="Z88" s="39">
        <f t="shared" si="3"/>
        <v>0</v>
      </c>
      <c r="AB88" s="39">
        <f t="shared" si="4"/>
        <v>0</v>
      </c>
      <c r="AC88" s="39">
        <f t="shared" si="5"/>
        <v>0</v>
      </c>
      <c r="AD88" s="39">
        <f t="shared" si="6"/>
        <v>0</v>
      </c>
      <c r="AE88" s="39">
        <f t="shared" si="7"/>
        <v>0</v>
      </c>
      <c r="AF88" s="39">
        <f t="shared" si="8"/>
        <v>0</v>
      </c>
      <c r="AG88" s="39">
        <f t="shared" si="9"/>
        <v>0</v>
      </c>
      <c r="AH88" s="39">
        <f t="shared" si="10"/>
        <v>0</v>
      </c>
      <c r="AI88" s="32"/>
      <c r="AJ88" s="39">
        <f t="shared" si="11"/>
        <v>0</v>
      </c>
      <c r="AK88" s="39">
        <f t="shared" si="12"/>
        <v>0</v>
      </c>
      <c r="AL88" s="39">
        <f t="shared" si="13"/>
        <v>0</v>
      </c>
      <c r="AN88" s="39">
        <v>21</v>
      </c>
      <c r="AO88" s="39">
        <f>H88*0.478553502388543</f>
        <v>0</v>
      </c>
      <c r="AP88" s="39">
        <f>H88*(1-0.478553502388543)</f>
        <v>0</v>
      </c>
      <c r="AQ88" s="40" t="s">
        <v>88</v>
      </c>
      <c r="AV88" s="39">
        <f t="shared" si="14"/>
        <v>0</v>
      </c>
      <c r="AW88" s="39">
        <f t="shared" si="15"/>
        <v>0</v>
      </c>
      <c r="AX88" s="39">
        <f t="shared" si="16"/>
        <v>0</v>
      </c>
      <c r="AY88" s="40" t="s">
        <v>238</v>
      </c>
      <c r="AZ88" s="40" t="s">
        <v>216</v>
      </c>
      <c r="BA88" s="32" t="s">
        <v>56</v>
      </c>
      <c r="BC88" s="39">
        <f t="shared" si="17"/>
        <v>0</v>
      </c>
      <c r="BD88" s="39">
        <f t="shared" si="18"/>
        <v>0</v>
      </c>
      <c r="BE88" s="39">
        <v>0</v>
      </c>
      <c r="BF88" s="39">
        <f>88</f>
        <v>88</v>
      </c>
      <c r="BH88" s="39">
        <f t="shared" si="19"/>
        <v>0</v>
      </c>
      <c r="BI88" s="39">
        <f t="shared" si="20"/>
        <v>0</v>
      </c>
      <c r="BJ88" s="39">
        <f t="shared" si="21"/>
        <v>0</v>
      </c>
    </row>
    <row r="89" spans="1:62" ht="12.75">
      <c r="A89" s="11" t="s">
        <v>241</v>
      </c>
      <c r="B89" s="11" t="s">
        <v>242</v>
      </c>
      <c r="C89" s="11" t="s">
        <v>243</v>
      </c>
      <c r="D89" s="11"/>
      <c r="E89" s="11"/>
      <c r="F89" s="11" t="s">
        <v>104</v>
      </c>
      <c r="G89" s="38">
        <v>20</v>
      </c>
      <c r="H89" s="39">
        <v>0</v>
      </c>
      <c r="I89" s="39">
        <f t="shared" si="0"/>
        <v>0</v>
      </c>
      <c r="J89" s="39">
        <f t="shared" si="1"/>
        <v>0</v>
      </c>
      <c r="K89" s="39">
        <f t="shared" si="2"/>
        <v>0</v>
      </c>
      <c r="L89" s="40" t="s">
        <v>53</v>
      </c>
      <c r="Z89" s="39">
        <f t="shared" si="3"/>
        <v>0</v>
      </c>
      <c r="AB89" s="39">
        <f t="shared" si="4"/>
        <v>0</v>
      </c>
      <c r="AC89" s="39">
        <f t="shared" si="5"/>
        <v>0</v>
      </c>
      <c r="AD89" s="39">
        <f t="shared" si="6"/>
        <v>0</v>
      </c>
      <c r="AE89" s="39">
        <f t="shared" si="7"/>
        <v>0</v>
      </c>
      <c r="AF89" s="39">
        <f t="shared" si="8"/>
        <v>0</v>
      </c>
      <c r="AG89" s="39">
        <f t="shared" si="9"/>
        <v>0</v>
      </c>
      <c r="AH89" s="39">
        <f t="shared" si="10"/>
        <v>0</v>
      </c>
      <c r="AI89" s="32"/>
      <c r="AJ89" s="39">
        <f t="shared" si="11"/>
        <v>0</v>
      </c>
      <c r="AK89" s="39">
        <f t="shared" si="12"/>
        <v>0</v>
      </c>
      <c r="AL89" s="39">
        <f t="shared" si="13"/>
        <v>0</v>
      </c>
      <c r="AN89" s="39">
        <v>21</v>
      </c>
      <c r="AO89" s="39">
        <f>H89*0.694385569334837</f>
        <v>0</v>
      </c>
      <c r="AP89" s="39">
        <f>H89*(1-0.694385569334837)</f>
        <v>0</v>
      </c>
      <c r="AQ89" s="40" t="s">
        <v>88</v>
      </c>
      <c r="AV89" s="39">
        <f t="shared" si="14"/>
        <v>0</v>
      </c>
      <c r="AW89" s="39">
        <f t="shared" si="15"/>
        <v>0</v>
      </c>
      <c r="AX89" s="39">
        <f t="shared" si="16"/>
        <v>0</v>
      </c>
      <c r="AY89" s="40" t="s">
        <v>238</v>
      </c>
      <c r="AZ89" s="40" t="s">
        <v>216</v>
      </c>
      <c r="BA89" s="32" t="s">
        <v>56</v>
      </c>
      <c r="BC89" s="39">
        <f t="shared" si="17"/>
        <v>0</v>
      </c>
      <c r="BD89" s="39">
        <f t="shared" si="18"/>
        <v>0</v>
      </c>
      <c r="BE89" s="39">
        <v>0</v>
      </c>
      <c r="BF89" s="39">
        <f>89</f>
        <v>89</v>
      </c>
      <c r="BH89" s="39">
        <f t="shared" si="19"/>
        <v>0</v>
      </c>
      <c r="BI89" s="39">
        <f t="shared" si="20"/>
        <v>0</v>
      </c>
      <c r="BJ89" s="39">
        <f t="shared" si="21"/>
        <v>0</v>
      </c>
    </row>
    <row r="90" spans="1:62" ht="12.75">
      <c r="A90" s="11" t="s">
        <v>244</v>
      </c>
      <c r="B90" s="11" t="s">
        <v>245</v>
      </c>
      <c r="C90" s="11" t="s">
        <v>246</v>
      </c>
      <c r="D90" s="11"/>
      <c r="E90" s="11"/>
      <c r="F90" s="11" t="s">
        <v>104</v>
      </c>
      <c r="G90" s="38">
        <v>160</v>
      </c>
      <c r="H90" s="39">
        <v>0</v>
      </c>
      <c r="I90" s="39">
        <f t="shared" si="0"/>
        <v>0</v>
      </c>
      <c r="J90" s="39">
        <f t="shared" si="1"/>
        <v>0</v>
      </c>
      <c r="K90" s="39">
        <f t="shared" si="2"/>
        <v>0</v>
      </c>
      <c r="L90" s="40" t="s">
        <v>53</v>
      </c>
      <c r="Z90" s="39">
        <f t="shared" si="3"/>
        <v>0</v>
      </c>
      <c r="AB90" s="39">
        <f t="shared" si="4"/>
        <v>0</v>
      </c>
      <c r="AC90" s="39">
        <f t="shared" si="5"/>
        <v>0</v>
      </c>
      <c r="AD90" s="39">
        <f t="shared" si="6"/>
        <v>0</v>
      </c>
      <c r="AE90" s="39">
        <f t="shared" si="7"/>
        <v>0</v>
      </c>
      <c r="AF90" s="39">
        <f t="shared" si="8"/>
        <v>0</v>
      </c>
      <c r="AG90" s="39">
        <f t="shared" si="9"/>
        <v>0</v>
      </c>
      <c r="AH90" s="39">
        <f t="shared" si="10"/>
        <v>0</v>
      </c>
      <c r="AI90" s="32"/>
      <c r="AJ90" s="39">
        <f t="shared" si="11"/>
        <v>0</v>
      </c>
      <c r="AK90" s="39">
        <f t="shared" si="12"/>
        <v>0</v>
      </c>
      <c r="AL90" s="39">
        <f t="shared" si="13"/>
        <v>0</v>
      </c>
      <c r="AN90" s="39">
        <v>21</v>
      </c>
      <c r="AO90" s="39">
        <f>H90*0.775214007782101</f>
        <v>0</v>
      </c>
      <c r="AP90" s="39">
        <f>H90*(1-0.775214007782101)</f>
        <v>0</v>
      </c>
      <c r="AQ90" s="40" t="s">
        <v>88</v>
      </c>
      <c r="AV90" s="39">
        <f t="shared" si="14"/>
        <v>0</v>
      </c>
      <c r="AW90" s="39">
        <f t="shared" si="15"/>
        <v>0</v>
      </c>
      <c r="AX90" s="39">
        <f t="shared" si="16"/>
        <v>0</v>
      </c>
      <c r="AY90" s="40" t="s">
        <v>238</v>
      </c>
      <c r="AZ90" s="40" t="s">
        <v>216</v>
      </c>
      <c r="BA90" s="32" t="s">
        <v>56</v>
      </c>
      <c r="BC90" s="39">
        <f t="shared" si="17"/>
        <v>0</v>
      </c>
      <c r="BD90" s="39">
        <f t="shared" si="18"/>
        <v>0</v>
      </c>
      <c r="BE90" s="39">
        <v>0</v>
      </c>
      <c r="BF90" s="39">
        <f>90</f>
        <v>90</v>
      </c>
      <c r="BH90" s="39">
        <f t="shared" si="19"/>
        <v>0</v>
      </c>
      <c r="BI90" s="39">
        <f t="shared" si="20"/>
        <v>0</v>
      </c>
      <c r="BJ90" s="39">
        <f t="shared" si="21"/>
        <v>0</v>
      </c>
    </row>
    <row r="91" spans="1:62" ht="12.75">
      <c r="A91" s="11" t="s">
        <v>247</v>
      </c>
      <c r="B91" s="11" t="s">
        <v>248</v>
      </c>
      <c r="C91" s="11" t="s">
        <v>249</v>
      </c>
      <c r="D91" s="11"/>
      <c r="E91" s="11"/>
      <c r="F91" s="11" t="s">
        <v>104</v>
      </c>
      <c r="G91" s="38">
        <v>60</v>
      </c>
      <c r="H91" s="39">
        <v>0</v>
      </c>
      <c r="I91" s="39">
        <f t="shared" si="0"/>
        <v>0</v>
      </c>
      <c r="J91" s="39">
        <f t="shared" si="1"/>
        <v>0</v>
      </c>
      <c r="K91" s="39">
        <f t="shared" si="2"/>
        <v>0</v>
      </c>
      <c r="L91" s="40" t="s">
        <v>53</v>
      </c>
      <c r="Z91" s="39">
        <f t="shared" si="3"/>
        <v>0</v>
      </c>
      <c r="AB91" s="39">
        <f t="shared" si="4"/>
        <v>0</v>
      </c>
      <c r="AC91" s="39">
        <f t="shared" si="5"/>
        <v>0</v>
      </c>
      <c r="AD91" s="39">
        <f t="shared" si="6"/>
        <v>0</v>
      </c>
      <c r="AE91" s="39">
        <f t="shared" si="7"/>
        <v>0</v>
      </c>
      <c r="AF91" s="39">
        <f t="shared" si="8"/>
        <v>0</v>
      </c>
      <c r="AG91" s="39">
        <f t="shared" si="9"/>
        <v>0</v>
      </c>
      <c r="AH91" s="39">
        <f t="shared" si="10"/>
        <v>0</v>
      </c>
      <c r="AI91" s="32"/>
      <c r="AJ91" s="39">
        <f t="shared" si="11"/>
        <v>0</v>
      </c>
      <c r="AK91" s="39">
        <f t="shared" si="12"/>
        <v>0</v>
      </c>
      <c r="AL91" s="39">
        <f t="shared" si="13"/>
        <v>0</v>
      </c>
      <c r="AN91" s="39">
        <v>21</v>
      </c>
      <c r="AO91" s="39">
        <f>H91*0.839555895865237</f>
        <v>0</v>
      </c>
      <c r="AP91" s="39">
        <f>H91*(1-0.839555895865237)</f>
        <v>0</v>
      </c>
      <c r="AQ91" s="40" t="s">
        <v>88</v>
      </c>
      <c r="AV91" s="39">
        <f t="shared" si="14"/>
        <v>0</v>
      </c>
      <c r="AW91" s="39">
        <f t="shared" si="15"/>
        <v>0</v>
      </c>
      <c r="AX91" s="39">
        <f t="shared" si="16"/>
        <v>0</v>
      </c>
      <c r="AY91" s="40" t="s">
        <v>238</v>
      </c>
      <c r="AZ91" s="40" t="s">
        <v>216</v>
      </c>
      <c r="BA91" s="32" t="s">
        <v>56</v>
      </c>
      <c r="BC91" s="39">
        <f t="shared" si="17"/>
        <v>0</v>
      </c>
      <c r="BD91" s="39">
        <f t="shared" si="18"/>
        <v>0</v>
      </c>
      <c r="BE91" s="39">
        <v>0</v>
      </c>
      <c r="BF91" s="39">
        <f>91</f>
        <v>91</v>
      </c>
      <c r="BH91" s="39">
        <f t="shared" si="19"/>
        <v>0</v>
      </c>
      <c r="BI91" s="39">
        <f t="shared" si="20"/>
        <v>0</v>
      </c>
      <c r="BJ91" s="39">
        <f t="shared" si="21"/>
        <v>0</v>
      </c>
    </row>
    <row r="92" spans="1:62" ht="12.75">
      <c r="A92" s="11" t="s">
        <v>250</v>
      </c>
      <c r="B92" s="11" t="s">
        <v>251</v>
      </c>
      <c r="C92" s="11" t="s">
        <v>252</v>
      </c>
      <c r="D92" s="11"/>
      <c r="E92" s="11"/>
      <c r="F92" s="11" t="s">
        <v>104</v>
      </c>
      <c r="G92" s="38">
        <v>60</v>
      </c>
      <c r="H92" s="39">
        <v>0</v>
      </c>
      <c r="I92" s="39">
        <f t="shared" si="0"/>
        <v>0</v>
      </c>
      <c r="J92" s="39">
        <f t="shared" si="1"/>
        <v>0</v>
      </c>
      <c r="K92" s="39">
        <f t="shared" si="2"/>
        <v>0</v>
      </c>
      <c r="L92" s="40" t="s">
        <v>53</v>
      </c>
      <c r="Z92" s="39">
        <f t="shared" si="3"/>
        <v>0</v>
      </c>
      <c r="AB92" s="39">
        <f t="shared" si="4"/>
        <v>0</v>
      </c>
      <c r="AC92" s="39">
        <f t="shared" si="5"/>
        <v>0</v>
      </c>
      <c r="AD92" s="39">
        <f t="shared" si="6"/>
        <v>0</v>
      </c>
      <c r="AE92" s="39">
        <f t="shared" si="7"/>
        <v>0</v>
      </c>
      <c r="AF92" s="39">
        <f t="shared" si="8"/>
        <v>0</v>
      </c>
      <c r="AG92" s="39">
        <f t="shared" si="9"/>
        <v>0</v>
      </c>
      <c r="AH92" s="39">
        <f t="shared" si="10"/>
        <v>0</v>
      </c>
      <c r="AI92" s="32"/>
      <c r="AJ92" s="39">
        <f t="shared" si="11"/>
        <v>0</v>
      </c>
      <c r="AK92" s="39">
        <f t="shared" si="12"/>
        <v>0</v>
      </c>
      <c r="AL92" s="39">
        <f t="shared" si="13"/>
        <v>0</v>
      </c>
      <c r="AN92" s="39">
        <v>21</v>
      </c>
      <c r="AO92" s="39">
        <f>H92*0</f>
        <v>0</v>
      </c>
      <c r="AP92" s="39">
        <f>H92*(1-0)</f>
        <v>0</v>
      </c>
      <c r="AQ92" s="40" t="s">
        <v>88</v>
      </c>
      <c r="AV92" s="39">
        <f t="shared" si="14"/>
        <v>0</v>
      </c>
      <c r="AW92" s="39">
        <f t="shared" si="15"/>
        <v>0</v>
      </c>
      <c r="AX92" s="39">
        <f t="shared" si="16"/>
        <v>0</v>
      </c>
      <c r="AY92" s="40" t="s">
        <v>238</v>
      </c>
      <c r="AZ92" s="40" t="s">
        <v>216</v>
      </c>
      <c r="BA92" s="32" t="s">
        <v>56</v>
      </c>
      <c r="BC92" s="39">
        <f t="shared" si="17"/>
        <v>0</v>
      </c>
      <c r="BD92" s="39">
        <f t="shared" si="18"/>
        <v>0</v>
      </c>
      <c r="BE92" s="39">
        <v>0</v>
      </c>
      <c r="BF92" s="39">
        <f>92</f>
        <v>92</v>
      </c>
      <c r="BH92" s="39">
        <f t="shared" si="19"/>
        <v>0</v>
      </c>
      <c r="BI92" s="39">
        <f t="shared" si="20"/>
        <v>0</v>
      </c>
      <c r="BJ92" s="39">
        <f t="shared" si="21"/>
        <v>0</v>
      </c>
    </row>
    <row r="93" spans="1:62" ht="12.75">
      <c r="A93" s="11" t="s">
        <v>253</v>
      </c>
      <c r="B93" s="11" t="s">
        <v>254</v>
      </c>
      <c r="C93" s="11" t="s">
        <v>255</v>
      </c>
      <c r="D93" s="11"/>
      <c r="E93" s="11"/>
      <c r="F93" s="11" t="s">
        <v>69</v>
      </c>
      <c r="G93" s="38">
        <v>13</v>
      </c>
      <c r="H93" s="39">
        <v>0</v>
      </c>
      <c r="I93" s="39">
        <f t="shared" si="0"/>
        <v>0</v>
      </c>
      <c r="J93" s="39">
        <f t="shared" si="1"/>
        <v>0</v>
      </c>
      <c r="K93" s="39">
        <f t="shared" si="2"/>
        <v>0</v>
      </c>
      <c r="L93" s="40" t="s">
        <v>53</v>
      </c>
      <c r="Z93" s="39">
        <f t="shared" si="3"/>
        <v>0</v>
      </c>
      <c r="AB93" s="39">
        <f t="shared" si="4"/>
        <v>0</v>
      </c>
      <c r="AC93" s="39">
        <f t="shared" si="5"/>
        <v>0</v>
      </c>
      <c r="AD93" s="39">
        <f t="shared" si="6"/>
        <v>0</v>
      </c>
      <c r="AE93" s="39">
        <f t="shared" si="7"/>
        <v>0</v>
      </c>
      <c r="AF93" s="39">
        <f t="shared" si="8"/>
        <v>0</v>
      </c>
      <c r="AG93" s="39">
        <f t="shared" si="9"/>
        <v>0</v>
      </c>
      <c r="AH93" s="39">
        <f t="shared" si="10"/>
        <v>0</v>
      </c>
      <c r="AI93" s="32"/>
      <c r="AJ93" s="39">
        <f t="shared" si="11"/>
        <v>0</v>
      </c>
      <c r="AK93" s="39">
        <f t="shared" si="12"/>
        <v>0</v>
      </c>
      <c r="AL93" s="39">
        <f t="shared" si="13"/>
        <v>0</v>
      </c>
      <c r="AN93" s="39">
        <v>21</v>
      </c>
      <c r="AO93" s="39">
        <f>H93*0.830427616926503</f>
        <v>0</v>
      </c>
      <c r="AP93" s="39">
        <f>H93*(1-0.830427616926503)</f>
        <v>0</v>
      </c>
      <c r="AQ93" s="40" t="s">
        <v>88</v>
      </c>
      <c r="AV93" s="39">
        <f t="shared" si="14"/>
        <v>0</v>
      </c>
      <c r="AW93" s="39">
        <f t="shared" si="15"/>
        <v>0</v>
      </c>
      <c r="AX93" s="39">
        <f t="shared" si="16"/>
        <v>0</v>
      </c>
      <c r="AY93" s="40" t="s">
        <v>238</v>
      </c>
      <c r="AZ93" s="40" t="s">
        <v>216</v>
      </c>
      <c r="BA93" s="32" t="s">
        <v>56</v>
      </c>
      <c r="BC93" s="39">
        <f t="shared" si="17"/>
        <v>0</v>
      </c>
      <c r="BD93" s="39">
        <f t="shared" si="18"/>
        <v>0</v>
      </c>
      <c r="BE93" s="39">
        <v>0</v>
      </c>
      <c r="BF93" s="39">
        <f>93</f>
        <v>93</v>
      </c>
      <c r="BH93" s="39">
        <f t="shared" si="19"/>
        <v>0</v>
      </c>
      <c r="BI93" s="39">
        <f t="shared" si="20"/>
        <v>0</v>
      </c>
      <c r="BJ93" s="39">
        <f t="shared" si="21"/>
        <v>0</v>
      </c>
    </row>
    <row r="94" spans="1:62" ht="12.75">
      <c r="A94" s="11" t="s">
        <v>256</v>
      </c>
      <c r="B94" s="11" t="s">
        <v>257</v>
      </c>
      <c r="C94" s="11" t="s">
        <v>258</v>
      </c>
      <c r="D94" s="11"/>
      <c r="E94" s="11"/>
      <c r="F94" s="11" t="s">
        <v>104</v>
      </c>
      <c r="G94" s="38">
        <v>15</v>
      </c>
      <c r="H94" s="39">
        <v>0</v>
      </c>
      <c r="I94" s="39">
        <f t="shared" si="0"/>
        <v>0</v>
      </c>
      <c r="J94" s="39">
        <f t="shared" si="1"/>
        <v>0</v>
      </c>
      <c r="K94" s="39">
        <f t="shared" si="2"/>
        <v>0</v>
      </c>
      <c r="L94" s="40" t="s">
        <v>53</v>
      </c>
      <c r="Z94" s="39">
        <f t="shared" si="3"/>
        <v>0</v>
      </c>
      <c r="AB94" s="39">
        <f t="shared" si="4"/>
        <v>0</v>
      </c>
      <c r="AC94" s="39">
        <f t="shared" si="5"/>
        <v>0</v>
      </c>
      <c r="AD94" s="39">
        <f t="shared" si="6"/>
        <v>0</v>
      </c>
      <c r="AE94" s="39">
        <f t="shared" si="7"/>
        <v>0</v>
      </c>
      <c r="AF94" s="39">
        <f t="shared" si="8"/>
        <v>0</v>
      </c>
      <c r="AG94" s="39">
        <f t="shared" si="9"/>
        <v>0</v>
      </c>
      <c r="AH94" s="39">
        <f t="shared" si="10"/>
        <v>0</v>
      </c>
      <c r="AI94" s="32"/>
      <c r="AJ94" s="39">
        <f t="shared" si="11"/>
        <v>0</v>
      </c>
      <c r="AK94" s="39">
        <f t="shared" si="12"/>
        <v>0</v>
      </c>
      <c r="AL94" s="39">
        <f t="shared" si="13"/>
        <v>0</v>
      </c>
      <c r="AN94" s="39">
        <v>21</v>
      </c>
      <c r="AO94" s="39">
        <f>H94*0.788775137111517</f>
        <v>0</v>
      </c>
      <c r="AP94" s="39">
        <f>H94*(1-0.788775137111517)</f>
        <v>0</v>
      </c>
      <c r="AQ94" s="40" t="s">
        <v>88</v>
      </c>
      <c r="AV94" s="39">
        <f t="shared" si="14"/>
        <v>0</v>
      </c>
      <c r="AW94" s="39">
        <f t="shared" si="15"/>
        <v>0</v>
      </c>
      <c r="AX94" s="39">
        <f t="shared" si="16"/>
        <v>0</v>
      </c>
      <c r="AY94" s="40" t="s">
        <v>238</v>
      </c>
      <c r="AZ94" s="40" t="s">
        <v>216</v>
      </c>
      <c r="BA94" s="32" t="s">
        <v>56</v>
      </c>
      <c r="BC94" s="39">
        <f t="shared" si="17"/>
        <v>0</v>
      </c>
      <c r="BD94" s="39">
        <f t="shared" si="18"/>
        <v>0</v>
      </c>
      <c r="BE94" s="39">
        <v>0</v>
      </c>
      <c r="BF94" s="39">
        <f>94</f>
        <v>94</v>
      </c>
      <c r="BH94" s="39">
        <f t="shared" si="19"/>
        <v>0</v>
      </c>
      <c r="BI94" s="39">
        <f t="shared" si="20"/>
        <v>0</v>
      </c>
      <c r="BJ94" s="39">
        <f t="shared" si="21"/>
        <v>0</v>
      </c>
    </row>
    <row r="95" spans="1:62" ht="12.75">
      <c r="A95" s="11" t="s">
        <v>259</v>
      </c>
      <c r="B95" s="11" t="s">
        <v>260</v>
      </c>
      <c r="C95" s="11" t="s">
        <v>261</v>
      </c>
      <c r="D95" s="11"/>
      <c r="E95" s="11"/>
      <c r="F95" s="11" t="s">
        <v>69</v>
      </c>
      <c r="G95" s="38">
        <v>7</v>
      </c>
      <c r="H95" s="39">
        <v>0</v>
      </c>
      <c r="I95" s="39">
        <f t="shared" si="0"/>
        <v>0</v>
      </c>
      <c r="J95" s="39">
        <f t="shared" si="1"/>
        <v>0</v>
      </c>
      <c r="K95" s="39">
        <f t="shared" si="2"/>
        <v>0</v>
      </c>
      <c r="L95" s="40" t="s">
        <v>53</v>
      </c>
      <c r="Z95" s="39">
        <f t="shared" si="3"/>
        <v>0</v>
      </c>
      <c r="AB95" s="39">
        <f t="shared" si="4"/>
        <v>0</v>
      </c>
      <c r="AC95" s="39">
        <f t="shared" si="5"/>
        <v>0</v>
      </c>
      <c r="AD95" s="39">
        <f t="shared" si="6"/>
        <v>0</v>
      </c>
      <c r="AE95" s="39">
        <f t="shared" si="7"/>
        <v>0</v>
      </c>
      <c r="AF95" s="39">
        <f t="shared" si="8"/>
        <v>0</v>
      </c>
      <c r="AG95" s="39">
        <f t="shared" si="9"/>
        <v>0</v>
      </c>
      <c r="AH95" s="39">
        <f t="shared" si="10"/>
        <v>0</v>
      </c>
      <c r="AI95" s="32"/>
      <c r="AJ95" s="39">
        <f t="shared" si="11"/>
        <v>0</v>
      </c>
      <c r="AK95" s="39">
        <f t="shared" si="12"/>
        <v>0</v>
      </c>
      <c r="AL95" s="39">
        <f t="shared" si="13"/>
        <v>0</v>
      </c>
      <c r="AN95" s="39">
        <v>21</v>
      </c>
      <c r="AO95" s="39">
        <f>H95*0.547238883143743</f>
        <v>0</v>
      </c>
      <c r="AP95" s="39">
        <f>H95*(1-0.547238883143743)</f>
        <v>0</v>
      </c>
      <c r="AQ95" s="40" t="s">
        <v>88</v>
      </c>
      <c r="AV95" s="39">
        <f t="shared" si="14"/>
        <v>0</v>
      </c>
      <c r="AW95" s="39">
        <f t="shared" si="15"/>
        <v>0</v>
      </c>
      <c r="AX95" s="39">
        <f t="shared" si="16"/>
        <v>0</v>
      </c>
      <c r="AY95" s="40" t="s">
        <v>238</v>
      </c>
      <c r="AZ95" s="40" t="s">
        <v>216</v>
      </c>
      <c r="BA95" s="32" t="s">
        <v>56</v>
      </c>
      <c r="BC95" s="39">
        <f t="shared" si="17"/>
        <v>0</v>
      </c>
      <c r="BD95" s="39">
        <f t="shared" si="18"/>
        <v>0</v>
      </c>
      <c r="BE95" s="39">
        <v>0</v>
      </c>
      <c r="BF95" s="39">
        <f>95</f>
        <v>95</v>
      </c>
      <c r="BH95" s="39">
        <f t="shared" si="19"/>
        <v>0</v>
      </c>
      <c r="BI95" s="39">
        <f t="shared" si="20"/>
        <v>0</v>
      </c>
      <c r="BJ95" s="39">
        <f t="shared" si="21"/>
        <v>0</v>
      </c>
    </row>
    <row r="96" spans="1:62" ht="12.75">
      <c r="A96" s="11" t="s">
        <v>262</v>
      </c>
      <c r="B96" s="11" t="s">
        <v>263</v>
      </c>
      <c r="C96" s="11" t="s">
        <v>264</v>
      </c>
      <c r="D96" s="11"/>
      <c r="E96" s="11"/>
      <c r="F96" s="11" t="s">
        <v>104</v>
      </c>
      <c r="G96" s="38">
        <v>80</v>
      </c>
      <c r="H96" s="39">
        <v>0</v>
      </c>
      <c r="I96" s="39">
        <f t="shared" si="0"/>
        <v>0</v>
      </c>
      <c r="J96" s="39">
        <f t="shared" si="1"/>
        <v>0</v>
      </c>
      <c r="K96" s="39">
        <f t="shared" si="2"/>
        <v>0</v>
      </c>
      <c r="L96" s="40" t="s">
        <v>53</v>
      </c>
      <c r="Z96" s="39">
        <f t="shared" si="3"/>
        <v>0</v>
      </c>
      <c r="AB96" s="39">
        <f t="shared" si="4"/>
        <v>0</v>
      </c>
      <c r="AC96" s="39">
        <f t="shared" si="5"/>
        <v>0</v>
      </c>
      <c r="AD96" s="39">
        <f t="shared" si="6"/>
        <v>0</v>
      </c>
      <c r="AE96" s="39">
        <f t="shared" si="7"/>
        <v>0</v>
      </c>
      <c r="AF96" s="39">
        <f t="shared" si="8"/>
        <v>0</v>
      </c>
      <c r="AG96" s="39">
        <f t="shared" si="9"/>
        <v>0</v>
      </c>
      <c r="AH96" s="39">
        <f t="shared" si="10"/>
        <v>0</v>
      </c>
      <c r="AI96" s="32"/>
      <c r="AJ96" s="39">
        <f t="shared" si="11"/>
        <v>0</v>
      </c>
      <c r="AK96" s="39">
        <f t="shared" si="12"/>
        <v>0</v>
      </c>
      <c r="AL96" s="39">
        <f t="shared" si="13"/>
        <v>0</v>
      </c>
      <c r="AN96" s="39">
        <v>21</v>
      </c>
      <c r="AO96" s="39">
        <f>H96*0.72466796875</f>
        <v>0</v>
      </c>
      <c r="AP96" s="39">
        <f>H96*(1-0.72466796875)</f>
        <v>0</v>
      </c>
      <c r="AQ96" s="40" t="s">
        <v>88</v>
      </c>
      <c r="AV96" s="39">
        <f t="shared" si="14"/>
        <v>0</v>
      </c>
      <c r="AW96" s="39">
        <f t="shared" si="15"/>
        <v>0</v>
      </c>
      <c r="AX96" s="39">
        <f t="shared" si="16"/>
        <v>0</v>
      </c>
      <c r="AY96" s="40" t="s">
        <v>238</v>
      </c>
      <c r="AZ96" s="40" t="s">
        <v>216</v>
      </c>
      <c r="BA96" s="32" t="s">
        <v>56</v>
      </c>
      <c r="BC96" s="39">
        <f t="shared" si="17"/>
        <v>0</v>
      </c>
      <c r="BD96" s="39">
        <f t="shared" si="18"/>
        <v>0</v>
      </c>
      <c r="BE96" s="39">
        <v>0</v>
      </c>
      <c r="BF96" s="39">
        <f>96</f>
        <v>96</v>
      </c>
      <c r="BH96" s="39">
        <f t="shared" si="19"/>
        <v>0</v>
      </c>
      <c r="BI96" s="39">
        <f t="shared" si="20"/>
        <v>0</v>
      </c>
      <c r="BJ96" s="39">
        <f t="shared" si="21"/>
        <v>0</v>
      </c>
    </row>
    <row r="97" spans="2:12" ht="12.75" customHeight="1">
      <c r="B97" s="41" t="s">
        <v>57</v>
      </c>
      <c r="C97" s="42" t="s">
        <v>265</v>
      </c>
      <c r="D97" s="42"/>
      <c r="E97" s="42"/>
      <c r="F97" s="42"/>
      <c r="G97" s="42"/>
      <c r="H97" s="42"/>
      <c r="I97" s="42"/>
      <c r="J97" s="42"/>
      <c r="K97" s="42"/>
      <c r="L97" s="42"/>
    </row>
    <row r="98" spans="1:62" ht="12.75">
      <c r="A98" s="11" t="s">
        <v>266</v>
      </c>
      <c r="B98" s="11" t="s">
        <v>267</v>
      </c>
      <c r="C98" s="11" t="s">
        <v>268</v>
      </c>
      <c r="D98" s="11"/>
      <c r="E98" s="11"/>
      <c r="F98" s="11" t="s">
        <v>104</v>
      </c>
      <c r="G98" s="38">
        <v>40</v>
      </c>
      <c r="H98" s="39">
        <v>0</v>
      </c>
      <c r="I98" s="39">
        <f>G98*AO98</f>
        <v>0</v>
      </c>
      <c r="J98" s="39">
        <f>G98*AP98</f>
        <v>0</v>
      </c>
      <c r="K98" s="39">
        <f>G98*H98</f>
        <v>0</v>
      </c>
      <c r="L98" s="40" t="s">
        <v>53</v>
      </c>
      <c r="Z98" s="39">
        <f>IF(AQ98="5",BJ98,0)</f>
        <v>0</v>
      </c>
      <c r="AB98" s="39">
        <f>IF(AQ98="1",BH98,0)</f>
        <v>0</v>
      </c>
      <c r="AC98" s="39">
        <f>IF(AQ98="1",BI98,0)</f>
        <v>0</v>
      </c>
      <c r="AD98" s="39">
        <f>IF(AQ98="7",BH98,0)</f>
        <v>0</v>
      </c>
      <c r="AE98" s="39">
        <f>IF(AQ98="7",BI98,0)</f>
        <v>0</v>
      </c>
      <c r="AF98" s="39">
        <f>IF(AQ98="2",BH98,0)</f>
        <v>0</v>
      </c>
      <c r="AG98" s="39">
        <f>IF(AQ98="2",BI98,0)</f>
        <v>0</v>
      </c>
      <c r="AH98" s="39">
        <f>IF(AQ98="0",BJ98,0)</f>
        <v>0</v>
      </c>
      <c r="AI98" s="32"/>
      <c r="AJ98" s="39">
        <f>IF(AN98=0,K98,0)</f>
        <v>0</v>
      </c>
      <c r="AK98" s="39">
        <f>IF(AN98=15,K98,0)</f>
        <v>0</v>
      </c>
      <c r="AL98" s="39">
        <f>IF(AN98=21,K98,0)</f>
        <v>0</v>
      </c>
      <c r="AN98" s="39">
        <v>21</v>
      </c>
      <c r="AO98" s="39">
        <f>H98*0.791664335664336</f>
        <v>0</v>
      </c>
      <c r="AP98" s="39">
        <f>H98*(1-0.791664335664336)</f>
        <v>0</v>
      </c>
      <c r="AQ98" s="40" t="s">
        <v>88</v>
      </c>
      <c r="AV98" s="39">
        <f>AW98+AX98</f>
        <v>0</v>
      </c>
      <c r="AW98" s="39">
        <f>G98*AO98</f>
        <v>0</v>
      </c>
      <c r="AX98" s="39">
        <f>G98*AP98</f>
        <v>0</v>
      </c>
      <c r="AY98" s="40" t="s">
        <v>238</v>
      </c>
      <c r="AZ98" s="40" t="s">
        <v>216</v>
      </c>
      <c r="BA98" s="32" t="s">
        <v>56</v>
      </c>
      <c r="BC98" s="39">
        <f>AW98+AX98</f>
        <v>0</v>
      </c>
      <c r="BD98" s="39">
        <f>H98/(100-BE98)*100</f>
        <v>0</v>
      </c>
      <c r="BE98" s="39">
        <v>0</v>
      </c>
      <c r="BF98" s="39">
        <f>98</f>
        <v>98</v>
      </c>
      <c r="BH98" s="39">
        <f>G98*AO98</f>
        <v>0</v>
      </c>
      <c r="BI98" s="39">
        <f>G98*AP98</f>
        <v>0</v>
      </c>
      <c r="BJ98" s="39">
        <f>G98*H98</f>
        <v>0</v>
      </c>
    </row>
    <row r="99" spans="2:12" ht="12.75" customHeight="1">
      <c r="B99" s="41" t="s">
        <v>57</v>
      </c>
      <c r="C99" s="42" t="s">
        <v>265</v>
      </c>
      <c r="D99" s="42"/>
      <c r="E99" s="42"/>
      <c r="F99" s="42"/>
      <c r="G99" s="42"/>
      <c r="H99" s="42"/>
      <c r="I99" s="42"/>
      <c r="J99" s="42"/>
      <c r="K99" s="42"/>
      <c r="L99" s="42"/>
    </row>
    <row r="100" spans="1:62" ht="12.75">
      <c r="A100" s="11" t="s">
        <v>269</v>
      </c>
      <c r="B100" s="11" t="s">
        <v>270</v>
      </c>
      <c r="C100" s="11" t="s">
        <v>271</v>
      </c>
      <c r="D100" s="11"/>
      <c r="E100" s="11"/>
      <c r="F100" s="11" t="s">
        <v>80</v>
      </c>
      <c r="G100" s="38">
        <v>302.5</v>
      </c>
      <c r="H100" s="39">
        <v>0</v>
      </c>
      <c r="I100" s="39">
        <f>G100*AO100</f>
        <v>0</v>
      </c>
      <c r="J100" s="39">
        <f>G100*AP100</f>
        <v>0</v>
      </c>
      <c r="K100" s="39">
        <f>G100*H100</f>
        <v>0</v>
      </c>
      <c r="L100" s="40" t="s">
        <v>53</v>
      </c>
      <c r="Z100" s="39">
        <f>IF(AQ100="5",BJ100,0)</f>
        <v>0</v>
      </c>
      <c r="AB100" s="39">
        <f>IF(AQ100="1",BH100,0)</f>
        <v>0</v>
      </c>
      <c r="AC100" s="39">
        <f>IF(AQ100="1",BI100,0)</f>
        <v>0</v>
      </c>
      <c r="AD100" s="39">
        <f>IF(AQ100="7",BH100,0)</f>
        <v>0</v>
      </c>
      <c r="AE100" s="39">
        <f>IF(AQ100="7",BI100,0)</f>
        <v>0</v>
      </c>
      <c r="AF100" s="39">
        <f>IF(AQ100="2",BH100,0)</f>
        <v>0</v>
      </c>
      <c r="AG100" s="39">
        <f>IF(AQ100="2",BI100,0)</f>
        <v>0</v>
      </c>
      <c r="AH100" s="39">
        <f>IF(AQ100="0",BJ100,0)</f>
        <v>0</v>
      </c>
      <c r="AI100" s="32"/>
      <c r="AJ100" s="39">
        <f>IF(AN100=0,K100,0)</f>
        <v>0</v>
      </c>
      <c r="AK100" s="39">
        <f>IF(AN100=15,K100,0)</f>
        <v>0</v>
      </c>
      <c r="AL100" s="39">
        <f>IF(AN100=21,K100,0)</f>
        <v>0</v>
      </c>
      <c r="AN100" s="39">
        <v>21</v>
      </c>
      <c r="AO100" s="39">
        <f>H100*0.602524688968339</f>
        <v>0</v>
      </c>
      <c r="AP100" s="39">
        <f>H100*(1-0.602524688968339)</f>
        <v>0</v>
      </c>
      <c r="AQ100" s="40" t="s">
        <v>88</v>
      </c>
      <c r="AV100" s="39">
        <f>AW100+AX100</f>
        <v>0</v>
      </c>
      <c r="AW100" s="39">
        <f>G100*AO100</f>
        <v>0</v>
      </c>
      <c r="AX100" s="39">
        <f>G100*AP100</f>
        <v>0</v>
      </c>
      <c r="AY100" s="40" t="s">
        <v>238</v>
      </c>
      <c r="AZ100" s="40" t="s">
        <v>216</v>
      </c>
      <c r="BA100" s="32" t="s">
        <v>56</v>
      </c>
      <c r="BC100" s="39">
        <f>AW100+AX100</f>
        <v>0</v>
      </c>
      <c r="BD100" s="39">
        <f>H100/(100-BE100)*100</f>
        <v>0</v>
      </c>
      <c r="BE100" s="39">
        <v>0</v>
      </c>
      <c r="BF100" s="39">
        <f>100</f>
        <v>100</v>
      </c>
      <c r="BH100" s="39">
        <f>G100*AO100</f>
        <v>0</v>
      </c>
      <c r="BI100" s="39">
        <f>G100*AP100</f>
        <v>0</v>
      </c>
      <c r="BJ100" s="39">
        <f>G100*H100</f>
        <v>0</v>
      </c>
    </row>
    <row r="101" spans="1:62" ht="12.75">
      <c r="A101" s="11" t="s">
        <v>272</v>
      </c>
      <c r="B101" s="11" t="s">
        <v>273</v>
      </c>
      <c r="C101" s="11" t="s">
        <v>274</v>
      </c>
      <c r="D101" s="11"/>
      <c r="E101" s="11"/>
      <c r="F101" s="11" t="s">
        <v>104</v>
      </c>
      <c r="G101" s="38">
        <v>5.1</v>
      </c>
      <c r="H101" s="39">
        <v>0</v>
      </c>
      <c r="I101" s="39">
        <f>G101*AO101</f>
        <v>0</v>
      </c>
      <c r="J101" s="39">
        <f>G101*AP101</f>
        <v>0</v>
      </c>
      <c r="K101" s="39">
        <f>G101*H101</f>
        <v>0</v>
      </c>
      <c r="L101" s="40" t="s">
        <v>53</v>
      </c>
      <c r="Z101" s="39">
        <f>IF(AQ101="5",BJ101,0)</f>
        <v>0</v>
      </c>
      <c r="AB101" s="39">
        <f>IF(AQ101="1",BH101,0)</f>
        <v>0</v>
      </c>
      <c r="AC101" s="39">
        <f>IF(AQ101="1",BI101,0)</f>
        <v>0</v>
      </c>
      <c r="AD101" s="39">
        <f>IF(AQ101="7",BH101,0)</f>
        <v>0</v>
      </c>
      <c r="AE101" s="39">
        <f>IF(AQ101="7",BI101,0)</f>
        <v>0</v>
      </c>
      <c r="AF101" s="39">
        <f>IF(AQ101="2",BH101,0)</f>
        <v>0</v>
      </c>
      <c r="AG101" s="39">
        <f>IF(AQ101="2",BI101,0)</f>
        <v>0</v>
      </c>
      <c r="AH101" s="39">
        <f>IF(AQ101="0",BJ101,0)</f>
        <v>0</v>
      </c>
      <c r="AI101" s="32"/>
      <c r="AJ101" s="39">
        <f>IF(AN101=0,K101,0)</f>
        <v>0</v>
      </c>
      <c r="AK101" s="39">
        <f>IF(AN101=15,K101,0)</f>
        <v>0</v>
      </c>
      <c r="AL101" s="39">
        <f>IF(AN101=21,K101,0)</f>
        <v>0</v>
      </c>
      <c r="AN101" s="39">
        <v>21</v>
      </c>
      <c r="AO101" s="39">
        <f>H101*0.202110986620971</f>
        <v>0</v>
      </c>
      <c r="AP101" s="39">
        <f>H101*(1-0.202110986620971)</f>
        <v>0</v>
      </c>
      <c r="AQ101" s="40" t="s">
        <v>88</v>
      </c>
      <c r="AV101" s="39">
        <f>AW101+AX101</f>
        <v>0</v>
      </c>
      <c r="AW101" s="39">
        <f>G101*AO101</f>
        <v>0</v>
      </c>
      <c r="AX101" s="39">
        <f>G101*AP101</f>
        <v>0</v>
      </c>
      <c r="AY101" s="40" t="s">
        <v>238</v>
      </c>
      <c r="AZ101" s="40" t="s">
        <v>216</v>
      </c>
      <c r="BA101" s="32" t="s">
        <v>56</v>
      </c>
      <c r="BC101" s="39">
        <f>AW101+AX101</f>
        <v>0</v>
      </c>
      <c r="BD101" s="39">
        <f>H101/(100-BE101)*100</f>
        <v>0</v>
      </c>
      <c r="BE101" s="39">
        <v>0</v>
      </c>
      <c r="BF101" s="39">
        <f>101</f>
        <v>101</v>
      </c>
      <c r="BH101" s="39">
        <f>G101*AO101</f>
        <v>0</v>
      </c>
      <c r="BI101" s="39">
        <f>G101*AP101</f>
        <v>0</v>
      </c>
      <c r="BJ101" s="39">
        <f>G101*H101</f>
        <v>0</v>
      </c>
    </row>
    <row r="102" spans="1:62" ht="12.75">
      <c r="A102" s="11" t="s">
        <v>275</v>
      </c>
      <c r="B102" s="11" t="s">
        <v>276</v>
      </c>
      <c r="C102" s="11" t="s">
        <v>277</v>
      </c>
      <c r="D102" s="11"/>
      <c r="E102" s="11"/>
      <c r="F102" s="11" t="s">
        <v>104</v>
      </c>
      <c r="G102" s="38">
        <v>3</v>
      </c>
      <c r="H102" s="39">
        <v>0</v>
      </c>
      <c r="I102" s="39">
        <f>G102*AO102</f>
        <v>0</v>
      </c>
      <c r="J102" s="39">
        <f>G102*AP102</f>
        <v>0</v>
      </c>
      <c r="K102" s="39">
        <f>G102*H102</f>
        <v>0</v>
      </c>
      <c r="L102" s="40" t="s">
        <v>53</v>
      </c>
      <c r="Z102" s="39">
        <f>IF(AQ102="5",BJ102,0)</f>
        <v>0</v>
      </c>
      <c r="AB102" s="39">
        <f>IF(AQ102="1",BH102,0)</f>
        <v>0</v>
      </c>
      <c r="AC102" s="39">
        <f>IF(AQ102="1",BI102,0)</f>
        <v>0</v>
      </c>
      <c r="AD102" s="39">
        <f>IF(AQ102="7",BH102,0)</f>
        <v>0</v>
      </c>
      <c r="AE102" s="39">
        <f>IF(AQ102="7",BI102,0)</f>
        <v>0</v>
      </c>
      <c r="AF102" s="39">
        <f>IF(AQ102="2",BH102,0)</f>
        <v>0</v>
      </c>
      <c r="AG102" s="39">
        <f>IF(AQ102="2",BI102,0)</f>
        <v>0</v>
      </c>
      <c r="AH102" s="39">
        <f>IF(AQ102="0",BJ102,0)</f>
        <v>0</v>
      </c>
      <c r="AI102" s="32"/>
      <c r="AJ102" s="39">
        <f>IF(AN102=0,K102,0)</f>
        <v>0</v>
      </c>
      <c r="AK102" s="39">
        <f>IF(AN102=15,K102,0)</f>
        <v>0</v>
      </c>
      <c r="AL102" s="39">
        <f>IF(AN102=21,K102,0)</f>
        <v>0</v>
      </c>
      <c r="AN102" s="39">
        <v>21</v>
      </c>
      <c r="AO102" s="39">
        <f>H102*0.218019323671498</f>
        <v>0</v>
      </c>
      <c r="AP102" s="39">
        <f>H102*(1-0.218019323671498)</f>
        <v>0</v>
      </c>
      <c r="AQ102" s="40" t="s">
        <v>88</v>
      </c>
      <c r="AV102" s="39">
        <f>AW102+AX102</f>
        <v>0</v>
      </c>
      <c r="AW102" s="39">
        <f>G102*AO102</f>
        <v>0</v>
      </c>
      <c r="AX102" s="39">
        <f>G102*AP102</f>
        <v>0</v>
      </c>
      <c r="AY102" s="40" t="s">
        <v>238</v>
      </c>
      <c r="AZ102" s="40" t="s">
        <v>216</v>
      </c>
      <c r="BA102" s="32" t="s">
        <v>56</v>
      </c>
      <c r="BC102" s="39">
        <f>AW102+AX102</f>
        <v>0</v>
      </c>
      <c r="BD102" s="39">
        <f>H102/(100-BE102)*100</f>
        <v>0</v>
      </c>
      <c r="BE102" s="39">
        <v>0</v>
      </c>
      <c r="BF102" s="39">
        <f>102</f>
        <v>102</v>
      </c>
      <c r="BH102" s="39">
        <f>G102*AO102</f>
        <v>0</v>
      </c>
      <c r="BI102" s="39">
        <f>G102*AP102</f>
        <v>0</v>
      </c>
      <c r="BJ102" s="39">
        <f>G102*H102</f>
        <v>0</v>
      </c>
    </row>
    <row r="103" spans="1:62" ht="12.75">
      <c r="A103" s="11" t="s">
        <v>278</v>
      </c>
      <c r="B103" s="11" t="s">
        <v>279</v>
      </c>
      <c r="C103" s="11" t="s">
        <v>280</v>
      </c>
      <c r="D103" s="11"/>
      <c r="E103" s="11"/>
      <c r="F103" s="11" t="s">
        <v>69</v>
      </c>
      <c r="G103" s="38">
        <v>5</v>
      </c>
      <c r="H103" s="39">
        <v>0</v>
      </c>
      <c r="I103" s="39">
        <f>G103*AO103</f>
        <v>0</v>
      </c>
      <c r="J103" s="39">
        <f>G103*AP103</f>
        <v>0</v>
      </c>
      <c r="K103" s="39">
        <f>G103*H103</f>
        <v>0</v>
      </c>
      <c r="L103" s="40" t="s">
        <v>53</v>
      </c>
      <c r="Z103" s="39">
        <f>IF(AQ103="5",BJ103,0)</f>
        <v>0</v>
      </c>
      <c r="AB103" s="39">
        <f>IF(AQ103="1",BH103,0)</f>
        <v>0</v>
      </c>
      <c r="AC103" s="39">
        <f>IF(AQ103="1",BI103,0)</f>
        <v>0</v>
      </c>
      <c r="AD103" s="39">
        <f>IF(AQ103="7",BH103,0)</f>
        <v>0</v>
      </c>
      <c r="AE103" s="39">
        <f>IF(AQ103="7",BI103,0)</f>
        <v>0</v>
      </c>
      <c r="AF103" s="39">
        <f>IF(AQ103="2",BH103,0)</f>
        <v>0</v>
      </c>
      <c r="AG103" s="39">
        <f>IF(AQ103="2",BI103,0)</f>
        <v>0</v>
      </c>
      <c r="AH103" s="39">
        <f>IF(AQ103="0",BJ103,0)</f>
        <v>0</v>
      </c>
      <c r="AI103" s="32"/>
      <c r="AJ103" s="39">
        <f>IF(AN103=0,K103,0)</f>
        <v>0</v>
      </c>
      <c r="AK103" s="39">
        <f>IF(AN103=15,K103,0)</f>
        <v>0</v>
      </c>
      <c r="AL103" s="39">
        <f>IF(AN103=21,K103,0)</f>
        <v>0</v>
      </c>
      <c r="AN103" s="39">
        <v>21</v>
      </c>
      <c r="AO103" s="39">
        <f>H103*0.843628640776699</f>
        <v>0</v>
      </c>
      <c r="AP103" s="39">
        <f>H103*(1-0.843628640776699)</f>
        <v>0</v>
      </c>
      <c r="AQ103" s="40" t="s">
        <v>88</v>
      </c>
      <c r="AV103" s="39">
        <f>AW103+AX103</f>
        <v>0</v>
      </c>
      <c r="AW103" s="39">
        <f>G103*AO103</f>
        <v>0</v>
      </c>
      <c r="AX103" s="39">
        <f>G103*AP103</f>
        <v>0</v>
      </c>
      <c r="AY103" s="40" t="s">
        <v>238</v>
      </c>
      <c r="AZ103" s="40" t="s">
        <v>216</v>
      </c>
      <c r="BA103" s="32" t="s">
        <v>56</v>
      </c>
      <c r="BC103" s="39">
        <f>AW103+AX103</f>
        <v>0</v>
      </c>
      <c r="BD103" s="39">
        <f>H103/(100-BE103)*100</f>
        <v>0</v>
      </c>
      <c r="BE103" s="39">
        <v>0</v>
      </c>
      <c r="BF103" s="39">
        <f>103</f>
        <v>103</v>
      </c>
      <c r="BH103" s="39">
        <f>G103*AO103</f>
        <v>0</v>
      </c>
      <c r="BI103" s="39">
        <f>G103*AP103</f>
        <v>0</v>
      </c>
      <c r="BJ103" s="39">
        <f>G103*H103</f>
        <v>0</v>
      </c>
    </row>
    <row r="104" spans="1:62" ht="12.75">
      <c r="A104" s="11" t="s">
        <v>281</v>
      </c>
      <c r="B104" s="11" t="s">
        <v>282</v>
      </c>
      <c r="C104" s="11" t="s">
        <v>283</v>
      </c>
      <c r="D104" s="11"/>
      <c r="E104" s="11"/>
      <c r="F104" s="11" t="s">
        <v>80</v>
      </c>
      <c r="G104" s="38">
        <v>15</v>
      </c>
      <c r="H104" s="39">
        <v>0</v>
      </c>
      <c r="I104" s="39">
        <f>G104*AO104</f>
        <v>0</v>
      </c>
      <c r="J104" s="39">
        <f>G104*AP104</f>
        <v>0</v>
      </c>
      <c r="K104" s="39">
        <f>G104*H104</f>
        <v>0</v>
      </c>
      <c r="L104" s="40" t="s">
        <v>53</v>
      </c>
      <c r="Z104" s="39">
        <f>IF(AQ104="5",BJ104,0)</f>
        <v>0</v>
      </c>
      <c r="AB104" s="39">
        <f>IF(AQ104="1",BH104,0)</f>
        <v>0</v>
      </c>
      <c r="AC104" s="39">
        <f>IF(AQ104="1",BI104,0)</f>
        <v>0</v>
      </c>
      <c r="AD104" s="39">
        <f>IF(AQ104="7",BH104,0)</f>
        <v>0</v>
      </c>
      <c r="AE104" s="39">
        <f>IF(AQ104="7",BI104,0)</f>
        <v>0</v>
      </c>
      <c r="AF104" s="39">
        <f>IF(AQ104="2",BH104,0)</f>
        <v>0</v>
      </c>
      <c r="AG104" s="39">
        <f>IF(AQ104="2",BI104,0)</f>
        <v>0</v>
      </c>
      <c r="AH104" s="39">
        <f>IF(AQ104="0",BJ104,0)</f>
        <v>0</v>
      </c>
      <c r="AI104" s="32"/>
      <c r="AJ104" s="39">
        <f>IF(AN104=0,K104,0)</f>
        <v>0</v>
      </c>
      <c r="AK104" s="39">
        <f>IF(AN104=15,K104,0)</f>
        <v>0</v>
      </c>
      <c r="AL104" s="39">
        <f>IF(AN104=21,K104,0)</f>
        <v>0</v>
      </c>
      <c r="AN104" s="39">
        <v>21</v>
      </c>
      <c r="AO104" s="39">
        <f>H104*0.53977358490566</f>
        <v>0</v>
      </c>
      <c r="AP104" s="39">
        <f>H104*(1-0.53977358490566)</f>
        <v>0</v>
      </c>
      <c r="AQ104" s="40" t="s">
        <v>88</v>
      </c>
      <c r="AV104" s="39">
        <f>AW104+AX104</f>
        <v>0</v>
      </c>
      <c r="AW104" s="39">
        <f>G104*AO104</f>
        <v>0</v>
      </c>
      <c r="AX104" s="39">
        <f>G104*AP104</f>
        <v>0</v>
      </c>
      <c r="AY104" s="40" t="s">
        <v>238</v>
      </c>
      <c r="AZ104" s="40" t="s">
        <v>216</v>
      </c>
      <c r="BA104" s="32" t="s">
        <v>56</v>
      </c>
      <c r="BC104" s="39">
        <f>AW104+AX104</f>
        <v>0</v>
      </c>
      <c r="BD104" s="39">
        <f>H104/(100-BE104)*100</f>
        <v>0</v>
      </c>
      <c r="BE104" s="39">
        <v>0</v>
      </c>
      <c r="BF104" s="39">
        <f>104</f>
        <v>104</v>
      </c>
      <c r="BH104" s="39">
        <f>G104*AO104</f>
        <v>0</v>
      </c>
      <c r="BI104" s="39">
        <f>G104*AP104</f>
        <v>0</v>
      </c>
      <c r="BJ104" s="39">
        <f>G104*H104</f>
        <v>0</v>
      </c>
    </row>
    <row r="105" spans="2:12" ht="12.75" customHeight="1">
      <c r="B105" s="41" t="s">
        <v>57</v>
      </c>
      <c r="C105" s="42" t="s">
        <v>158</v>
      </c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62" ht="12.75">
      <c r="A106" s="11" t="s">
        <v>284</v>
      </c>
      <c r="B106" s="11" t="s">
        <v>285</v>
      </c>
      <c r="C106" s="11" t="s">
        <v>286</v>
      </c>
      <c r="D106" s="11"/>
      <c r="E106" s="11"/>
      <c r="F106" s="11" t="s">
        <v>104</v>
      </c>
      <c r="G106" s="38">
        <v>160</v>
      </c>
      <c r="H106" s="39">
        <v>0</v>
      </c>
      <c r="I106" s="39">
        <f>G106*AO106</f>
        <v>0</v>
      </c>
      <c r="J106" s="39">
        <f>G106*AP106</f>
        <v>0</v>
      </c>
      <c r="K106" s="39">
        <f>G106*H106</f>
        <v>0</v>
      </c>
      <c r="L106" s="40" t="s">
        <v>53</v>
      </c>
      <c r="Z106" s="39">
        <f>IF(AQ106="5",BJ106,0)</f>
        <v>0</v>
      </c>
      <c r="AB106" s="39">
        <f>IF(AQ106="1",BH106,0)</f>
        <v>0</v>
      </c>
      <c r="AC106" s="39">
        <f>IF(AQ106="1",BI106,0)</f>
        <v>0</v>
      </c>
      <c r="AD106" s="39">
        <f>IF(AQ106="7",BH106,0)</f>
        <v>0</v>
      </c>
      <c r="AE106" s="39">
        <f>IF(AQ106="7",BI106,0)</f>
        <v>0</v>
      </c>
      <c r="AF106" s="39">
        <f>IF(AQ106="2",BH106,0)</f>
        <v>0</v>
      </c>
      <c r="AG106" s="39">
        <f>IF(AQ106="2",BI106,0)</f>
        <v>0</v>
      </c>
      <c r="AH106" s="39">
        <f>IF(AQ106="0",BJ106,0)</f>
        <v>0</v>
      </c>
      <c r="AI106" s="32"/>
      <c r="AJ106" s="39">
        <f>IF(AN106=0,K106,0)</f>
        <v>0</v>
      </c>
      <c r="AK106" s="39">
        <f>IF(AN106=15,K106,0)</f>
        <v>0</v>
      </c>
      <c r="AL106" s="39">
        <f>IF(AN106=21,K106,0)</f>
        <v>0</v>
      </c>
      <c r="AN106" s="39">
        <v>21</v>
      </c>
      <c r="AO106" s="39">
        <f>H106*0.455729166666667</f>
        <v>0</v>
      </c>
      <c r="AP106" s="39">
        <f>H106*(1-0.455729166666667)</f>
        <v>0</v>
      </c>
      <c r="AQ106" s="40" t="s">
        <v>88</v>
      </c>
      <c r="AV106" s="39">
        <f>AW106+AX106</f>
        <v>0</v>
      </c>
      <c r="AW106" s="39">
        <f>G106*AO106</f>
        <v>0</v>
      </c>
      <c r="AX106" s="39">
        <f>G106*AP106</f>
        <v>0</v>
      </c>
      <c r="AY106" s="40" t="s">
        <v>238</v>
      </c>
      <c r="AZ106" s="40" t="s">
        <v>216</v>
      </c>
      <c r="BA106" s="32" t="s">
        <v>56</v>
      </c>
      <c r="BC106" s="39">
        <f>AW106+AX106</f>
        <v>0</v>
      </c>
      <c r="BD106" s="39">
        <f>H106/(100-BE106)*100</f>
        <v>0</v>
      </c>
      <c r="BE106" s="39">
        <v>0</v>
      </c>
      <c r="BF106" s="39">
        <f>106</f>
        <v>106</v>
      </c>
      <c r="BH106" s="39">
        <f>G106*AO106</f>
        <v>0</v>
      </c>
      <c r="BI106" s="39">
        <f>G106*AP106</f>
        <v>0</v>
      </c>
      <c r="BJ106" s="39">
        <f>G106*H106</f>
        <v>0</v>
      </c>
    </row>
    <row r="107" spans="1:62" ht="12.75">
      <c r="A107" s="11" t="s">
        <v>287</v>
      </c>
      <c r="B107" s="11" t="s">
        <v>288</v>
      </c>
      <c r="C107" s="11" t="s">
        <v>289</v>
      </c>
      <c r="D107" s="11"/>
      <c r="E107" s="11"/>
      <c r="F107" s="11" t="s">
        <v>52</v>
      </c>
      <c r="G107" s="38">
        <v>2.403</v>
      </c>
      <c r="H107" s="39">
        <v>0</v>
      </c>
      <c r="I107" s="39">
        <f>G107*AO107</f>
        <v>0</v>
      </c>
      <c r="J107" s="39">
        <f>G107*AP107</f>
        <v>0</v>
      </c>
      <c r="K107" s="39">
        <f>G107*H107</f>
        <v>0</v>
      </c>
      <c r="L107" s="40" t="s">
        <v>53</v>
      </c>
      <c r="Z107" s="39">
        <f>IF(AQ107="5",BJ107,0)</f>
        <v>0</v>
      </c>
      <c r="AB107" s="39">
        <f>IF(AQ107="1",BH107,0)</f>
        <v>0</v>
      </c>
      <c r="AC107" s="39">
        <f>IF(AQ107="1",BI107,0)</f>
        <v>0</v>
      </c>
      <c r="AD107" s="39">
        <f>IF(AQ107="7",BH107,0)</f>
        <v>0</v>
      </c>
      <c r="AE107" s="39">
        <f>IF(AQ107="7",BI107,0)</f>
        <v>0</v>
      </c>
      <c r="AF107" s="39">
        <f>IF(AQ107="2",BH107,0)</f>
        <v>0</v>
      </c>
      <c r="AG107" s="39">
        <f>IF(AQ107="2",BI107,0)</f>
        <v>0</v>
      </c>
      <c r="AH107" s="39">
        <f>IF(AQ107="0",BJ107,0)</f>
        <v>0</v>
      </c>
      <c r="AI107" s="32"/>
      <c r="AJ107" s="39">
        <f>IF(AN107=0,K107,0)</f>
        <v>0</v>
      </c>
      <c r="AK107" s="39">
        <f>IF(AN107=15,K107,0)</f>
        <v>0</v>
      </c>
      <c r="AL107" s="39">
        <f>IF(AN107=21,K107,0)</f>
        <v>0</v>
      </c>
      <c r="AN107" s="39">
        <v>21</v>
      </c>
      <c r="AO107" s="39">
        <f>H107*0</f>
        <v>0</v>
      </c>
      <c r="AP107" s="39">
        <f>H107*(1-0)</f>
        <v>0</v>
      </c>
      <c r="AQ107" s="40" t="s">
        <v>77</v>
      </c>
      <c r="AV107" s="39">
        <f>AW107+AX107</f>
        <v>0</v>
      </c>
      <c r="AW107" s="39">
        <f>G107*AO107</f>
        <v>0</v>
      </c>
      <c r="AX107" s="39">
        <f>G107*AP107</f>
        <v>0</v>
      </c>
      <c r="AY107" s="40" t="s">
        <v>238</v>
      </c>
      <c r="AZ107" s="40" t="s">
        <v>216</v>
      </c>
      <c r="BA107" s="32" t="s">
        <v>56</v>
      </c>
      <c r="BC107" s="39">
        <f>AW107+AX107</f>
        <v>0</v>
      </c>
      <c r="BD107" s="39">
        <f>H107/(100-BE107)*100</f>
        <v>0</v>
      </c>
      <c r="BE107" s="39">
        <v>0</v>
      </c>
      <c r="BF107" s="39">
        <f>107</f>
        <v>107</v>
      </c>
      <c r="BH107" s="39">
        <f>G107*AO107</f>
        <v>0</v>
      </c>
      <c r="BI107" s="39">
        <f>G107*AP107</f>
        <v>0</v>
      </c>
      <c r="BJ107" s="39">
        <f>G107*H107</f>
        <v>0</v>
      </c>
    </row>
    <row r="108" spans="1:47" ht="12.75">
      <c r="A108" s="43"/>
      <c r="B108" s="44" t="s">
        <v>290</v>
      </c>
      <c r="C108" s="44" t="s">
        <v>291</v>
      </c>
      <c r="D108" s="44"/>
      <c r="E108" s="44"/>
      <c r="F108" s="43" t="s">
        <v>4</v>
      </c>
      <c r="G108" s="43" t="s">
        <v>4</v>
      </c>
      <c r="H108" s="43" t="s">
        <v>4</v>
      </c>
      <c r="I108" s="37">
        <f>SUM(I109:I113)</f>
        <v>0</v>
      </c>
      <c r="J108" s="37">
        <f>SUM(J109:J113)</f>
        <v>0</v>
      </c>
      <c r="K108" s="37">
        <f>SUM(K109:K113)</f>
        <v>0</v>
      </c>
      <c r="L108" s="32"/>
      <c r="AI108" s="32"/>
      <c r="AS108" s="37">
        <f>SUM(AJ109:AJ113)</f>
        <v>0</v>
      </c>
      <c r="AT108" s="37">
        <f>SUM(AK109:AK113)</f>
        <v>0</v>
      </c>
      <c r="AU108" s="37">
        <f>SUM(AL109:AL113)</f>
        <v>0</v>
      </c>
    </row>
    <row r="109" spans="1:62" ht="12.75">
      <c r="A109" s="11" t="s">
        <v>75</v>
      </c>
      <c r="B109" s="11" t="s">
        <v>292</v>
      </c>
      <c r="C109" s="11" t="s">
        <v>293</v>
      </c>
      <c r="D109" s="11"/>
      <c r="E109" s="11"/>
      <c r="F109" s="11" t="s">
        <v>69</v>
      </c>
      <c r="G109" s="38">
        <v>2</v>
      </c>
      <c r="H109" s="39">
        <v>0</v>
      </c>
      <c r="I109" s="39">
        <f>G109*AO109</f>
        <v>0</v>
      </c>
      <c r="J109" s="39">
        <f>G109*AP109</f>
        <v>0</v>
      </c>
      <c r="K109" s="39">
        <f>G109*H109</f>
        <v>0</v>
      </c>
      <c r="L109" s="40" t="s">
        <v>53</v>
      </c>
      <c r="Z109" s="39">
        <f>IF(AQ109="5",BJ109,0)</f>
        <v>0</v>
      </c>
      <c r="AB109" s="39">
        <f>IF(AQ109="1",BH109,0)</f>
        <v>0</v>
      </c>
      <c r="AC109" s="39">
        <f>IF(AQ109="1",BI109,0)</f>
        <v>0</v>
      </c>
      <c r="AD109" s="39">
        <f>IF(AQ109="7",BH109,0)</f>
        <v>0</v>
      </c>
      <c r="AE109" s="39">
        <f>IF(AQ109="7",BI109,0)</f>
        <v>0</v>
      </c>
      <c r="AF109" s="39">
        <f>IF(AQ109="2",BH109,0)</f>
        <v>0</v>
      </c>
      <c r="AG109" s="39">
        <f>IF(AQ109="2",BI109,0)</f>
        <v>0</v>
      </c>
      <c r="AH109" s="39">
        <f>IF(AQ109="0",BJ109,0)</f>
        <v>0</v>
      </c>
      <c r="AI109" s="32"/>
      <c r="AJ109" s="39">
        <f>IF(AN109=0,K109,0)</f>
        <v>0</v>
      </c>
      <c r="AK109" s="39">
        <f>IF(AN109=15,K109,0)</f>
        <v>0</v>
      </c>
      <c r="AL109" s="39">
        <f>IF(AN109=21,K109,0)</f>
        <v>0</v>
      </c>
      <c r="AN109" s="39">
        <v>21</v>
      </c>
      <c r="AO109" s="39">
        <f>H109*0.759471074380165</f>
        <v>0</v>
      </c>
      <c r="AP109" s="39">
        <f>H109*(1-0.759471074380165)</f>
        <v>0</v>
      </c>
      <c r="AQ109" s="40" t="s">
        <v>88</v>
      </c>
      <c r="AV109" s="39">
        <f>AW109+AX109</f>
        <v>0</v>
      </c>
      <c r="AW109" s="39">
        <f>G109*AO109</f>
        <v>0</v>
      </c>
      <c r="AX109" s="39">
        <f>G109*AP109</f>
        <v>0</v>
      </c>
      <c r="AY109" s="40" t="s">
        <v>294</v>
      </c>
      <c r="AZ109" s="40" t="s">
        <v>216</v>
      </c>
      <c r="BA109" s="32" t="s">
        <v>56</v>
      </c>
      <c r="BC109" s="39">
        <f>AW109+AX109</f>
        <v>0</v>
      </c>
      <c r="BD109" s="39">
        <f>H109/(100-BE109)*100</f>
        <v>0</v>
      </c>
      <c r="BE109" s="39">
        <v>0</v>
      </c>
      <c r="BF109" s="39">
        <f>109</f>
        <v>109</v>
      </c>
      <c r="BH109" s="39">
        <f>G109*AO109</f>
        <v>0</v>
      </c>
      <c r="BI109" s="39">
        <f>G109*AP109</f>
        <v>0</v>
      </c>
      <c r="BJ109" s="39">
        <f>G109*H109</f>
        <v>0</v>
      </c>
    </row>
    <row r="110" spans="1:62" ht="12.75">
      <c r="A110" s="11" t="s">
        <v>92</v>
      </c>
      <c r="B110" s="11" t="s">
        <v>295</v>
      </c>
      <c r="C110" s="11" t="s">
        <v>296</v>
      </c>
      <c r="D110" s="11"/>
      <c r="E110" s="11"/>
      <c r="F110" s="11" t="s">
        <v>69</v>
      </c>
      <c r="G110" s="38">
        <v>3</v>
      </c>
      <c r="H110" s="39">
        <v>0</v>
      </c>
      <c r="I110" s="39">
        <f>G110*AO110</f>
        <v>0</v>
      </c>
      <c r="J110" s="39">
        <f>G110*AP110</f>
        <v>0</v>
      </c>
      <c r="K110" s="39">
        <f>G110*H110</f>
        <v>0</v>
      </c>
      <c r="L110" s="40" t="s">
        <v>53</v>
      </c>
      <c r="Z110" s="39">
        <f>IF(AQ110="5",BJ110,0)</f>
        <v>0</v>
      </c>
      <c r="AB110" s="39">
        <f>IF(AQ110="1",BH110,0)</f>
        <v>0</v>
      </c>
      <c r="AC110" s="39">
        <f>IF(AQ110="1",BI110,0)</f>
        <v>0</v>
      </c>
      <c r="AD110" s="39">
        <f>IF(AQ110="7",BH110,0)</f>
        <v>0</v>
      </c>
      <c r="AE110" s="39">
        <f>IF(AQ110="7",BI110,0)</f>
        <v>0</v>
      </c>
      <c r="AF110" s="39">
        <f>IF(AQ110="2",BH110,0)</f>
        <v>0</v>
      </c>
      <c r="AG110" s="39">
        <f>IF(AQ110="2",BI110,0)</f>
        <v>0</v>
      </c>
      <c r="AH110" s="39">
        <f>IF(AQ110="0",BJ110,0)</f>
        <v>0</v>
      </c>
      <c r="AI110" s="32"/>
      <c r="AJ110" s="39">
        <f>IF(AN110=0,K110,0)</f>
        <v>0</v>
      </c>
      <c r="AK110" s="39">
        <f>IF(AN110=15,K110,0)</f>
        <v>0</v>
      </c>
      <c r="AL110" s="39">
        <f>IF(AN110=21,K110,0)</f>
        <v>0</v>
      </c>
      <c r="AN110" s="39">
        <v>21</v>
      </c>
      <c r="AO110" s="39">
        <f>H110*0.982264665757162</f>
        <v>0</v>
      </c>
      <c r="AP110" s="39">
        <f>H110*(1-0.982264665757162)</f>
        <v>0</v>
      </c>
      <c r="AQ110" s="40" t="s">
        <v>88</v>
      </c>
      <c r="AV110" s="39">
        <f>AW110+AX110</f>
        <v>0</v>
      </c>
      <c r="AW110" s="39">
        <f>G110*AO110</f>
        <v>0</v>
      </c>
      <c r="AX110" s="39">
        <f>G110*AP110</f>
        <v>0</v>
      </c>
      <c r="AY110" s="40" t="s">
        <v>294</v>
      </c>
      <c r="AZ110" s="40" t="s">
        <v>216</v>
      </c>
      <c r="BA110" s="32" t="s">
        <v>56</v>
      </c>
      <c r="BC110" s="39">
        <f>AW110+AX110</f>
        <v>0</v>
      </c>
      <c r="BD110" s="39">
        <f>H110/(100-BE110)*100</f>
        <v>0</v>
      </c>
      <c r="BE110" s="39">
        <v>0</v>
      </c>
      <c r="BF110" s="39">
        <f>110</f>
        <v>110</v>
      </c>
      <c r="BH110" s="39">
        <f>G110*AO110</f>
        <v>0</v>
      </c>
      <c r="BI110" s="39">
        <f>G110*AP110</f>
        <v>0</v>
      </c>
      <c r="BJ110" s="39">
        <f>G110*H110</f>
        <v>0</v>
      </c>
    </row>
    <row r="111" spans="1:62" ht="12.75">
      <c r="A111" s="11" t="s">
        <v>297</v>
      </c>
      <c r="B111" s="11" t="s">
        <v>298</v>
      </c>
      <c r="C111" s="11" t="s">
        <v>299</v>
      </c>
      <c r="D111" s="11"/>
      <c r="E111" s="11"/>
      <c r="F111" s="11" t="s">
        <v>104</v>
      </c>
      <c r="G111" s="38">
        <v>4</v>
      </c>
      <c r="H111" s="39">
        <v>0</v>
      </c>
      <c r="I111" s="39">
        <f>G111*AO111</f>
        <v>0</v>
      </c>
      <c r="J111" s="39">
        <f>G111*AP111</f>
        <v>0</v>
      </c>
      <c r="K111" s="39">
        <f>G111*H111</f>
        <v>0</v>
      </c>
      <c r="L111" s="40"/>
      <c r="Z111" s="39">
        <f>IF(AQ111="5",BJ111,0)</f>
        <v>0</v>
      </c>
      <c r="AB111" s="39">
        <f>IF(AQ111="1",BH111,0)</f>
        <v>0</v>
      </c>
      <c r="AC111" s="39">
        <f>IF(AQ111="1",BI111,0)</f>
        <v>0</v>
      </c>
      <c r="AD111" s="39">
        <f>IF(AQ111="7",BH111,0)</f>
        <v>0</v>
      </c>
      <c r="AE111" s="39">
        <f>IF(AQ111="7",BI111,0)</f>
        <v>0</v>
      </c>
      <c r="AF111" s="39">
        <f>IF(AQ111="2",BH111,0)</f>
        <v>0</v>
      </c>
      <c r="AG111" s="39">
        <f>IF(AQ111="2",BI111,0)</f>
        <v>0</v>
      </c>
      <c r="AH111" s="39">
        <f>IF(AQ111="0",BJ111,0)</f>
        <v>0</v>
      </c>
      <c r="AI111" s="32"/>
      <c r="AJ111" s="39">
        <f>IF(AN111=0,K111,0)</f>
        <v>0</v>
      </c>
      <c r="AK111" s="39">
        <f>IF(AN111=15,K111,0)</f>
        <v>0</v>
      </c>
      <c r="AL111" s="39">
        <f>IF(AN111=21,K111,0)</f>
        <v>0</v>
      </c>
      <c r="AN111" s="39">
        <v>21</v>
      </c>
      <c r="AO111" s="39">
        <f>H111*0.752066115702479</f>
        <v>0</v>
      </c>
      <c r="AP111" s="39">
        <f>H111*(1-0.752066115702479)</f>
        <v>0</v>
      </c>
      <c r="AQ111" s="40" t="s">
        <v>88</v>
      </c>
      <c r="AV111" s="39">
        <f>AW111+AX111</f>
        <v>0</v>
      </c>
      <c r="AW111" s="39">
        <f>G111*AO111</f>
        <v>0</v>
      </c>
      <c r="AX111" s="39">
        <f>G111*AP111</f>
        <v>0</v>
      </c>
      <c r="AY111" s="40" t="s">
        <v>294</v>
      </c>
      <c r="AZ111" s="40" t="s">
        <v>216</v>
      </c>
      <c r="BA111" s="32" t="s">
        <v>56</v>
      </c>
      <c r="BC111" s="39">
        <f>AW111+AX111</f>
        <v>0</v>
      </c>
      <c r="BD111" s="39">
        <f>H111/(100-BE111)*100</f>
        <v>0</v>
      </c>
      <c r="BE111" s="39">
        <v>0</v>
      </c>
      <c r="BF111" s="39">
        <f>111</f>
        <v>111</v>
      </c>
      <c r="BH111" s="39">
        <f>G111*AO111</f>
        <v>0</v>
      </c>
      <c r="BI111" s="39">
        <f>G111*AP111</f>
        <v>0</v>
      </c>
      <c r="BJ111" s="39">
        <f>G111*H111</f>
        <v>0</v>
      </c>
    </row>
    <row r="112" spans="2:12" ht="12.75" customHeight="1">
      <c r="B112" s="41" t="s">
        <v>57</v>
      </c>
      <c r="C112" s="42" t="s">
        <v>300</v>
      </c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62" ht="12.75">
      <c r="A113" s="11" t="s">
        <v>99</v>
      </c>
      <c r="B113" s="11" t="s">
        <v>301</v>
      </c>
      <c r="C113" s="11" t="s">
        <v>302</v>
      </c>
      <c r="D113" s="11"/>
      <c r="E113" s="11"/>
      <c r="F113" s="11" t="s">
        <v>52</v>
      </c>
      <c r="G113" s="38">
        <v>0.026</v>
      </c>
      <c r="H113" s="39">
        <v>0</v>
      </c>
      <c r="I113" s="39">
        <f>G113*AO113</f>
        <v>0</v>
      </c>
      <c r="J113" s="39">
        <f>G113*AP113</f>
        <v>0</v>
      </c>
      <c r="K113" s="39">
        <f>G113*H113</f>
        <v>0</v>
      </c>
      <c r="L113" s="40" t="s">
        <v>53</v>
      </c>
      <c r="Z113" s="39">
        <f>IF(AQ113="5",BJ113,0)</f>
        <v>0</v>
      </c>
      <c r="AB113" s="39">
        <f>IF(AQ113="1",BH113,0)</f>
        <v>0</v>
      </c>
      <c r="AC113" s="39">
        <f>IF(AQ113="1",BI113,0)</f>
        <v>0</v>
      </c>
      <c r="AD113" s="39">
        <f>IF(AQ113="7",BH113,0)</f>
        <v>0</v>
      </c>
      <c r="AE113" s="39">
        <f>IF(AQ113="7",BI113,0)</f>
        <v>0</v>
      </c>
      <c r="AF113" s="39">
        <f>IF(AQ113="2",BH113,0)</f>
        <v>0</v>
      </c>
      <c r="AG113" s="39">
        <f>IF(AQ113="2",BI113,0)</f>
        <v>0</v>
      </c>
      <c r="AH113" s="39">
        <f>IF(AQ113="0",BJ113,0)</f>
        <v>0</v>
      </c>
      <c r="AI113" s="32"/>
      <c r="AJ113" s="39">
        <f>IF(AN113=0,K113,0)</f>
        <v>0</v>
      </c>
      <c r="AK113" s="39">
        <f>IF(AN113=15,K113,0)</f>
        <v>0</v>
      </c>
      <c r="AL113" s="39">
        <f>IF(AN113=21,K113,0)</f>
        <v>0</v>
      </c>
      <c r="AN113" s="39">
        <v>21</v>
      </c>
      <c r="AO113" s="39">
        <f>H113*0</f>
        <v>0</v>
      </c>
      <c r="AP113" s="39">
        <f>H113*(1-0)</f>
        <v>0</v>
      </c>
      <c r="AQ113" s="40" t="s">
        <v>77</v>
      </c>
      <c r="AV113" s="39">
        <f>AW113+AX113</f>
        <v>0</v>
      </c>
      <c r="AW113" s="39">
        <f>G113*AO113</f>
        <v>0</v>
      </c>
      <c r="AX113" s="39">
        <f>G113*AP113</f>
        <v>0</v>
      </c>
      <c r="AY113" s="40" t="s">
        <v>294</v>
      </c>
      <c r="AZ113" s="40" t="s">
        <v>216</v>
      </c>
      <c r="BA113" s="32" t="s">
        <v>56</v>
      </c>
      <c r="BC113" s="39">
        <f>AW113+AX113</f>
        <v>0</v>
      </c>
      <c r="BD113" s="39">
        <f>H113/(100-BE113)*100</f>
        <v>0</v>
      </c>
      <c r="BE113" s="39">
        <v>0</v>
      </c>
      <c r="BF113" s="39">
        <f>113</f>
        <v>113</v>
      </c>
      <c r="BH113" s="39">
        <f>G113*AO113</f>
        <v>0</v>
      </c>
      <c r="BI113" s="39">
        <f>G113*AP113</f>
        <v>0</v>
      </c>
      <c r="BJ113" s="39">
        <f>G113*H113</f>
        <v>0</v>
      </c>
    </row>
    <row r="114" spans="1:47" ht="12.75">
      <c r="A114" s="43"/>
      <c r="B114" s="44" t="s">
        <v>303</v>
      </c>
      <c r="C114" s="44" t="s">
        <v>304</v>
      </c>
      <c r="D114" s="44"/>
      <c r="E114" s="44"/>
      <c r="F114" s="43" t="s">
        <v>4</v>
      </c>
      <c r="G114" s="43" t="s">
        <v>4</v>
      </c>
      <c r="H114" s="43" t="s">
        <v>4</v>
      </c>
      <c r="I114" s="37">
        <f>SUM(I115:I121)</f>
        <v>0</v>
      </c>
      <c r="J114" s="37">
        <f>SUM(J115:J121)</f>
        <v>0</v>
      </c>
      <c r="K114" s="37">
        <f>SUM(K115:K121)</f>
        <v>0</v>
      </c>
      <c r="L114" s="32"/>
      <c r="AI114" s="32"/>
      <c r="AS114" s="37">
        <f>SUM(AJ115:AJ121)</f>
        <v>0</v>
      </c>
      <c r="AT114" s="37">
        <f>SUM(AK115:AK121)</f>
        <v>0</v>
      </c>
      <c r="AU114" s="37">
        <f>SUM(AL115:AL121)</f>
        <v>0</v>
      </c>
    </row>
    <row r="115" spans="1:62" ht="12.75">
      <c r="A115" s="11" t="s">
        <v>305</v>
      </c>
      <c r="B115" s="11" t="s">
        <v>306</v>
      </c>
      <c r="C115" s="11" t="s">
        <v>307</v>
      </c>
      <c r="D115" s="11"/>
      <c r="E115" s="11"/>
      <c r="F115" s="11" t="s">
        <v>69</v>
      </c>
      <c r="G115" s="38">
        <v>2</v>
      </c>
      <c r="H115" s="39">
        <v>0</v>
      </c>
      <c r="I115" s="39">
        <f aca="true" t="shared" si="22" ref="I115:I121">G115*AO115</f>
        <v>0</v>
      </c>
      <c r="J115" s="39">
        <f aca="true" t="shared" si="23" ref="J115:J121">G115*AP115</f>
        <v>0</v>
      </c>
      <c r="K115" s="39">
        <f aca="true" t="shared" si="24" ref="K115:K121">G115*H115</f>
        <v>0</v>
      </c>
      <c r="L115" s="40" t="s">
        <v>53</v>
      </c>
      <c r="Z115" s="39">
        <f aca="true" t="shared" si="25" ref="Z115:Z121">IF(AQ115="5",BJ115,0)</f>
        <v>0</v>
      </c>
      <c r="AB115" s="39">
        <f aca="true" t="shared" si="26" ref="AB115:AB121">IF(AQ115="1",BH115,0)</f>
        <v>0</v>
      </c>
      <c r="AC115" s="39">
        <f aca="true" t="shared" si="27" ref="AC115:AC121">IF(AQ115="1",BI115,0)</f>
        <v>0</v>
      </c>
      <c r="AD115" s="39">
        <f aca="true" t="shared" si="28" ref="AD115:AD121">IF(AQ115="7",BH115,0)</f>
        <v>0</v>
      </c>
      <c r="AE115" s="39">
        <f aca="true" t="shared" si="29" ref="AE115:AE121">IF(AQ115="7",BI115,0)</f>
        <v>0</v>
      </c>
      <c r="AF115" s="39">
        <f aca="true" t="shared" si="30" ref="AF115:AF121">IF(AQ115="2",BH115,0)</f>
        <v>0</v>
      </c>
      <c r="AG115" s="39">
        <f aca="true" t="shared" si="31" ref="AG115:AG121">IF(AQ115="2",BI115,0)</f>
        <v>0</v>
      </c>
      <c r="AH115" s="39">
        <f aca="true" t="shared" si="32" ref="AH115:AH121">IF(AQ115="0",BJ115,0)</f>
        <v>0</v>
      </c>
      <c r="AI115" s="32"/>
      <c r="AJ115" s="39">
        <f aca="true" t="shared" si="33" ref="AJ115:AJ121">IF(AN115=0,K115,0)</f>
        <v>0</v>
      </c>
      <c r="AK115" s="39">
        <f aca="true" t="shared" si="34" ref="AK115:AK121">IF(AN115=15,K115,0)</f>
        <v>0</v>
      </c>
      <c r="AL115" s="39">
        <f aca="true" t="shared" si="35" ref="AL115:AL121">IF(AN115=21,K115,0)</f>
        <v>0</v>
      </c>
      <c r="AN115" s="39">
        <v>21</v>
      </c>
      <c r="AO115" s="39">
        <f>H115*0.003642081189251</f>
        <v>0</v>
      </c>
      <c r="AP115" s="39">
        <f>H115*(1-0.003642081189251)</f>
        <v>0</v>
      </c>
      <c r="AQ115" s="40" t="s">
        <v>88</v>
      </c>
      <c r="AV115" s="39">
        <f aca="true" t="shared" si="36" ref="AV115:AV121">AW115+AX115</f>
        <v>0</v>
      </c>
      <c r="AW115" s="39">
        <f aca="true" t="shared" si="37" ref="AW115:AW121">G115*AO115</f>
        <v>0</v>
      </c>
      <c r="AX115" s="39">
        <f aca="true" t="shared" si="38" ref="AX115:AX121">G115*AP115</f>
        <v>0</v>
      </c>
      <c r="AY115" s="40" t="s">
        <v>308</v>
      </c>
      <c r="AZ115" s="40" t="s">
        <v>216</v>
      </c>
      <c r="BA115" s="32" t="s">
        <v>56</v>
      </c>
      <c r="BC115" s="39">
        <f aca="true" t="shared" si="39" ref="BC115:BC121">AW115+AX115</f>
        <v>0</v>
      </c>
      <c r="BD115" s="39">
        <f aca="true" t="shared" si="40" ref="BD115:BD121">H115/(100-BE115)*100</f>
        <v>0</v>
      </c>
      <c r="BE115" s="39">
        <v>0</v>
      </c>
      <c r="BF115" s="39">
        <f>115</f>
        <v>115</v>
      </c>
      <c r="BH115" s="39">
        <f aca="true" t="shared" si="41" ref="BH115:BH121">G115*AO115</f>
        <v>0</v>
      </c>
      <c r="BI115" s="39">
        <f aca="true" t="shared" si="42" ref="BI115:BI121">G115*AP115</f>
        <v>0</v>
      </c>
      <c r="BJ115" s="39">
        <f aca="true" t="shared" si="43" ref="BJ115:BJ121">G115*H115</f>
        <v>0</v>
      </c>
    </row>
    <row r="116" spans="1:62" ht="12.75">
      <c r="A116" s="11" t="s">
        <v>309</v>
      </c>
      <c r="B116" s="11" t="s">
        <v>310</v>
      </c>
      <c r="C116" s="11" t="s">
        <v>311</v>
      </c>
      <c r="D116" s="11"/>
      <c r="E116" s="11"/>
      <c r="F116" s="11" t="s">
        <v>69</v>
      </c>
      <c r="G116" s="38">
        <v>2</v>
      </c>
      <c r="H116" s="39">
        <v>0</v>
      </c>
      <c r="I116" s="39">
        <f t="shared" si="22"/>
        <v>0</v>
      </c>
      <c r="J116" s="39">
        <f t="shared" si="23"/>
        <v>0</v>
      </c>
      <c r="K116" s="39">
        <f t="shared" si="24"/>
        <v>0</v>
      </c>
      <c r="L116" s="40" t="s">
        <v>53</v>
      </c>
      <c r="Z116" s="39">
        <f t="shared" si="25"/>
        <v>0</v>
      </c>
      <c r="AB116" s="39">
        <f t="shared" si="26"/>
        <v>0</v>
      </c>
      <c r="AC116" s="39">
        <f t="shared" si="27"/>
        <v>0</v>
      </c>
      <c r="AD116" s="39">
        <f t="shared" si="28"/>
        <v>0</v>
      </c>
      <c r="AE116" s="39">
        <f t="shared" si="29"/>
        <v>0</v>
      </c>
      <c r="AF116" s="39">
        <f t="shared" si="30"/>
        <v>0</v>
      </c>
      <c r="AG116" s="39">
        <f t="shared" si="31"/>
        <v>0</v>
      </c>
      <c r="AH116" s="39">
        <f t="shared" si="32"/>
        <v>0</v>
      </c>
      <c r="AI116" s="32"/>
      <c r="AJ116" s="39">
        <f t="shared" si="33"/>
        <v>0</v>
      </c>
      <c r="AK116" s="39">
        <f t="shared" si="34"/>
        <v>0</v>
      </c>
      <c r="AL116" s="39">
        <f t="shared" si="35"/>
        <v>0</v>
      </c>
      <c r="AN116" s="39">
        <v>21</v>
      </c>
      <c r="AO116" s="39">
        <f>H116*1</f>
        <v>0</v>
      </c>
      <c r="AP116" s="39">
        <f>H116*(1-1)</f>
        <v>0</v>
      </c>
      <c r="AQ116" s="40" t="s">
        <v>88</v>
      </c>
      <c r="AV116" s="39">
        <f t="shared" si="36"/>
        <v>0</v>
      </c>
      <c r="AW116" s="39">
        <f t="shared" si="37"/>
        <v>0</v>
      </c>
      <c r="AX116" s="39">
        <f t="shared" si="38"/>
        <v>0</v>
      </c>
      <c r="AY116" s="40" t="s">
        <v>308</v>
      </c>
      <c r="AZ116" s="40" t="s">
        <v>216</v>
      </c>
      <c r="BA116" s="32" t="s">
        <v>56</v>
      </c>
      <c r="BC116" s="39">
        <f t="shared" si="39"/>
        <v>0</v>
      </c>
      <c r="BD116" s="39">
        <f t="shared" si="40"/>
        <v>0</v>
      </c>
      <c r="BE116" s="39">
        <v>0</v>
      </c>
      <c r="BF116" s="39">
        <f>116</f>
        <v>116</v>
      </c>
      <c r="BH116" s="39">
        <f t="shared" si="41"/>
        <v>0</v>
      </c>
      <c r="BI116" s="39">
        <f t="shared" si="42"/>
        <v>0</v>
      </c>
      <c r="BJ116" s="39">
        <f t="shared" si="43"/>
        <v>0</v>
      </c>
    </row>
    <row r="117" spans="1:62" ht="12.75">
      <c r="A117" s="11" t="s">
        <v>312</v>
      </c>
      <c r="B117" s="11" t="s">
        <v>313</v>
      </c>
      <c r="C117" s="11" t="s">
        <v>314</v>
      </c>
      <c r="D117" s="11"/>
      <c r="E117" s="11"/>
      <c r="F117" s="11" t="s">
        <v>69</v>
      </c>
      <c r="G117" s="38">
        <v>2</v>
      </c>
      <c r="H117" s="39">
        <v>0</v>
      </c>
      <c r="I117" s="39">
        <f t="shared" si="22"/>
        <v>0</v>
      </c>
      <c r="J117" s="39">
        <f t="shared" si="23"/>
        <v>0</v>
      </c>
      <c r="K117" s="39">
        <f t="shared" si="24"/>
        <v>0</v>
      </c>
      <c r="L117" s="40" t="s">
        <v>53</v>
      </c>
      <c r="Z117" s="39">
        <f t="shared" si="25"/>
        <v>0</v>
      </c>
      <c r="AB117" s="39">
        <f t="shared" si="26"/>
        <v>0</v>
      </c>
      <c r="AC117" s="39">
        <f t="shared" si="27"/>
        <v>0</v>
      </c>
      <c r="AD117" s="39">
        <f t="shared" si="28"/>
        <v>0</v>
      </c>
      <c r="AE117" s="39">
        <f t="shared" si="29"/>
        <v>0</v>
      </c>
      <c r="AF117" s="39">
        <f t="shared" si="30"/>
        <v>0</v>
      </c>
      <c r="AG117" s="39">
        <f t="shared" si="31"/>
        <v>0</v>
      </c>
      <c r="AH117" s="39">
        <f t="shared" si="32"/>
        <v>0</v>
      </c>
      <c r="AI117" s="32"/>
      <c r="AJ117" s="39">
        <f t="shared" si="33"/>
        <v>0</v>
      </c>
      <c r="AK117" s="39">
        <f t="shared" si="34"/>
        <v>0</v>
      </c>
      <c r="AL117" s="39">
        <f t="shared" si="35"/>
        <v>0</v>
      </c>
      <c r="AN117" s="39">
        <v>21</v>
      </c>
      <c r="AO117" s="39">
        <f>H117*1</f>
        <v>0</v>
      </c>
      <c r="AP117" s="39">
        <f>H117*(1-1)</f>
        <v>0</v>
      </c>
      <c r="AQ117" s="40" t="s">
        <v>88</v>
      </c>
      <c r="AV117" s="39">
        <f t="shared" si="36"/>
        <v>0</v>
      </c>
      <c r="AW117" s="39">
        <f t="shared" si="37"/>
        <v>0</v>
      </c>
      <c r="AX117" s="39">
        <f t="shared" si="38"/>
        <v>0</v>
      </c>
      <c r="AY117" s="40" t="s">
        <v>308</v>
      </c>
      <c r="AZ117" s="40" t="s">
        <v>216</v>
      </c>
      <c r="BA117" s="32" t="s">
        <v>56</v>
      </c>
      <c r="BC117" s="39">
        <f t="shared" si="39"/>
        <v>0</v>
      </c>
      <c r="BD117" s="39">
        <f t="shared" si="40"/>
        <v>0</v>
      </c>
      <c r="BE117" s="39">
        <v>0</v>
      </c>
      <c r="BF117" s="39">
        <f>117</f>
        <v>117</v>
      </c>
      <c r="BH117" s="39">
        <f t="shared" si="41"/>
        <v>0</v>
      </c>
      <c r="BI117" s="39">
        <f t="shared" si="42"/>
        <v>0</v>
      </c>
      <c r="BJ117" s="39">
        <f t="shared" si="43"/>
        <v>0</v>
      </c>
    </row>
    <row r="118" spans="1:62" ht="12.75">
      <c r="A118" s="11" t="s">
        <v>315</v>
      </c>
      <c r="B118" s="11" t="s">
        <v>316</v>
      </c>
      <c r="C118" s="11" t="s">
        <v>317</v>
      </c>
      <c r="D118" s="11"/>
      <c r="E118" s="11"/>
      <c r="F118" s="11" t="s">
        <v>69</v>
      </c>
      <c r="G118" s="38">
        <v>2</v>
      </c>
      <c r="H118" s="39">
        <v>0</v>
      </c>
      <c r="I118" s="39">
        <f t="shared" si="22"/>
        <v>0</v>
      </c>
      <c r="J118" s="39">
        <f t="shared" si="23"/>
        <v>0</v>
      </c>
      <c r="K118" s="39">
        <f t="shared" si="24"/>
        <v>0</v>
      </c>
      <c r="L118" s="40" t="s">
        <v>53</v>
      </c>
      <c r="Z118" s="39">
        <f t="shared" si="25"/>
        <v>0</v>
      </c>
      <c r="AB118" s="39">
        <f t="shared" si="26"/>
        <v>0</v>
      </c>
      <c r="AC118" s="39">
        <f t="shared" si="27"/>
        <v>0</v>
      </c>
      <c r="AD118" s="39">
        <f t="shared" si="28"/>
        <v>0</v>
      </c>
      <c r="AE118" s="39">
        <f t="shared" si="29"/>
        <v>0</v>
      </c>
      <c r="AF118" s="39">
        <f t="shared" si="30"/>
        <v>0</v>
      </c>
      <c r="AG118" s="39">
        <f t="shared" si="31"/>
        <v>0</v>
      </c>
      <c r="AH118" s="39">
        <f t="shared" si="32"/>
        <v>0</v>
      </c>
      <c r="AI118" s="32"/>
      <c r="AJ118" s="39">
        <f t="shared" si="33"/>
        <v>0</v>
      </c>
      <c r="AK118" s="39">
        <f t="shared" si="34"/>
        <v>0</v>
      </c>
      <c r="AL118" s="39">
        <f t="shared" si="35"/>
        <v>0</v>
      </c>
      <c r="AN118" s="39">
        <v>21</v>
      </c>
      <c r="AO118" s="39">
        <f>H118*1</f>
        <v>0</v>
      </c>
      <c r="AP118" s="39">
        <f>H118*(1-1)</f>
        <v>0</v>
      </c>
      <c r="AQ118" s="40" t="s">
        <v>88</v>
      </c>
      <c r="AV118" s="39">
        <f t="shared" si="36"/>
        <v>0</v>
      </c>
      <c r="AW118" s="39">
        <f t="shared" si="37"/>
        <v>0</v>
      </c>
      <c r="AX118" s="39">
        <f t="shared" si="38"/>
        <v>0</v>
      </c>
      <c r="AY118" s="40" t="s">
        <v>308</v>
      </c>
      <c r="AZ118" s="40" t="s">
        <v>216</v>
      </c>
      <c r="BA118" s="32" t="s">
        <v>56</v>
      </c>
      <c r="BC118" s="39">
        <f t="shared" si="39"/>
        <v>0</v>
      </c>
      <c r="BD118" s="39">
        <f t="shared" si="40"/>
        <v>0</v>
      </c>
      <c r="BE118" s="39">
        <v>0</v>
      </c>
      <c r="BF118" s="39">
        <f>118</f>
        <v>118</v>
      </c>
      <c r="BH118" s="39">
        <f t="shared" si="41"/>
        <v>0</v>
      </c>
      <c r="BI118" s="39">
        <f t="shared" si="42"/>
        <v>0</v>
      </c>
      <c r="BJ118" s="39">
        <f t="shared" si="43"/>
        <v>0</v>
      </c>
    </row>
    <row r="119" spans="1:62" ht="12.75">
      <c r="A119" s="11" t="s">
        <v>318</v>
      </c>
      <c r="B119" s="11" t="s">
        <v>319</v>
      </c>
      <c r="C119" s="11" t="s">
        <v>320</v>
      </c>
      <c r="D119" s="11"/>
      <c r="E119" s="11"/>
      <c r="F119" s="11" t="s">
        <v>69</v>
      </c>
      <c r="G119" s="38">
        <v>1</v>
      </c>
      <c r="H119" s="39">
        <v>0</v>
      </c>
      <c r="I119" s="39">
        <f t="shared" si="22"/>
        <v>0</v>
      </c>
      <c r="J119" s="39">
        <f t="shared" si="23"/>
        <v>0</v>
      </c>
      <c r="K119" s="39">
        <f t="shared" si="24"/>
        <v>0</v>
      </c>
      <c r="L119" s="40" t="s">
        <v>53</v>
      </c>
      <c r="Z119" s="39">
        <f t="shared" si="25"/>
        <v>0</v>
      </c>
      <c r="AB119" s="39">
        <f t="shared" si="26"/>
        <v>0</v>
      </c>
      <c r="AC119" s="39">
        <f t="shared" si="27"/>
        <v>0</v>
      </c>
      <c r="AD119" s="39">
        <f t="shared" si="28"/>
        <v>0</v>
      </c>
      <c r="AE119" s="39">
        <f t="shared" si="29"/>
        <v>0</v>
      </c>
      <c r="AF119" s="39">
        <f t="shared" si="30"/>
        <v>0</v>
      </c>
      <c r="AG119" s="39">
        <f t="shared" si="31"/>
        <v>0</v>
      </c>
      <c r="AH119" s="39">
        <f t="shared" si="32"/>
        <v>0</v>
      </c>
      <c r="AI119" s="32"/>
      <c r="AJ119" s="39">
        <f t="shared" si="33"/>
        <v>0</v>
      </c>
      <c r="AK119" s="39">
        <f t="shared" si="34"/>
        <v>0</v>
      </c>
      <c r="AL119" s="39">
        <f t="shared" si="35"/>
        <v>0</v>
      </c>
      <c r="AN119" s="39">
        <v>21</v>
      </c>
      <c r="AO119" s="39">
        <f>H119*0.0842720915448188</f>
        <v>0</v>
      </c>
      <c r="AP119" s="39">
        <f>H119*(1-0.0842720915448188)</f>
        <v>0</v>
      </c>
      <c r="AQ119" s="40" t="s">
        <v>88</v>
      </c>
      <c r="AV119" s="39">
        <f t="shared" si="36"/>
        <v>0</v>
      </c>
      <c r="AW119" s="39">
        <f t="shared" si="37"/>
        <v>0</v>
      </c>
      <c r="AX119" s="39">
        <f t="shared" si="38"/>
        <v>0</v>
      </c>
      <c r="AY119" s="40" t="s">
        <v>308</v>
      </c>
      <c r="AZ119" s="40" t="s">
        <v>216</v>
      </c>
      <c r="BA119" s="32" t="s">
        <v>56</v>
      </c>
      <c r="BC119" s="39">
        <f t="shared" si="39"/>
        <v>0</v>
      </c>
      <c r="BD119" s="39">
        <f t="shared" si="40"/>
        <v>0</v>
      </c>
      <c r="BE119" s="39">
        <v>0</v>
      </c>
      <c r="BF119" s="39">
        <f>119</f>
        <v>119</v>
      </c>
      <c r="BH119" s="39">
        <f t="shared" si="41"/>
        <v>0</v>
      </c>
      <c r="BI119" s="39">
        <f t="shared" si="42"/>
        <v>0</v>
      </c>
      <c r="BJ119" s="39">
        <f t="shared" si="43"/>
        <v>0</v>
      </c>
    </row>
    <row r="120" spans="1:62" ht="12.75">
      <c r="A120" s="11" t="s">
        <v>321</v>
      </c>
      <c r="B120" s="11" t="s">
        <v>322</v>
      </c>
      <c r="C120" s="11" t="s">
        <v>323</v>
      </c>
      <c r="D120" s="11"/>
      <c r="E120" s="11"/>
      <c r="F120" s="11" t="s">
        <v>69</v>
      </c>
      <c r="G120" s="38">
        <v>1</v>
      </c>
      <c r="H120" s="39">
        <v>0</v>
      </c>
      <c r="I120" s="39">
        <f t="shared" si="22"/>
        <v>0</v>
      </c>
      <c r="J120" s="39">
        <f t="shared" si="23"/>
        <v>0</v>
      </c>
      <c r="K120" s="39">
        <f t="shared" si="24"/>
        <v>0</v>
      </c>
      <c r="L120" s="40" t="s">
        <v>53</v>
      </c>
      <c r="Z120" s="39">
        <f t="shared" si="25"/>
        <v>0</v>
      </c>
      <c r="AB120" s="39">
        <f t="shared" si="26"/>
        <v>0</v>
      </c>
      <c r="AC120" s="39">
        <f t="shared" si="27"/>
        <v>0</v>
      </c>
      <c r="AD120" s="39">
        <f t="shared" si="28"/>
        <v>0</v>
      </c>
      <c r="AE120" s="39">
        <f t="shared" si="29"/>
        <v>0</v>
      </c>
      <c r="AF120" s="39">
        <f t="shared" si="30"/>
        <v>0</v>
      </c>
      <c r="AG120" s="39">
        <f t="shared" si="31"/>
        <v>0</v>
      </c>
      <c r="AH120" s="39">
        <f t="shared" si="32"/>
        <v>0</v>
      </c>
      <c r="AI120" s="32"/>
      <c r="AJ120" s="39">
        <f t="shared" si="33"/>
        <v>0</v>
      </c>
      <c r="AK120" s="39">
        <f t="shared" si="34"/>
        <v>0</v>
      </c>
      <c r="AL120" s="39">
        <f t="shared" si="35"/>
        <v>0</v>
      </c>
      <c r="AN120" s="39">
        <v>21</v>
      </c>
      <c r="AO120" s="39">
        <f>H120*1</f>
        <v>0</v>
      </c>
      <c r="AP120" s="39">
        <f>H120*(1-1)</f>
        <v>0</v>
      </c>
      <c r="AQ120" s="40" t="s">
        <v>88</v>
      </c>
      <c r="AV120" s="39">
        <f t="shared" si="36"/>
        <v>0</v>
      </c>
      <c r="AW120" s="39">
        <f t="shared" si="37"/>
        <v>0</v>
      </c>
      <c r="AX120" s="39">
        <f t="shared" si="38"/>
        <v>0</v>
      </c>
      <c r="AY120" s="40" t="s">
        <v>308</v>
      </c>
      <c r="AZ120" s="40" t="s">
        <v>216</v>
      </c>
      <c r="BA120" s="32" t="s">
        <v>56</v>
      </c>
      <c r="BC120" s="39">
        <f t="shared" si="39"/>
        <v>0</v>
      </c>
      <c r="BD120" s="39">
        <f t="shared" si="40"/>
        <v>0</v>
      </c>
      <c r="BE120" s="39">
        <v>0</v>
      </c>
      <c r="BF120" s="39">
        <f>120</f>
        <v>120</v>
      </c>
      <c r="BH120" s="39">
        <f t="shared" si="41"/>
        <v>0</v>
      </c>
      <c r="BI120" s="39">
        <f t="shared" si="42"/>
        <v>0</v>
      </c>
      <c r="BJ120" s="39">
        <f t="shared" si="43"/>
        <v>0</v>
      </c>
    </row>
    <row r="121" spans="1:62" ht="12.75">
      <c r="A121" s="11" t="s">
        <v>324</v>
      </c>
      <c r="B121" s="11" t="s">
        <v>325</v>
      </c>
      <c r="C121" s="11" t="s">
        <v>326</v>
      </c>
      <c r="D121" s="11"/>
      <c r="E121" s="11"/>
      <c r="F121" s="11" t="s">
        <v>52</v>
      </c>
      <c r="G121" s="38">
        <v>0.157</v>
      </c>
      <c r="H121" s="39">
        <v>0</v>
      </c>
      <c r="I121" s="39">
        <f t="shared" si="22"/>
        <v>0</v>
      </c>
      <c r="J121" s="39">
        <f t="shared" si="23"/>
        <v>0</v>
      </c>
      <c r="K121" s="39">
        <f t="shared" si="24"/>
        <v>0</v>
      </c>
      <c r="L121" s="40" t="s">
        <v>53</v>
      </c>
      <c r="Z121" s="39">
        <f t="shared" si="25"/>
        <v>0</v>
      </c>
      <c r="AB121" s="39">
        <f t="shared" si="26"/>
        <v>0</v>
      </c>
      <c r="AC121" s="39">
        <f t="shared" si="27"/>
        <v>0</v>
      </c>
      <c r="AD121" s="39">
        <f t="shared" si="28"/>
        <v>0</v>
      </c>
      <c r="AE121" s="39">
        <f t="shared" si="29"/>
        <v>0</v>
      </c>
      <c r="AF121" s="39">
        <f t="shared" si="30"/>
        <v>0</v>
      </c>
      <c r="AG121" s="39">
        <f t="shared" si="31"/>
        <v>0</v>
      </c>
      <c r="AH121" s="39">
        <f t="shared" si="32"/>
        <v>0</v>
      </c>
      <c r="AI121" s="32"/>
      <c r="AJ121" s="39">
        <f t="shared" si="33"/>
        <v>0</v>
      </c>
      <c r="AK121" s="39">
        <f t="shared" si="34"/>
        <v>0</v>
      </c>
      <c r="AL121" s="39">
        <f t="shared" si="35"/>
        <v>0</v>
      </c>
      <c r="AN121" s="39">
        <v>21</v>
      </c>
      <c r="AO121" s="39">
        <f>H121*0</f>
        <v>0</v>
      </c>
      <c r="AP121" s="39">
        <f>H121*(1-0)</f>
        <v>0</v>
      </c>
      <c r="AQ121" s="40" t="s">
        <v>77</v>
      </c>
      <c r="AV121" s="39">
        <f t="shared" si="36"/>
        <v>0</v>
      </c>
      <c r="AW121" s="39">
        <f t="shared" si="37"/>
        <v>0</v>
      </c>
      <c r="AX121" s="39">
        <f t="shared" si="38"/>
        <v>0</v>
      </c>
      <c r="AY121" s="40" t="s">
        <v>308</v>
      </c>
      <c r="AZ121" s="40" t="s">
        <v>216</v>
      </c>
      <c r="BA121" s="32" t="s">
        <v>56</v>
      </c>
      <c r="BC121" s="39">
        <f t="shared" si="39"/>
        <v>0</v>
      </c>
      <c r="BD121" s="39">
        <f t="shared" si="40"/>
        <v>0</v>
      </c>
      <c r="BE121" s="39">
        <v>0</v>
      </c>
      <c r="BF121" s="39">
        <f>121</f>
        <v>121</v>
      </c>
      <c r="BH121" s="39">
        <f t="shared" si="41"/>
        <v>0</v>
      </c>
      <c r="BI121" s="39">
        <f t="shared" si="42"/>
        <v>0</v>
      </c>
      <c r="BJ121" s="39">
        <f t="shared" si="43"/>
        <v>0</v>
      </c>
    </row>
    <row r="122" spans="1:47" ht="12.75">
      <c r="A122" s="43"/>
      <c r="B122" s="44" t="s">
        <v>327</v>
      </c>
      <c r="C122" s="44" t="s">
        <v>328</v>
      </c>
      <c r="D122" s="44"/>
      <c r="E122" s="44"/>
      <c r="F122" s="43" t="s">
        <v>4</v>
      </c>
      <c r="G122" s="43" t="s">
        <v>4</v>
      </c>
      <c r="H122" s="43" t="s">
        <v>4</v>
      </c>
      <c r="I122" s="37">
        <f>SUM(I123:I124)</f>
        <v>0</v>
      </c>
      <c r="J122" s="37">
        <f>SUM(J123:J124)</f>
        <v>0</v>
      </c>
      <c r="K122" s="37">
        <f>SUM(K123:K124)</f>
        <v>0</v>
      </c>
      <c r="L122" s="32"/>
      <c r="AI122" s="32"/>
      <c r="AS122" s="37">
        <f>SUM(AJ123:AJ124)</f>
        <v>0</v>
      </c>
      <c r="AT122" s="37">
        <f>SUM(AK123:AK124)</f>
        <v>0</v>
      </c>
      <c r="AU122" s="37">
        <f>SUM(AL123:AL124)</f>
        <v>0</v>
      </c>
    </row>
    <row r="123" spans="1:62" ht="12.75">
      <c r="A123" s="11" t="s">
        <v>329</v>
      </c>
      <c r="B123" s="11" t="s">
        <v>330</v>
      </c>
      <c r="C123" s="11" t="s">
        <v>331</v>
      </c>
      <c r="D123" s="11"/>
      <c r="E123" s="11"/>
      <c r="F123" s="11" t="s">
        <v>80</v>
      </c>
      <c r="G123" s="38">
        <v>130</v>
      </c>
      <c r="H123" s="39">
        <v>0</v>
      </c>
      <c r="I123" s="39">
        <f>G123*AO123</f>
        <v>0</v>
      </c>
      <c r="J123" s="39">
        <f>G123*AP123</f>
        <v>0</v>
      </c>
      <c r="K123" s="39">
        <f>G123*H123</f>
        <v>0</v>
      </c>
      <c r="L123" s="40" t="s">
        <v>53</v>
      </c>
      <c r="Z123" s="39">
        <f>IF(AQ123="5",BJ123,0)</f>
        <v>0</v>
      </c>
      <c r="AB123" s="39">
        <f>IF(AQ123="1",BH123,0)</f>
        <v>0</v>
      </c>
      <c r="AC123" s="39">
        <f>IF(AQ123="1",BI123,0)</f>
        <v>0</v>
      </c>
      <c r="AD123" s="39">
        <f>IF(AQ123="7",BH123,0)</f>
        <v>0</v>
      </c>
      <c r="AE123" s="39">
        <f>IF(AQ123="7",BI123,0)</f>
        <v>0</v>
      </c>
      <c r="AF123" s="39">
        <f>IF(AQ123="2",BH123,0)</f>
        <v>0</v>
      </c>
      <c r="AG123" s="39">
        <f>IF(AQ123="2",BI123,0)</f>
        <v>0</v>
      </c>
      <c r="AH123" s="39">
        <f>IF(AQ123="0",BJ123,0)</f>
        <v>0</v>
      </c>
      <c r="AI123" s="32"/>
      <c r="AJ123" s="39">
        <f>IF(AN123=0,K123,0)</f>
        <v>0</v>
      </c>
      <c r="AK123" s="39">
        <f>IF(AN123=15,K123,0)</f>
        <v>0</v>
      </c>
      <c r="AL123" s="39">
        <f>IF(AN123=21,K123,0)</f>
        <v>0</v>
      </c>
      <c r="AN123" s="39">
        <v>21</v>
      </c>
      <c r="AO123" s="39">
        <f>H123*0.205940594059406</f>
        <v>0</v>
      </c>
      <c r="AP123" s="39">
        <f>H123*(1-0.205940594059406)</f>
        <v>0</v>
      </c>
      <c r="AQ123" s="40" t="s">
        <v>88</v>
      </c>
      <c r="AV123" s="39">
        <f>AW123+AX123</f>
        <v>0</v>
      </c>
      <c r="AW123" s="39">
        <f>G123*AO123</f>
        <v>0</v>
      </c>
      <c r="AX123" s="39">
        <f>G123*AP123</f>
        <v>0</v>
      </c>
      <c r="AY123" s="40" t="s">
        <v>332</v>
      </c>
      <c r="AZ123" s="40" t="s">
        <v>333</v>
      </c>
      <c r="BA123" s="32" t="s">
        <v>56</v>
      </c>
      <c r="BC123" s="39">
        <f>AW123+AX123</f>
        <v>0</v>
      </c>
      <c r="BD123" s="39">
        <f>H123/(100-BE123)*100</f>
        <v>0</v>
      </c>
      <c r="BE123" s="39">
        <v>0</v>
      </c>
      <c r="BF123" s="39">
        <f>123</f>
        <v>123</v>
      </c>
      <c r="BH123" s="39">
        <f>G123*AO123</f>
        <v>0</v>
      </c>
      <c r="BI123" s="39">
        <f>G123*AP123</f>
        <v>0</v>
      </c>
      <c r="BJ123" s="39">
        <f>G123*H123</f>
        <v>0</v>
      </c>
    </row>
    <row r="124" spans="1:62" ht="12.75">
      <c r="A124" s="11" t="s">
        <v>334</v>
      </c>
      <c r="B124" s="11" t="s">
        <v>335</v>
      </c>
      <c r="C124" s="11" t="s">
        <v>336</v>
      </c>
      <c r="D124" s="11"/>
      <c r="E124" s="11"/>
      <c r="F124" s="11" t="s">
        <v>80</v>
      </c>
      <c r="G124" s="38">
        <v>130</v>
      </c>
      <c r="H124" s="39">
        <v>0</v>
      </c>
      <c r="I124" s="39">
        <f>G124*AO124</f>
        <v>0</v>
      </c>
      <c r="J124" s="39">
        <f>G124*AP124</f>
        <v>0</v>
      </c>
      <c r="K124" s="39">
        <f>G124*H124</f>
        <v>0</v>
      </c>
      <c r="L124" s="40" t="s">
        <v>53</v>
      </c>
      <c r="Z124" s="39">
        <f>IF(AQ124="5",BJ124,0)</f>
        <v>0</v>
      </c>
      <c r="AB124" s="39">
        <f>IF(AQ124="1",BH124,0)</f>
        <v>0</v>
      </c>
      <c r="AC124" s="39">
        <f>IF(AQ124="1",BI124,0)</f>
        <v>0</v>
      </c>
      <c r="AD124" s="39">
        <f>IF(AQ124="7",BH124,0)</f>
        <v>0</v>
      </c>
      <c r="AE124" s="39">
        <f>IF(AQ124="7",BI124,0)</f>
        <v>0</v>
      </c>
      <c r="AF124" s="39">
        <f>IF(AQ124="2",BH124,0)</f>
        <v>0</v>
      </c>
      <c r="AG124" s="39">
        <f>IF(AQ124="2",BI124,0)</f>
        <v>0</v>
      </c>
      <c r="AH124" s="39">
        <f>IF(AQ124="0",BJ124,0)</f>
        <v>0</v>
      </c>
      <c r="AI124" s="32"/>
      <c r="AJ124" s="39">
        <f>IF(AN124=0,K124,0)</f>
        <v>0</v>
      </c>
      <c r="AK124" s="39">
        <f>IF(AN124=15,K124,0)</f>
        <v>0</v>
      </c>
      <c r="AL124" s="39">
        <f>IF(AN124=21,K124,0)</f>
        <v>0</v>
      </c>
      <c r="AN124" s="39">
        <v>21</v>
      </c>
      <c r="AO124" s="39">
        <f>H124*0.108429752066116</f>
        <v>0</v>
      </c>
      <c r="AP124" s="39">
        <f>H124*(1-0.108429752066116)</f>
        <v>0</v>
      </c>
      <c r="AQ124" s="40" t="s">
        <v>88</v>
      </c>
      <c r="AV124" s="39">
        <f>AW124+AX124</f>
        <v>0</v>
      </c>
      <c r="AW124" s="39">
        <f>G124*AO124</f>
        <v>0</v>
      </c>
      <c r="AX124" s="39">
        <f>G124*AP124</f>
        <v>0</v>
      </c>
      <c r="AY124" s="40" t="s">
        <v>332</v>
      </c>
      <c r="AZ124" s="40" t="s">
        <v>333</v>
      </c>
      <c r="BA124" s="32" t="s">
        <v>56</v>
      </c>
      <c r="BC124" s="39">
        <f>AW124+AX124</f>
        <v>0</v>
      </c>
      <c r="BD124" s="39">
        <f>H124/(100-BE124)*100</f>
        <v>0</v>
      </c>
      <c r="BE124" s="39">
        <v>0</v>
      </c>
      <c r="BF124" s="39">
        <f>124</f>
        <v>124</v>
      </c>
      <c r="BH124" s="39">
        <f>G124*AO124</f>
        <v>0</v>
      </c>
      <c r="BI124" s="39">
        <f>G124*AP124</f>
        <v>0</v>
      </c>
      <c r="BJ124" s="39">
        <f>G124*H124</f>
        <v>0</v>
      </c>
    </row>
    <row r="125" spans="1:47" ht="12.75">
      <c r="A125" s="43"/>
      <c r="B125" s="44" t="s">
        <v>337</v>
      </c>
      <c r="C125" s="44" t="s">
        <v>338</v>
      </c>
      <c r="D125" s="44"/>
      <c r="E125" s="44"/>
      <c r="F125" s="43" t="s">
        <v>4</v>
      </c>
      <c r="G125" s="43" t="s">
        <v>4</v>
      </c>
      <c r="H125" s="43" t="s">
        <v>4</v>
      </c>
      <c r="I125" s="37">
        <f>SUM(I126:I126)</f>
        <v>0</v>
      </c>
      <c r="J125" s="37">
        <f>SUM(J126:J126)</f>
        <v>0</v>
      </c>
      <c r="K125" s="37">
        <f>SUM(K126:K126)</f>
        <v>0</v>
      </c>
      <c r="L125" s="32"/>
      <c r="AI125" s="32"/>
      <c r="AS125" s="37">
        <f>SUM(AJ126:AJ126)</f>
        <v>0</v>
      </c>
      <c r="AT125" s="37">
        <f>SUM(AK126:AK126)</f>
        <v>0</v>
      </c>
      <c r="AU125" s="37">
        <f>SUM(AL126:AL126)</f>
        <v>0</v>
      </c>
    </row>
    <row r="126" spans="1:62" ht="12.75">
      <c r="A126" s="11" t="s">
        <v>339</v>
      </c>
      <c r="B126" s="11" t="s">
        <v>340</v>
      </c>
      <c r="C126" s="11" t="s">
        <v>341</v>
      </c>
      <c r="D126" s="11"/>
      <c r="E126" s="11"/>
      <c r="F126" s="11" t="s">
        <v>342</v>
      </c>
      <c r="G126" s="38">
        <v>40</v>
      </c>
      <c r="H126" s="39">
        <v>0</v>
      </c>
      <c r="I126" s="39">
        <f>G126*AO126</f>
        <v>0</v>
      </c>
      <c r="J126" s="39">
        <f>G126*AP126</f>
        <v>0</v>
      </c>
      <c r="K126" s="39">
        <f>G126*H126</f>
        <v>0</v>
      </c>
      <c r="L126" s="40" t="s">
        <v>53</v>
      </c>
      <c r="Z126" s="39">
        <f>IF(AQ126="5",BJ126,0)</f>
        <v>0</v>
      </c>
      <c r="AB126" s="39">
        <f>IF(AQ126="1",BH126,0)</f>
        <v>0</v>
      </c>
      <c r="AC126" s="39">
        <f>IF(AQ126="1",BI126,0)</f>
        <v>0</v>
      </c>
      <c r="AD126" s="39">
        <f>IF(AQ126="7",BH126,0)</f>
        <v>0</v>
      </c>
      <c r="AE126" s="39">
        <f>IF(AQ126="7",BI126,0)</f>
        <v>0</v>
      </c>
      <c r="AF126" s="39">
        <f>IF(AQ126="2",BH126,0)</f>
        <v>0</v>
      </c>
      <c r="AG126" s="39">
        <f>IF(AQ126="2",BI126,0)</f>
        <v>0</v>
      </c>
      <c r="AH126" s="39">
        <f>IF(AQ126="0",BJ126,0)</f>
        <v>0</v>
      </c>
      <c r="AI126" s="32"/>
      <c r="AJ126" s="39">
        <f>IF(AN126=0,K126,0)</f>
        <v>0</v>
      </c>
      <c r="AK126" s="39">
        <f>IF(AN126=15,K126,0)</f>
        <v>0</v>
      </c>
      <c r="AL126" s="39">
        <f>IF(AN126=21,K126,0)</f>
        <v>0</v>
      </c>
      <c r="AN126" s="39">
        <v>21</v>
      </c>
      <c r="AO126" s="39">
        <f>H126*0</f>
        <v>0</v>
      </c>
      <c r="AP126" s="39">
        <f>H126*(1-0)</f>
        <v>0</v>
      </c>
      <c r="AQ126" s="40" t="s">
        <v>49</v>
      </c>
      <c r="AV126" s="39">
        <f>AW126+AX126</f>
        <v>0</v>
      </c>
      <c r="AW126" s="39">
        <f>G126*AO126</f>
        <v>0</v>
      </c>
      <c r="AX126" s="39">
        <f>G126*AP126</f>
        <v>0</v>
      </c>
      <c r="AY126" s="40" t="s">
        <v>343</v>
      </c>
      <c r="AZ126" s="40" t="s">
        <v>114</v>
      </c>
      <c r="BA126" s="32" t="s">
        <v>56</v>
      </c>
      <c r="BC126" s="39">
        <f>AW126+AX126</f>
        <v>0</v>
      </c>
      <c r="BD126" s="39">
        <f>H126/(100-BE126)*100</f>
        <v>0</v>
      </c>
      <c r="BE126" s="39">
        <v>0</v>
      </c>
      <c r="BF126" s="39">
        <f>126</f>
        <v>126</v>
      </c>
      <c r="BH126" s="39">
        <f>G126*AO126</f>
        <v>0</v>
      </c>
      <c r="BI126" s="39">
        <f>G126*AP126</f>
        <v>0</v>
      </c>
      <c r="BJ126" s="39">
        <f>G126*H126</f>
        <v>0</v>
      </c>
    </row>
    <row r="127" spans="1:47" ht="12.75">
      <c r="A127" s="43"/>
      <c r="B127" s="44" t="s">
        <v>344</v>
      </c>
      <c r="C127" s="44" t="s">
        <v>345</v>
      </c>
      <c r="D127" s="44"/>
      <c r="E127" s="44"/>
      <c r="F127" s="43" t="s">
        <v>4</v>
      </c>
      <c r="G127" s="43" t="s">
        <v>4</v>
      </c>
      <c r="H127" s="43" t="s">
        <v>4</v>
      </c>
      <c r="I127" s="37">
        <f>SUM(I128:I130)</f>
        <v>0</v>
      </c>
      <c r="J127" s="37">
        <f>SUM(J128:J130)</f>
        <v>0</v>
      </c>
      <c r="K127" s="37">
        <f>SUM(K128:K130)</f>
        <v>0</v>
      </c>
      <c r="L127" s="32"/>
      <c r="AI127" s="32"/>
      <c r="AS127" s="37">
        <f>SUM(AJ128:AJ130)</f>
        <v>0</v>
      </c>
      <c r="AT127" s="37">
        <f>SUM(AK128:AK130)</f>
        <v>0</v>
      </c>
      <c r="AU127" s="37">
        <f>SUM(AL128:AL130)</f>
        <v>0</v>
      </c>
    </row>
    <row r="128" spans="1:62" ht="12.75">
      <c r="A128" s="11" t="s">
        <v>346</v>
      </c>
      <c r="B128" s="11" t="s">
        <v>347</v>
      </c>
      <c r="C128" s="11" t="s">
        <v>348</v>
      </c>
      <c r="D128" s="11"/>
      <c r="E128" s="11"/>
      <c r="F128" s="11" t="s">
        <v>349</v>
      </c>
      <c r="G128" s="38">
        <v>1</v>
      </c>
      <c r="H128" s="39">
        <v>0</v>
      </c>
      <c r="I128" s="39">
        <f>G128*AO128</f>
        <v>0</v>
      </c>
      <c r="J128" s="39">
        <f>G128*AP128</f>
        <v>0</v>
      </c>
      <c r="K128" s="39">
        <f>G128*H128</f>
        <v>0</v>
      </c>
      <c r="L128" s="40" t="s">
        <v>53</v>
      </c>
      <c r="Z128" s="39">
        <f>IF(AQ128="5",BJ128,0)</f>
        <v>0</v>
      </c>
      <c r="AB128" s="39">
        <f>IF(AQ128="1",BH128,0)</f>
        <v>0</v>
      </c>
      <c r="AC128" s="39">
        <f>IF(AQ128="1",BI128,0)</f>
        <v>0</v>
      </c>
      <c r="AD128" s="39">
        <f>IF(AQ128="7",BH128,0)</f>
        <v>0</v>
      </c>
      <c r="AE128" s="39">
        <f>IF(AQ128="7",BI128,0)</f>
        <v>0</v>
      </c>
      <c r="AF128" s="39">
        <f>IF(AQ128="2",BH128,0)</f>
        <v>0</v>
      </c>
      <c r="AG128" s="39">
        <f>IF(AQ128="2",BI128,0)</f>
        <v>0</v>
      </c>
      <c r="AH128" s="39">
        <f>IF(AQ128="0",BJ128,0)</f>
        <v>0</v>
      </c>
      <c r="AI128" s="32"/>
      <c r="AJ128" s="39">
        <f>IF(AN128=0,K128,0)</f>
        <v>0</v>
      </c>
      <c r="AK128" s="39">
        <f>IF(AN128=15,K128,0)</f>
        <v>0</v>
      </c>
      <c r="AL128" s="39">
        <f>IF(AN128=21,K128,0)</f>
        <v>0</v>
      </c>
      <c r="AN128" s="39">
        <v>21</v>
      </c>
      <c r="AO128" s="39">
        <f>H128*0.14758574863278</f>
        <v>0</v>
      </c>
      <c r="AP128" s="39">
        <f>H128*(1-0.14758574863278)</f>
        <v>0</v>
      </c>
      <c r="AQ128" s="40" t="s">
        <v>59</v>
      </c>
      <c r="AV128" s="39">
        <f>AW128+AX128</f>
        <v>0</v>
      </c>
      <c r="AW128" s="39">
        <f>G128*AO128</f>
        <v>0</v>
      </c>
      <c r="AX128" s="39">
        <f>G128*AP128</f>
        <v>0</v>
      </c>
      <c r="AY128" s="40" t="s">
        <v>350</v>
      </c>
      <c r="AZ128" s="40" t="s">
        <v>114</v>
      </c>
      <c r="BA128" s="32" t="s">
        <v>56</v>
      </c>
      <c r="BC128" s="39">
        <f>AW128+AX128</f>
        <v>0</v>
      </c>
      <c r="BD128" s="39">
        <f>H128/(100-BE128)*100</f>
        <v>0</v>
      </c>
      <c r="BE128" s="39">
        <v>0</v>
      </c>
      <c r="BF128" s="39">
        <f>128</f>
        <v>128</v>
      </c>
      <c r="BH128" s="39">
        <f>G128*AO128</f>
        <v>0</v>
      </c>
      <c r="BI128" s="39">
        <f>G128*AP128</f>
        <v>0</v>
      </c>
      <c r="BJ128" s="39">
        <f>G128*H128</f>
        <v>0</v>
      </c>
    </row>
    <row r="129" spans="2:12" ht="12.75" customHeight="1">
      <c r="B129" s="41" t="s">
        <v>57</v>
      </c>
      <c r="C129" s="42" t="s">
        <v>300</v>
      </c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62" ht="12.75">
      <c r="A130" s="45" t="s">
        <v>351</v>
      </c>
      <c r="B130" s="45" t="s">
        <v>352</v>
      </c>
      <c r="C130" s="45" t="s">
        <v>353</v>
      </c>
      <c r="D130" s="45"/>
      <c r="E130" s="45"/>
      <c r="F130" s="45" t="s">
        <v>354</v>
      </c>
      <c r="G130" s="46">
        <v>1</v>
      </c>
      <c r="H130" s="47">
        <v>0</v>
      </c>
      <c r="I130" s="47">
        <f>G130*AO130</f>
        <v>0</v>
      </c>
      <c r="J130" s="47">
        <f>G130*AP130</f>
        <v>0</v>
      </c>
      <c r="K130" s="47">
        <f>G130*H130</f>
        <v>0</v>
      </c>
      <c r="L130" s="48"/>
      <c r="Z130" s="39">
        <f>IF(AQ130="5",BJ130,0)</f>
        <v>0</v>
      </c>
      <c r="AB130" s="39">
        <f>IF(AQ130="1",BH130,0)</f>
        <v>0</v>
      </c>
      <c r="AC130" s="39">
        <f>IF(AQ130="1",BI130,0)</f>
        <v>0</v>
      </c>
      <c r="AD130" s="39">
        <f>IF(AQ130="7",BH130,0)</f>
        <v>0</v>
      </c>
      <c r="AE130" s="39">
        <f>IF(AQ130="7",BI130,0)</f>
        <v>0</v>
      </c>
      <c r="AF130" s="39">
        <f>IF(AQ130="2",BH130,0)</f>
        <v>0</v>
      </c>
      <c r="AG130" s="39">
        <f>IF(AQ130="2",BI130,0)</f>
        <v>0</v>
      </c>
      <c r="AH130" s="39">
        <f>IF(AQ130="0",BJ130,0)</f>
        <v>0</v>
      </c>
      <c r="AI130" s="32"/>
      <c r="AJ130" s="39">
        <f>IF(AN130=0,K130,0)</f>
        <v>0</v>
      </c>
      <c r="AK130" s="39">
        <f>IF(AN130=15,K130,0)</f>
        <v>0</v>
      </c>
      <c r="AL130" s="39">
        <f>IF(AN130=21,K130,0)</f>
        <v>0</v>
      </c>
      <c r="AN130" s="39">
        <v>21</v>
      </c>
      <c r="AO130" s="39">
        <f>H130*0</f>
        <v>0</v>
      </c>
      <c r="AP130" s="39">
        <f>H130*(1-0)</f>
        <v>0</v>
      </c>
      <c r="AQ130" s="40" t="s">
        <v>59</v>
      </c>
      <c r="AV130" s="39">
        <f>AW130+AX130</f>
        <v>0</v>
      </c>
      <c r="AW130" s="39">
        <f>G130*AO130</f>
        <v>0</v>
      </c>
      <c r="AX130" s="39">
        <f>G130*AP130</f>
        <v>0</v>
      </c>
      <c r="AY130" s="40" t="s">
        <v>350</v>
      </c>
      <c r="AZ130" s="40" t="s">
        <v>114</v>
      </c>
      <c r="BA130" s="32" t="s">
        <v>56</v>
      </c>
      <c r="BC130" s="39">
        <f>AW130+AX130</f>
        <v>0</v>
      </c>
      <c r="BD130" s="39">
        <f>H130/(100-BE130)*100</f>
        <v>0</v>
      </c>
      <c r="BE130" s="39">
        <v>0</v>
      </c>
      <c r="BF130" s="39">
        <f>130</f>
        <v>130</v>
      </c>
      <c r="BH130" s="39">
        <f>G130*AO130</f>
        <v>0</v>
      </c>
      <c r="BI130" s="39">
        <f>G130*AP130</f>
        <v>0</v>
      </c>
      <c r="BJ130" s="39">
        <f>G130*H130</f>
        <v>0</v>
      </c>
    </row>
    <row r="131" spans="1:12" ht="12.75">
      <c r="A131" s="49"/>
      <c r="B131" s="49"/>
      <c r="C131" s="49"/>
      <c r="D131" s="49"/>
      <c r="E131" s="49"/>
      <c r="F131" s="49"/>
      <c r="G131" s="49"/>
      <c r="H131" s="49"/>
      <c r="I131" s="50" t="s">
        <v>355</v>
      </c>
      <c r="J131" s="50"/>
      <c r="K131" s="51">
        <f>ROUND(K12+K17+K20+K27+K30+K33+K37+K39+K69+K76+K86+K108+K114+K122+K125+K127,0)</f>
        <v>0</v>
      </c>
      <c r="L131" s="49"/>
    </row>
    <row r="132" ht="11.25" customHeight="1">
      <c r="A132" s="52" t="s">
        <v>356</v>
      </c>
    </row>
    <row r="133" spans="1:12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</sheetData>
  <sheetProtection selectLockedCells="1" selectUnlockedCells="1"/>
  <mergeCells count="149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L14"/>
    <mergeCell ref="C15:E15"/>
    <mergeCell ref="C16:L16"/>
    <mergeCell ref="C17:E17"/>
    <mergeCell ref="C18:E18"/>
    <mergeCell ref="C19:E19"/>
    <mergeCell ref="C20:E20"/>
    <mergeCell ref="C21:E21"/>
    <mergeCell ref="C22:L22"/>
    <mergeCell ref="C23:E23"/>
    <mergeCell ref="C24:L24"/>
    <mergeCell ref="C25:E25"/>
    <mergeCell ref="C26:L26"/>
    <mergeCell ref="C27:E27"/>
    <mergeCell ref="C28:E28"/>
    <mergeCell ref="C29:L29"/>
    <mergeCell ref="C30:E30"/>
    <mergeCell ref="C31:E31"/>
    <mergeCell ref="C32:L32"/>
    <mergeCell ref="C33:E33"/>
    <mergeCell ref="C34:E34"/>
    <mergeCell ref="C35:E35"/>
    <mergeCell ref="C36:L36"/>
    <mergeCell ref="C37:E37"/>
    <mergeCell ref="C38:E38"/>
    <mergeCell ref="C39:E39"/>
    <mergeCell ref="C40:E40"/>
    <mergeCell ref="C41:E41"/>
    <mergeCell ref="C42:E42"/>
    <mergeCell ref="C43:E43"/>
    <mergeCell ref="C44:L44"/>
    <mergeCell ref="C45:E45"/>
    <mergeCell ref="C46:L46"/>
    <mergeCell ref="C47:E47"/>
    <mergeCell ref="C48:L48"/>
    <mergeCell ref="C49:E49"/>
    <mergeCell ref="C50:L50"/>
    <mergeCell ref="C51:E51"/>
    <mergeCell ref="C52:L52"/>
    <mergeCell ref="C53:E53"/>
    <mergeCell ref="C54:E54"/>
    <mergeCell ref="C55:L55"/>
    <mergeCell ref="C56:E56"/>
    <mergeCell ref="C57:E57"/>
    <mergeCell ref="C58:E58"/>
    <mergeCell ref="C59:E59"/>
    <mergeCell ref="C60:L60"/>
    <mergeCell ref="C61:E61"/>
    <mergeCell ref="C62:L62"/>
    <mergeCell ref="C63:E63"/>
    <mergeCell ref="C64:L64"/>
    <mergeCell ref="C65:E65"/>
    <mergeCell ref="C66:E66"/>
    <mergeCell ref="C67:E67"/>
    <mergeCell ref="C68:E68"/>
    <mergeCell ref="C69:E69"/>
    <mergeCell ref="C70:E70"/>
    <mergeCell ref="C71:L71"/>
    <mergeCell ref="C72:E72"/>
    <mergeCell ref="C73:E73"/>
    <mergeCell ref="C74:E74"/>
    <mergeCell ref="C75:E75"/>
    <mergeCell ref="C76:E76"/>
    <mergeCell ref="C77:E77"/>
    <mergeCell ref="C78:L78"/>
    <mergeCell ref="C79:E79"/>
    <mergeCell ref="C80:L80"/>
    <mergeCell ref="C81:E81"/>
    <mergeCell ref="C82:L82"/>
    <mergeCell ref="C83:E83"/>
    <mergeCell ref="C84:L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L97"/>
    <mergeCell ref="C98:E98"/>
    <mergeCell ref="C99:L99"/>
    <mergeCell ref="C100:E100"/>
    <mergeCell ref="C101:E101"/>
    <mergeCell ref="C102:E102"/>
    <mergeCell ref="C103:E103"/>
    <mergeCell ref="C104:E104"/>
    <mergeCell ref="C105:L105"/>
    <mergeCell ref="C106:E106"/>
    <mergeCell ref="C107:E107"/>
    <mergeCell ref="C108:E108"/>
    <mergeCell ref="C109:E109"/>
    <mergeCell ref="C110:E110"/>
    <mergeCell ref="C111:E111"/>
    <mergeCell ref="C112:L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L129"/>
    <mergeCell ref="C130:E130"/>
    <mergeCell ref="I131:J131"/>
    <mergeCell ref="A133:L13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2" width="16.57421875" style="1" customWidth="1"/>
    <col min="3" max="3" width="41.7109375" style="1" customWidth="1"/>
    <col min="4" max="4" width="11.57421875" style="0" customWidth="1"/>
    <col min="5" max="5" width="22.140625" style="1" customWidth="1"/>
    <col min="6" max="6" width="21.00390625" style="1" customWidth="1"/>
    <col min="7" max="7" width="20.8515625" style="1" customWidth="1"/>
    <col min="8" max="9" width="0" style="1" hidden="1" customWidth="1"/>
    <col min="10" max="16384" width="11.57421875" style="0" customWidth="1"/>
  </cols>
  <sheetData>
    <row r="1" spans="1:7" ht="72.75" customHeight="1">
      <c r="A1" s="2" t="s">
        <v>357</v>
      </c>
      <c r="B1" s="2"/>
      <c r="C1" s="2"/>
      <c r="D1" s="2"/>
      <c r="E1" s="2"/>
      <c r="F1" s="2"/>
      <c r="G1" s="2"/>
    </row>
    <row r="2" spans="1:8" ht="12.75" customHeight="1">
      <c r="A2" s="3" t="s">
        <v>1</v>
      </c>
      <c r="B2" s="4">
        <f>'Stavební rozpočet'!C2</f>
        <v>0</v>
      </c>
      <c r="C2" s="4"/>
      <c r="D2" s="6" t="s">
        <v>5</v>
      </c>
      <c r="E2" s="7">
        <f>'Stavební rozpočet'!I2</f>
        <v>0</v>
      </c>
      <c r="F2" s="7"/>
      <c r="G2" s="7"/>
      <c r="H2" s="8"/>
    </row>
    <row r="3" spans="1:8" ht="12.75">
      <c r="A3" s="3"/>
      <c r="B3" s="4"/>
      <c r="C3" s="4"/>
      <c r="D3" s="6"/>
      <c r="E3" s="6"/>
      <c r="F3" s="7"/>
      <c r="G3" s="7"/>
      <c r="H3" s="8"/>
    </row>
    <row r="4" spans="1:8" ht="12.75" customHeight="1">
      <c r="A4" s="9" t="s">
        <v>7</v>
      </c>
      <c r="B4" s="10">
        <f>'Stavební rozpočet'!C4</f>
        <v>0</v>
      </c>
      <c r="C4" s="10"/>
      <c r="D4" s="10" t="s">
        <v>9</v>
      </c>
      <c r="E4" s="12">
        <f>'Stavební rozpočet'!I4</f>
        <v>0</v>
      </c>
      <c r="F4" s="12"/>
      <c r="G4" s="12"/>
      <c r="H4" s="8"/>
    </row>
    <row r="5" spans="1:8" ht="12.75">
      <c r="A5" s="9"/>
      <c r="B5" s="10"/>
      <c r="C5" s="10"/>
      <c r="D5" s="10"/>
      <c r="E5" s="10"/>
      <c r="F5" s="12"/>
      <c r="G5" s="12"/>
      <c r="H5" s="8"/>
    </row>
    <row r="6" spans="1:8" ht="12.75" customHeight="1">
      <c r="A6" s="9" t="s">
        <v>11</v>
      </c>
      <c r="B6" s="10">
        <f>'Stavební rozpočet'!C6</f>
        <v>0</v>
      </c>
      <c r="C6" s="10"/>
      <c r="D6" s="10" t="s">
        <v>14</v>
      </c>
      <c r="E6" s="12">
        <f>'Stavební rozpočet'!I6</f>
        <v>0</v>
      </c>
      <c r="F6" s="12"/>
      <c r="G6" s="12"/>
      <c r="H6" s="8"/>
    </row>
    <row r="7" spans="1:8" ht="12.75">
      <c r="A7" s="9"/>
      <c r="B7" s="10"/>
      <c r="C7" s="10"/>
      <c r="D7" s="10"/>
      <c r="E7" s="10"/>
      <c r="F7" s="12"/>
      <c r="G7" s="12"/>
      <c r="H7" s="8"/>
    </row>
    <row r="8" spans="1:8" ht="12.75" customHeight="1">
      <c r="A8" s="13" t="s">
        <v>19</v>
      </c>
      <c r="B8" s="14">
        <f>'Stavební rozpočet'!I8</f>
        <v>0</v>
      </c>
      <c r="C8" s="14"/>
      <c r="D8" s="15" t="s">
        <v>17</v>
      </c>
      <c r="E8" s="53">
        <f>'Stavební rozpočet'!F8</f>
        <v>0</v>
      </c>
      <c r="F8" s="53"/>
      <c r="G8" s="53"/>
      <c r="H8" s="8"/>
    </row>
    <row r="9" spans="1:8" ht="12.75">
      <c r="A9" s="13"/>
      <c r="B9" s="14"/>
      <c r="C9" s="14"/>
      <c r="D9" s="15"/>
      <c r="E9" s="15"/>
      <c r="F9" s="53"/>
      <c r="G9" s="53"/>
      <c r="H9" s="8"/>
    </row>
    <row r="10" spans="1:8" ht="12.75">
      <c r="A10" s="54" t="s">
        <v>358</v>
      </c>
      <c r="B10" s="55" t="s">
        <v>22</v>
      </c>
      <c r="C10" s="56" t="s">
        <v>359</v>
      </c>
      <c r="D10" s="56"/>
      <c r="E10" s="57" t="s">
        <v>360</v>
      </c>
      <c r="F10" s="57" t="s">
        <v>361</v>
      </c>
      <c r="G10" s="57" t="s">
        <v>362</v>
      </c>
      <c r="H10" s="8"/>
    </row>
    <row r="11" spans="1:9" ht="12.75">
      <c r="A11" s="58"/>
      <c r="B11" s="58" t="s">
        <v>47</v>
      </c>
      <c r="C11" s="58" t="s">
        <v>48</v>
      </c>
      <c r="D11" s="58"/>
      <c r="E11" s="59">
        <f>'Stavební rozpočet'!I12</f>
        <v>0</v>
      </c>
      <c r="F11" s="59">
        <f>'Stavební rozpočet'!J12</f>
        <v>0</v>
      </c>
      <c r="G11" s="59">
        <f>'Stavební rozpočet'!K12</f>
        <v>0</v>
      </c>
      <c r="H11" s="39" t="s">
        <v>363</v>
      </c>
      <c r="I11" s="39">
        <f aca="true" t="shared" si="0" ref="I11:I26">IF(H11="F",0,G11)</f>
        <v>0</v>
      </c>
    </row>
    <row r="12" spans="1:9" ht="12.75">
      <c r="A12" s="11"/>
      <c r="B12" s="11" t="s">
        <v>64</v>
      </c>
      <c r="C12" s="11" t="s">
        <v>65</v>
      </c>
      <c r="D12" s="11"/>
      <c r="E12" s="39">
        <f>'Stavební rozpočet'!I17</f>
        <v>0</v>
      </c>
      <c r="F12" s="39">
        <f>'Stavební rozpočet'!J17</f>
        <v>0</v>
      </c>
      <c r="G12" s="39">
        <f>'Stavební rozpočet'!K17</f>
        <v>0</v>
      </c>
      <c r="H12" s="39" t="s">
        <v>363</v>
      </c>
      <c r="I12" s="39">
        <f t="shared" si="0"/>
        <v>0</v>
      </c>
    </row>
    <row r="13" spans="1:9" ht="12.75">
      <c r="A13" s="11"/>
      <c r="B13" s="11" t="s">
        <v>75</v>
      </c>
      <c r="C13" s="11" t="s">
        <v>76</v>
      </c>
      <c r="D13" s="11"/>
      <c r="E13" s="39">
        <f>'Stavební rozpočet'!I20</f>
        <v>0</v>
      </c>
      <c r="F13" s="39">
        <f>'Stavební rozpočet'!J20</f>
        <v>0</v>
      </c>
      <c r="G13" s="39">
        <f>'Stavební rozpočet'!K20</f>
        <v>0</v>
      </c>
      <c r="H13" s="39" t="s">
        <v>363</v>
      </c>
      <c r="I13" s="39">
        <f t="shared" si="0"/>
        <v>0</v>
      </c>
    </row>
    <row r="14" spans="1:9" ht="12.75" customHeight="1">
      <c r="A14" s="11"/>
      <c r="B14" s="11" t="s">
        <v>92</v>
      </c>
      <c r="C14" s="11" t="s">
        <v>93</v>
      </c>
      <c r="D14" s="11"/>
      <c r="E14" s="39">
        <f>'Stavební rozpočet'!I27</f>
        <v>0</v>
      </c>
      <c r="F14" s="39">
        <f>'Stavební rozpočet'!J27</f>
        <v>0</v>
      </c>
      <c r="G14" s="39">
        <f>'Stavební rozpočet'!K27</f>
        <v>0</v>
      </c>
      <c r="H14" s="39" t="s">
        <v>363</v>
      </c>
      <c r="I14" s="39">
        <f t="shared" si="0"/>
        <v>0</v>
      </c>
    </row>
    <row r="15" spans="1:9" ht="12.75">
      <c r="A15" s="11"/>
      <c r="B15" s="11" t="s">
        <v>99</v>
      </c>
      <c r="C15" s="11" t="s">
        <v>100</v>
      </c>
      <c r="D15" s="11"/>
      <c r="E15" s="39">
        <f>'Stavební rozpočet'!I30</f>
        <v>0</v>
      </c>
      <c r="F15" s="39">
        <f>'Stavební rozpočet'!J30</f>
        <v>0</v>
      </c>
      <c r="G15" s="39">
        <f>'Stavební rozpočet'!K30</f>
        <v>0</v>
      </c>
      <c r="H15" s="39" t="s">
        <v>363</v>
      </c>
      <c r="I15" s="39">
        <f t="shared" si="0"/>
        <v>0</v>
      </c>
    </row>
    <row r="16" spans="1:9" ht="12.75" customHeight="1">
      <c r="A16" s="11"/>
      <c r="B16" s="11" t="s">
        <v>107</v>
      </c>
      <c r="C16" s="11" t="s">
        <v>108</v>
      </c>
      <c r="D16" s="11"/>
      <c r="E16" s="39">
        <f>'Stavební rozpočet'!I33</f>
        <v>0</v>
      </c>
      <c r="F16" s="39">
        <f>'Stavební rozpočet'!J33</f>
        <v>0</v>
      </c>
      <c r="G16" s="39">
        <f>'Stavební rozpočet'!K33</f>
        <v>0</v>
      </c>
      <c r="H16" s="39" t="s">
        <v>363</v>
      </c>
      <c r="I16" s="39">
        <f t="shared" si="0"/>
        <v>0</v>
      </c>
    </row>
    <row r="17" spans="1:9" ht="12.75">
      <c r="A17" s="11"/>
      <c r="B17" s="11" t="s">
        <v>118</v>
      </c>
      <c r="C17" s="11" t="s">
        <v>119</v>
      </c>
      <c r="D17" s="11"/>
      <c r="E17" s="39">
        <f>'Stavební rozpočet'!I37</f>
        <v>0</v>
      </c>
      <c r="F17" s="39">
        <f>'Stavební rozpočet'!J37</f>
        <v>0</v>
      </c>
      <c r="G17" s="39">
        <f>'Stavební rozpočet'!K37</f>
        <v>0</v>
      </c>
      <c r="H17" s="39" t="s">
        <v>363</v>
      </c>
      <c r="I17" s="39">
        <f t="shared" si="0"/>
        <v>0</v>
      </c>
    </row>
    <row r="18" spans="1:9" ht="12.75">
      <c r="A18" s="11"/>
      <c r="B18" s="11" t="s">
        <v>124</v>
      </c>
      <c r="C18" s="11" t="s">
        <v>125</v>
      </c>
      <c r="D18" s="11"/>
      <c r="E18" s="39">
        <f>'Stavební rozpočet'!I39</f>
        <v>0</v>
      </c>
      <c r="F18" s="39">
        <f>'Stavební rozpočet'!J39</f>
        <v>0</v>
      </c>
      <c r="G18" s="39">
        <f>'Stavební rozpočet'!K39</f>
        <v>0</v>
      </c>
      <c r="H18" s="39" t="s">
        <v>363</v>
      </c>
      <c r="I18" s="39">
        <f t="shared" si="0"/>
        <v>0</v>
      </c>
    </row>
    <row r="19" spans="1:9" ht="12.75">
      <c r="A19" s="11"/>
      <c r="B19" s="11" t="s">
        <v>191</v>
      </c>
      <c r="C19" s="11" t="s">
        <v>192</v>
      </c>
      <c r="D19" s="11"/>
      <c r="E19" s="39">
        <f>'Stavební rozpočet'!I69</f>
        <v>0</v>
      </c>
      <c r="F19" s="39">
        <f>'Stavební rozpočet'!J69</f>
        <v>0</v>
      </c>
      <c r="G19" s="39">
        <f>'Stavební rozpočet'!K69</f>
        <v>0</v>
      </c>
      <c r="H19" s="39" t="s">
        <v>363</v>
      </c>
      <c r="I19" s="39">
        <f t="shared" si="0"/>
        <v>0</v>
      </c>
    </row>
    <row r="20" spans="1:9" ht="12.75">
      <c r="A20" s="11"/>
      <c r="B20" s="11" t="s">
        <v>210</v>
      </c>
      <c r="C20" s="11" t="s">
        <v>211</v>
      </c>
      <c r="D20" s="11"/>
      <c r="E20" s="39">
        <f>'Stavební rozpočet'!I76</f>
        <v>0</v>
      </c>
      <c r="F20" s="39">
        <f>'Stavební rozpočet'!J76</f>
        <v>0</v>
      </c>
      <c r="G20" s="39">
        <f>'Stavební rozpočet'!K76</f>
        <v>0</v>
      </c>
      <c r="H20" s="39" t="s">
        <v>363</v>
      </c>
      <c r="I20" s="39">
        <f t="shared" si="0"/>
        <v>0</v>
      </c>
    </row>
    <row r="21" spans="1:9" ht="12.75">
      <c r="A21" s="11"/>
      <c r="B21" s="11" t="s">
        <v>233</v>
      </c>
      <c r="C21" s="11" t="s">
        <v>234</v>
      </c>
      <c r="D21" s="11"/>
      <c r="E21" s="39">
        <f>'Stavební rozpočet'!I86</f>
        <v>0</v>
      </c>
      <c r="F21" s="39">
        <f>'Stavební rozpočet'!J86</f>
        <v>0</v>
      </c>
      <c r="G21" s="39">
        <f>'Stavební rozpočet'!K86</f>
        <v>0</v>
      </c>
      <c r="H21" s="39" t="s">
        <v>363</v>
      </c>
      <c r="I21" s="39">
        <f t="shared" si="0"/>
        <v>0</v>
      </c>
    </row>
    <row r="22" spans="1:9" ht="12.75" customHeight="1">
      <c r="A22" s="11"/>
      <c r="B22" s="11" t="s">
        <v>290</v>
      </c>
      <c r="C22" s="11" t="s">
        <v>291</v>
      </c>
      <c r="D22" s="11"/>
      <c r="E22" s="39">
        <f>'Stavební rozpočet'!I108</f>
        <v>0</v>
      </c>
      <c r="F22" s="39">
        <f>'Stavební rozpočet'!J108</f>
        <v>0</v>
      </c>
      <c r="G22" s="39">
        <f>'Stavební rozpočet'!K108</f>
        <v>0</v>
      </c>
      <c r="H22" s="39" t="s">
        <v>363</v>
      </c>
      <c r="I22" s="39">
        <f t="shared" si="0"/>
        <v>0</v>
      </c>
    </row>
    <row r="23" spans="1:9" ht="12.75">
      <c r="A23" s="11"/>
      <c r="B23" s="11" t="s">
        <v>303</v>
      </c>
      <c r="C23" s="11" t="s">
        <v>304</v>
      </c>
      <c r="D23" s="11"/>
      <c r="E23" s="39">
        <f>'Stavební rozpočet'!I114</f>
        <v>0</v>
      </c>
      <c r="F23" s="39">
        <f>'Stavební rozpočet'!J114</f>
        <v>0</v>
      </c>
      <c r="G23" s="39">
        <f>'Stavební rozpočet'!K114</f>
        <v>0</v>
      </c>
      <c r="H23" s="39" t="s">
        <v>363</v>
      </c>
      <c r="I23" s="39">
        <f t="shared" si="0"/>
        <v>0</v>
      </c>
    </row>
    <row r="24" spans="1:9" ht="12.75" customHeight="1">
      <c r="A24" s="11"/>
      <c r="B24" s="11" t="s">
        <v>327</v>
      </c>
      <c r="C24" s="11" t="s">
        <v>328</v>
      </c>
      <c r="D24" s="11"/>
      <c r="E24" s="39">
        <f>'Stavební rozpočet'!I122</f>
        <v>0</v>
      </c>
      <c r="F24" s="39">
        <f>'Stavební rozpočet'!J122</f>
        <v>0</v>
      </c>
      <c r="G24" s="39">
        <f>'Stavební rozpočet'!K122</f>
        <v>0</v>
      </c>
      <c r="H24" s="39" t="s">
        <v>363</v>
      </c>
      <c r="I24" s="39">
        <f t="shared" si="0"/>
        <v>0</v>
      </c>
    </row>
    <row r="25" spans="1:9" ht="12.75">
      <c r="A25" s="11"/>
      <c r="B25" s="11" t="s">
        <v>337</v>
      </c>
      <c r="C25" s="11" t="s">
        <v>338</v>
      </c>
      <c r="D25" s="11"/>
      <c r="E25" s="39">
        <f>'Stavební rozpočet'!I125</f>
        <v>0</v>
      </c>
      <c r="F25" s="39">
        <f>'Stavební rozpočet'!J125</f>
        <v>0</v>
      </c>
      <c r="G25" s="39">
        <f>'Stavební rozpočet'!K125</f>
        <v>0</v>
      </c>
      <c r="H25" s="39" t="s">
        <v>363</v>
      </c>
      <c r="I25" s="39">
        <f t="shared" si="0"/>
        <v>0</v>
      </c>
    </row>
    <row r="26" spans="1:9" ht="12.75" customHeight="1">
      <c r="A26" s="11"/>
      <c r="B26" s="11" t="s">
        <v>344</v>
      </c>
      <c r="C26" s="11" t="s">
        <v>345</v>
      </c>
      <c r="D26" s="11"/>
      <c r="E26" s="39">
        <f>'Stavební rozpočet'!I127</f>
        <v>0</v>
      </c>
      <c r="F26" s="39">
        <f>'Stavební rozpočet'!J127</f>
        <v>0</v>
      </c>
      <c r="G26" s="39">
        <f>'Stavební rozpočet'!K127</f>
        <v>0</v>
      </c>
      <c r="H26" s="39" t="s">
        <v>363</v>
      </c>
      <c r="I26" s="39">
        <f t="shared" si="0"/>
        <v>0</v>
      </c>
    </row>
    <row r="28" spans="6:7" ht="12.75">
      <c r="F28" s="60" t="s">
        <v>355</v>
      </c>
      <c r="G28" s="61">
        <f>ROUND(SUM(I11:I26),0)</f>
        <v>0</v>
      </c>
    </row>
  </sheetData>
  <sheetProtection selectLockedCells="1" selectUnlockedCells="1"/>
  <mergeCells count="34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0" customWidth="1"/>
  </cols>
  <sheetData>
    <row r="1" spans="1:9" ht="72.75" customHeight="1">
      <c r="A1" s="62"/>
      <c r="B1" s="63"/>
      <c r="C1" s="64" t="s">
        <v>364</v>
      </c>
      <c r="D1" s="64"/>
      <c r="E1" s="64"/>
      <c r="F1" s="64"/>
      <c r="G1" s="64"/>
      <c r="H1" s="64"/>
      <c r="I1" s="64"/>
    </row>
    <row r="2" spans="1:10" ht="12.75" customHeight="1">
      <c r="A2" s="3" t="s">
        <v>1</v>
      </c>
      <c r="B2" s="3"/>
      <c r="C2" s="4">
        <f>'Stavební rozpočet'!C2</f>
        <v>0</v>
      </c>
      <c r="D2" s="4"/>
      <c r="E2" s="6" t="s">
        <v>5</v>
      </c>
      <c r="F2" s="6">
        <f>'Stavební rozpočet'!I2</f>
        <v>0</v>
      </c>
      <c r="G2" s="6"/>
      <c r="H2" s="6" t="s">
        <v>365</v>
      </c>
      <c r="I2" s="65"/>
      <c r="J2" s="8"/>
    </row>
    <row r="3" spans="1:10" ht="12.75">
      <c r="A3" s="3"/>
      <c r="B3" s="3"/>
      <c r="C3" s="4"/>
      <c r="D3" s="4"/>
      <c r="E3" s="6"/>
      <c r="F3" s="6"/>
      <c r="G3" s="6"/>
      <c r="H3" s="6"/>
      <c r="I3" s="65"/>
      <c r="J3" s="8"/>
    </row>
    <row r="4" spans="1:10" ht="12.75" customHeight="1">
      <c r="A4" s="9" t="s">
        <v>7</v>
      </c>
      <c r="B4" s="9"/>
      <c r="C4" s="10">
        <f>'Stavební rozpočet'!C4</f>
        <v>0</v>
      </c>
      <c r="D4" s="10"/>
      <c r="E4" s="10" t="s">
        <v>9</v>
      </c>
      <c r="F4" s="10">
        <f>'Stavební rozpočet'!I4</f>
        <v>0</v>
      </c>
      <c r="G4" s="10"/>
      <c r="H4" s="10" t="s">
        <v>365</v>
      </c>
      <c r="I4" s="66"/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66"/>
      <c r="J5" s="8"/>
    </row>
    <row r="6" spans="1:10" ht="12.75" customHeight="1">
      <c r="A6" s="9" t="s">
        <v>11</v>
      </c>
      <c r="B6" s="9"/>
      <c r="C6" s="10">
        <f>'Stavební rozpočet'!C6</f>
        <v>0</v>
      </c>
      <c r="D6" s="10"/>
      <c r="E6" s="10" t="s">
        <v>14</v>
      </c>
      <c r="F6" s="10">
        <f>'Stavební rozpočet'!I6</f>
        <v>0</v>
      </c>
      <c r="G6" s="10"/>
      <c r="H6" s="10" t="s">
        <v>365</v>
      </c>
      <c r="I6" s="66"/>
      <c r="J6" s="8"/>
    </row>
    <row r="7" spans="1:10" ht="12.75">
      <c r="A7" s="9"/>
      <c r="B7" s="9"/>
      <c r="C7" s="10"/>
      <c r="D7" s="10"/>
      <c r="E7" s="10"/>
      <c r="F7" s="10"/>
      <c r="G7" s="10"/>
      <c r="H7" s="10"/>
      <c r="I7" s="66"/>
      <c r="J7" s="8"/>
    </row>
    <row r="8" spans="1:10" ht="12.75" customHeight="1">
      <c r="A8" s="9" t="s">
        <v>8</v>
      </c>
      <c r="B8" s="9"/>
      <c r="C8" s="10">
        <f>'Stavební rozpočet'!F4</f>
        <v>0</v>
      </c>
      <c r="D8" s="10"/>
      <c r="E8" s="10" t="s">
        <v>13</v>
      </c>
      <c r="F8" s="10">
        <f>'Stavební rozpočet'!F6</f>
        <v>0</v>
      </c>
      <c r="G8" s="10"/>
      <c r="H8" s="11" t="s">
        <v>366</v>
      </c>
      <c r="I8" s="66" t="s">
        <v>351</v>
      </c>
      <c r="J8" s="8"/>
    </row>
    <row r="9" spans="1:10" ht="12.75">
      <c r="A9" s="9"/>
      <c r="B9" s="9"/>
      <c r="C9" s="10"/>
      <c r="D9" s="10"/>
      <c r="E9" s="10"/>
      <c r="F9" s="10"/>
      <c r="G9" s="10"/>
      <c r="H9" s="11"/>
      <c r="I9" s="66"/>
      <c r="J9" s="8"/>
    </row>
    <row r="10" spans="1:10" ht="12.75" customHeight="1">
      <c r="A10" s="67" t="s">
        <v>16</v>
      </c>
      <c r="B10" s="67"/>
      <c r="C10" s="68">
        <f>'Stavební rozpočet'!C8</f>
        <v>0</v>
      </c>
      <c r="D10" s="68"/>
      <c r="E10" s="68" t="s">
        <v>19</v>
      </c>
      <c r="F10" s="68">
        <f>'Stavební rozpočet'!I8</f>
        <v>0</v>
      </c>
      <c r="G10" s="68"/>
      <c r="H10" s="45" t="s">
        <v>367</v>
      </c>
      <c r="I10" s="69">
        <f>'Stavební rozpočet'!F8</f>
        <v>0</v>
      </c>
      <c r="J10" s="8"/>
    </row>
    <row r="11" spans="1:10" ht="12.75">
      <c r="A11" s="67"/>
      <c r="B11" s="67"/>
      <c r="C11" s="68"/>
      <c r="D11" s="68"/>
      <c r="E11" s="68"/>
      <c r="F11" s="68"/>
      <c r="G11" s="68"/>
      <c r="H11" s="45"/>
      <c r="I11" s="69"/>
      <c r="J11" s="8"/>
    </row>
    <row r="12" spans="1:9" ht="23.25" customHeight="1">
      <c r="A12" s="70" t="s">
        <v>368</v>
      </c>
      <c r="B12" s="70"/>
      <c r="C12" s="70"/>
      <c r="D12" s="70"/>
      <c r="E12" s="70"/>
      <c r="F12" s="70"/>
      <c r="G12" s="70"/>
      <c r="H12" s="70"/>
      <c r="I12" s="70"/>
    </row>
    <row r="13" spans="1:10" ht="26.25" customHeight="1">
      <c r="A13" s="71" t="s">
        <v>369</v>
      </c>
      <c r="B13" s="72" t="s">
        <v>370</v>
      </c>
      <c r="C13" s="72"/>
      <c r="D13" s="71" t="s">
        <v>371</v>
      </c>
      <c r="E13" s="72" t="s">
        <v>372</v>
      </c>
      <c r="F13" s="72"/>
      <c r="G13" s="71" t="s">
        <v>373</v>
      </c>
      <c r="H13" s="72" t="s">
        <v>374</v>
      </c>
      <c r="I13" s="72"/>
      <c r="J13" s="8"/>
    </row>
    <row r="14" spans="1:10" ht="15" customHeight="1">
      <c r="A14" s="73" t="s">
        <v>375</v>
      </c>
      <c r="B14" s="74" t="s">
        <v>376</v>
      </c>
      <c r="C14" s="75">
        <f>SUM('Stavební rozpočet'!AB12:AB130)</f>
        <v>0</v>
      </c>
      <c r="D14" s="74" t="s">
        <v>377</v>
      </c>
      <c r="E14" s="74"/>
      <c r="F14" s="75">
        <v>0</v>
      </c>
      <c r="G14" s="74" t="s">
        <v>378</v>
      </c>
      <c r="H14" s="74"/>
      <c r="I14" s="75">
        <v>0</v>
      </c>
      <c r="J14" s="8"/>
    </row>
    <row r="15" spans="1:10" ht="15" customHeight="1">
      <c r="A15" s="76"/>
      <c r="B15" s="74" t="s">
        <v>32</v>
      </c>
      <c r="C15" s="75">
        <f>SUM('Stavební rozpočet'!AC12:AC130)</f>
        <v>0</v>
      </c>
      <c r="D15" s="74" t="s">
        <v>379</v>
      </c>
      <c r="E15" s="74"/>
      <c r="F15" s="75">
        <v>0</v>
      </c>
      <c r="G15" s="74" t="s">
        <v>380</v>
      </c>
      <c r="H15" s="74"/>
      <c r="I15" s="75">
        <v>0</v>
      </c>
      <c r="J15" s="8"/>
    </row>
    <row r="16" spans="1:10" ht="15" customHeight="1">
      <c r="A16" s="73" t="s">
        <v>381</v>
      </c>
      <c r="B16" s="74" t="s">
        <v>376</v>
      </c>
      <c r="C16" s="75">
        <f>SUM('Stavební rozpočet'!AD12:AD130)</f>
        <v>0</v>
      </c>
      <c r="D16" s="74" t="s">
        <v>382</v>
      </c>
      <c r="E16" s="74"/>
      <c r="F16" s="75">
        <v>0</v>
      </c>
      <c r="G16" s="74" t="s">
        <v>383</v>
      </c>
      <c r="H16" s="74"/>
      <c r="I16" s="75">
        <v>0</v>
      </c>
      <c r="J16" s="8"/>
    </row>
    <row r="17" spans="1:10" ht="15" customHeight="1">
      <c r="A17" s="76"/>
      <c r="B17" s="74" t="s">
        <v>32</v>
      </c>
      <c r="C17" s="75">
        <f>SUM('Stavební rozpočet'!AE12:AE130)</f>
        <v>0</v>
      </c>
      <c r="D17" s="74"/>
      <c r="E17" s="74"/>
      <c r="F17" s="77"/>
      <c r="G17" s="74" t="s">
        <v>384</v>
      </c>
      <c r="H17" s="74"/>
      <c r="I17" s="75">
        <v>0</v>
      </c>
      <c r="J17" s="8"/>
    </row>
    <row r="18" spans="1:10" ht="15" customHeight="1">
      <c r="A18" s="73" t="s">
        <v>385</v>
      </c>
      <c r="B18" s="74" t="s">
        <v>376</v>
      </c>
      <c r="C18" s="75">
        <f>SUM('Stavební rozpočet'!AF12:AF130)</f>
        <v>0</v>
      </c>
      <c r="D18" s="74"/>
      <c r="E18" s="74"/>
      <c r="F18" s="77"/>
      <c r="G18" s="74" t="s">
        <v>386</v>
      </c>
      <c r="H18" s="74"/>
      <c r="I18" s="75">
        <v>0</v>
      </c>
      <c r="J18" s="8"/>
    </row>
    <row r="19" spans="1:10" ht="15" customHeight="1">
      <c r="A19" s="76"/>
      <c r="B19" s="74" t="s">
        <v>32</v>
      </c>
      <c r="C19" s="75">
        <f>SUM('Stavební rozpočet'!AG12:AG130)</f>
        <v>0</v>
      </c>
      <c r="D19" s="74"/>
      <c r="E19" s="74"/>
      <c r="F19" s="77"/>
      <c r="G19" s="74" t="s">
        <v>387</v>
      </c>
      <c r="H19" s="74"/>
      <c r="I19" s="75">
        <v>0</v>
      </c>
      <c r="J19" s="8"/>
    </row>
    <row r="20" spans="1:10" ht="15" customHeight="1">
      <c r="A20" s="78" t="s">
        <v>388</v>
      </c>
      <c r="B20" s="78"/>
      <c r="C20" s="75">
        <f>SUM('Stavební rozpočet'!AH12:AH130)</f>
        <v>0</v>
      </c>
      <c r="D20" s="74"/>
      <c r="E20" s="74"/>
      <c r="F20" s="77"/>
      <c r="G20" s="74"/>
      <c r="H20" s="74"/>
      <c r="I20" s="77"/>
      <c r="J20" s="8"/>
    </row>
    <row r="21" spans="1:10" ht="15" customHeight="1">
      <c r="A21" s="78" t="s">
        <v>389</v>
      </c>
      <c r="B21" s="78"/>
      <c r="C21" s="75">
        <f>SUM('Stavební rozpočet'!Z12:Z130)</f>
        <v>0</v>
      </c>
      <c r="D21" s="74"/>
      <c r="E21" s="74"/>
      <c r="F21" s="77"/>
      <c r="G21" s="74"/>
      <c r="H21" s="74"/>
      <c r="I21" s="77"/>
      <c r="J21" s="8"/>
    </row>
    <row r="22" spans="1:10" ht="16.5" customHeight="1">
      <c r="A22" s="78" t="s">
        <v>390</v>
      </c>
      <c r="B22" s="78"/>
      <c r="C22" s="75">
        <f>ROUND(SUM(C14:C21),0)</f>
        <v>0</v>
      </c>
      <c r="D22" s="78" t="s">
        <v>391</v>
      </c>
      <c r="E22" s="78"/>
      <c r="F22" s="75">
        <f>SUM(F14:F21)</f>
        <v>0</v>
      </c>
      <c r="G22" s="78" t="s">
        <v>392</v>
      </c>
      <c r="H22" s="78"/>
      <c r="I22" s="75">
        <f>ROUND(C22*(6.5/100),2)</f>
        <v>0</v>
      </c>
      <c r="J22" s="8"/>
    </row>
    <row r="23" spans="1:10" ht="15" customHeight="1">
      <c r="A23" s="49"/>
      <c r="B23" s="49"/>
      <c r="C23" s="79"/>
      <c r="D23" s="78" t="s">
        <v>393</v>
      </c>
      <c r="E23" s="78"/>
      <c r="F23" s="80">
        <v>0</v>
      </c>
      <c r="G23" s="78" t="s">
        <v>394</v>
      </c>
      <c r="H23" s="78"/>
      <c r="I23" s="75">
        <v>0</v>
      </c>
      <c r="J23" s="8"/>
    </row>
    <row r="24" spans="4:9" ht="15" customHeight="1">
      <c r="D24" s="49"/>
      <c r="E24" s="49"/>
      <c r="F24" s="81"/>
      <c r="G24" s="78" t="s">
        <v>395</v>
      </c>
      <c r="H24" s="78"/>
      <c r="I24" s="82"/>
    </row>
    <row r="25" spans="6:10" ht="15" customHeight="1">
      <c r="F25" s="83"/>
      <c r="G25" s="78" t="s">
        <v>396</v>
      </c>
      <c r="H25" s="78"/>
      <c r="I25" s="75">
        <v>0</v>
      </c>
      <c r="J25" s="8"/>
    </row>
    <row r="26" spans="1:9" ht="12.75">
      <c r="A26" s="63"/>
      <c r="B26" s="63"/>
      <c r="C26" s="63"/>
      <c r="G26" s="49"/>
      <c r="H26" s="49"/>
      <c r="I26" s="49"/>
    </row>
    <row r="27" spans="1:9" ht="15" customHeight="1">
      <c r="A27" s="84" t="s">
        <v>397</v>
      </c>
      <c r="B27" s="84"/>
      <c r="C27" s="85">
        <f>ROUND(SUM('Stavební rozpočet'!AJ12:AJ130),0)</f>
        <v>0</v>
      </c>
      <c r="D27" s="86"/>
      <c r="E27" s="63"/>
      <c r="F27" s="63"/>
      <c r="G27" s="63"/>
      <c r="H27" s="63"/>
      <c r="I27" s="63"/>
    </row>
    <row r="28" spans="1:10" ht="15" customHeight="1">
      <c r="A28" s="84" t="s">
        <v>398</v>
      </c>
      <c r="B28" s="84"/>
      <c r="C28" s="85">
        <f>ROUND(SUM('Stavební rozpočet'!AK12:AK130),0)</f>
        <v>0</v>
      </c>
      <c r="D28" s="84" t="s">
        <v>399</v>
      </c>
      <c r="E28" s="84"/>
      <c r="F28" s="85">
        <f>ROUND(C28*(15/100),2)</f>
        <v>0</v>
      </c>
      <c r="G28" s="84" t="s">
        <v>400</v>
      </c>
      <c r="H28" s="84"/>
      <c r="I28" s="85">
        <f>ROUND(SUM(C27:C29),0)</f>
        <v>0</v>
      </c>
      <c r="J28" s="8"/>
    </row>
    <row r="29" spans="1:10" ht="15" customHeight="1">
      <c r="A29" s="84" t="s">
        <v>401</v>
      </c>
      <c r="B29" s="84"/>
      <c r="C29" s="85">
        <f>ROUND(SUM('Stavební rozpočet'!AL12:AL130)+(F22+I22+F23+I23+I24+I25),0)</f>
        <v>0</v>
      </c>
      <c r="D29" s="84" t="s">
        <v>402</v>
      </c>
      <c r="E29" s="84"/>
      <c r="F29" s="85">
        <f>ROUND(C29*(21/100),2)</f>
        <v>0</v>
      </c>
      <c r="G29" s="84" t="s">
        <v>403</v>
      </c>
      <c r="H29" s="84"/>
      <c r="I29" s="85">
        <f>ROUND(SUM(F28:F29)+I28,0)</f>
        <v>0</v>
      </c>
      <c r="J29" s="8"/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1:10" ht="14.25" customHeight="1">
      <c r="A31" s="88" t="s">
        <v>404</v>
      </c>
      <c r="B31" s="88"/>
      <c r="C31" s="88"/>
      <c r="D31" s="88" t="s">
        <v>405</v>
      </c>
      <c r="E31" s="88"/>
      <c r="F31" s="88"/>
      <c r="G31" s="88" t="s">
        <v>406</v>
      </c>
      <c r="H31" s="88"/>
      <c r="I31" s="88"/>
      <c r="J31" s="23"/>
    </row>
    <row r="32" spans="1:10" ht="14.25" customHeight="1">
      <c r="A32" s="89"/>
      <c r="B32" s="89"/>
      <c r="C32" s="89"/>
      <c r="D32" s="89"/>
      <c r="E32" s="89"/>
      <c r="F32" s="89"/>
      <c r="G32" s="89"/>
      <c r="H32" s="89"/>
      <c r="I32" s="89"/>
      <c r="J32" s="23"/>
    </row>
    <row r="33" spans="1:10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23"/>
    </row>
    <row r="34" spans="1:10" ht="14.25" customHeight="1">
      <c r="A34" s="89"/>
      <c r="B34" s="89"/>
      <c r="C34" s="89"/>
      <c r="D34" s="89"/>
      <c r="E34" s="89"/>
      <c r="F34" s="89"/>
      <c r="G34" s="89"/>
      <c r="H34" s="89"/>
      <c r="I34" s="89"/>
      <c r="J34" s="23"/>
    </row>
    <row r="35" spans="1:10" ht="14.25" customHeight="1">
      <c r="A35" s="90" t="s">
        <v>407</v>
      </c>
      <c r="B35" s="90"/>
      <c r="C35" s="90"/>
      <c r="D35" s="90" t="s">
        <v>407</v>
      </c>
      <c r="E35" s="90"/>
      <c r="F35" s="90"/>
      <c r="G35" s="90" t="s">
        <v>407</v>
      </c>
      <c r="H35" s="90"/>
      <c r="I35" s="90"/>
      <c r="J35" s="23"/>
    </row>
    <row r="36" spans="1:9" ht="11.25" customHeight="1">
      <c r="A36" s="91" t="s">
        <v>356</v>
      </c>
      <c r="B36" s="92"/>
      <c r="C36" s="92"/>
      <c r="D36" s="92"/>
      <c r="E36" s="92"/>
      <c r="F36" s="92"/>
      <c r="G36" s="92"/>
      <c r="H36" s="92"/>
      <c r="I36" s="92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Stehlík</cp:lastModifiedBy>
  <dcterms:created xsi:type="dcterms:W3CDTF">2020-08-13T09:47:50Z</dcterms:created>
  <dcterms:modified xsi:type="dcterms:W3CDTF">2020-08-14T11:38:02Z</dcterms:modified>
  <cp:category/>
  <cp:version/>
  <cp:contentType/>
  <cp:contentStatus/>
  <cp:revision>1</cp:revision>
</cp:coreProperties>
</file>