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3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>
    <definedName name="_xlnm.Print_Area" localSheetId="3">'Krycí list rozpočtu'!$A$1:$I$37</definedName>
    <definedName name="_xlnm.Print_Area" localSheetId="0">'Stavební rozpočet'!$A$1:$M$131</definedName>
    <definedName name="_xlnm.Print_Area" localSheetId="1">'Stavební rozpočet - součet'!$A$1:$G$32</definedName>
    <definedName name="_xlnm.Print_Area" localSheetId="2">'Výkaz výměr'!$A$1:$H$244</definedName>
  </definedNames>
  <calcPr fullCalcOnLoad="1"/>
</workbook>
</file>

<file path=xl/sharedStrings.xml><?xml version="1.0" encoding="utf-8"?>
<sst xmlns="http://schemas.openxmlformats.org/spreadsheetml/2006/main" count="1323" uniqueCount="481">
  <si>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</si>
  <si>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</si>
  <si>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</si>
  <si>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</si>
  <si>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</si>
  <si>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</si>
  <si>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</si>
  <si>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</si>
  <si>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</si>
  <si>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</si>
  <si>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</si>
  <si>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</si>
  <si>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</si>
  <si>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</si>
  <si>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</si>
  <si>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</si>
  <si>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</si>
  <si>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</si>
  <si>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</si>
  <si>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</si>
  <si>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</si>
  <si>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</si>
  <si>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</si>
  <si>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</si>
  <si>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</si>
  <si>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</si>
  <si>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</si>
  <si>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</si>
  <si>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</si>
  <si>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</si>
  <si>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</si>
  <si>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</si>
  <si>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</si>
  <si>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</si>
  <si>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</si>
  <si>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</si>
  <si>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</si>
  <si>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</si>
  <si>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</si>
  <si>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</si>
  <si>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</si>
  <si>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</si>
  <si>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</si>
  <si>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</si>
  <si>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</si>
  <si>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</si>
  <si>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</si>
  <si>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</si>
  <si>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</si>
  <si>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</si>
  <si>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</si>
  <si>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</si>
  <si>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</si>
  <si>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</si>
  <si>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</si>
  <si>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</si>
  <si>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</si>
  <si>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</si>
  <si>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</si>
  <si>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</si>
  <si>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</si>
  <si>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</si>
  <si>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</si>
  <si>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</si>
  <si>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</si>
  <si>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</si>
  <si>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</si>
  <si>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</si>
  <si>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</si>
  <si>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</si>
  <si>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</si>
  <si>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</si>
  <si>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</si>
  <si>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</si>
  <si>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</si>
  <si>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</si>
  <si>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</si>
  <si>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</si>
  <si>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</si>
  <si>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</si>
  <si>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</si>
  <si>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</si>
  <si>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</si>
  <si>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</si>
  <si>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</si>
  <si>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</si>
  <si>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</si>
  <si>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</si>
  <si>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</si>
  <si>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</si>
  <si>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Poznámka:</t>
  </si>
  <si>
    <t>Objekt</t>
  </si>
  <si>
    <t>Kód</t>
  </si>
  <si>
    <t>764</t>
  </si>
  <si>
    <t>766</t>
  </si>
  <si>
    <t>767</t>
  </si>
  <si>
    <t>781</t>
  </si>
  <si>
    <t>783</t>
  </si>
  <si>
    <t>784</t>
  </si>
  <si>
    <t>90</t>
  </si>
  <si>
    <t>94</t>
  </si>
  <si>
    <t>95</t>
  </si>
  <si>
    <t>96</t>
  </si>
  <si>
    <t>97</t>
  </si>
  <si>
    <t>H99</t>
  </si>
  <si>
    <t>M21</t>
  </si>
  <si>
    <t>S</t>
  </si>
  <si>
    <t>Zkrácený popis</t>
  </si>
  <si>
    <t>Rozměry</t>
  </si>
  <si>
    <t>Stěny a příčky</t>
  </si>
  <si>
    <t>D+M Přizdívka a úprava vnitřního ostění pro osazení oken otevíravých dovnitř (stávající špaletová otevíravá ven) - okna 1.NP - JV</t>
  </si>
  <si>
    <t>Úprava povrchů vnitřní</t>
  </si>
  <si>
    <t>D+M Omítka vápenná štuková vnitřního ostění a nadpraží - štuk 100% - oprava po osazení oken a parapetů, vč.kompletní přípravy a penetrace podkladu</t>
  </si>
  <si>
    <t>Úprava povrchů vnější</t>
  </si>
  <si>
    <t>D+M Nátěr stěn vnějších, slož.6 na minerální bázi, vč.penetrace podkladu systémového k fasádnímu nátěru - barva dle sondážního průzkumu barevnosti</t>
  </si>
  <si>
    <t>D+M Oprava vnějších omítek složitosti 6, do 40%, štuk na 100% plochy, vč.kompletní přípravy a penetrace podkladu</t>
  </si>
  <si>
    <t>D+M Oprava vnějších omítek složitosti 6, do 60%, štuk na 100% plochy, vč.kompletní přípravy a penetrace podkladu</t>
  </si>
  <si>
    <t>D+M Oprava vnějších omítek špalet po osazení nových výplní otvorů, štuk na 100% plochy, vč.kompletní přípravy a penetrace podkladu</t>
  </si>
  <si>
    <t>Očištění fasád tlakovou vodou složitost 6 - 7 - potřebné omytí pro realizaci nové fasády</t>
  </si>
  <si>
    <t>Podlahy a podlahové konstrukce</t>
  </si>
  <si>
    <t>D+M Vyrovnávací betonový potěr ze suchých směsí pod nové klempířské konstrukce, vč.potřebného zřízení a odstranění bednění  z prken</t>
  </si>
  <si>
    <t>Výplně otvorů</t>
  </si>
  <si>
    <t>D+M Špaletového dřevěného okna - W01 - specifikace dle výkresové části PD</t>
  </si>
  <si>
    <t>D+M Špaletového dřevěného okna - W02  - specifikace dle výkresové části PD</t>
  </si>
  <si>
    <t>D+M Dřevěného okna - W03 - specifikace dle výkresové části PD</t>
  </si>
  <si>
    <t>D+M Dřevěného okna - W04 - specifikace dle výkresové části PD</t>
  </si>
  <si>
    <t>D+M Dřevěného okna - W05 - specifikace dle výkresové části PD</t>
  </si>
  <si>
    <t>D+M Dřevěného okna - W06 - specifikace dle výkresové části PD</t>
  </si>
  <si>
    <t>D+M Špaletového dřevěného okna - W07  - specifikace dle výkresové části PD</t>
  </si>
  <si>
    <t>Konstrukce klempířské</t>
  </si>
  <si>
    <t>D+M Oplechování parapetů včetně rohů Pz, rš do 330 mm lepením, vč.přípravy a penetrace podkladu</t>
  </si>
  <si>
    <t>D+M Oplechování parapetů včetně rohů Pz, rš do 500 mm lepením, vč.přípravy a penetrace podkladu</t>
  </si>
  <si>
    <t>Demontáž oplechování parapetů,rš do 600 mm, vč.odvozu a likvidace</t>
  </si>
  <si>
    <t>D+M Oplechování říms z Pz, rš do 250 mm lepením, vč.přípravy a penetrace podkladu</t>
  </si>
  <si>
    <t>D+M Oplechování říms z Pz, rš do 600 mm lepením, vč.přípravy a penetrace podkladu</t>
  </si>
  <si>
    <t>Demontáž oplechování říms,rš do 600 mm, vč.odvozu a likvidace</t>
  </si>
  <si>
    <t>Oprava oplechování říms u střešní roviny z Pz plechu,rš do 800 mm</t>
  </si>
  <si>
    <t>D+M Oplechování zdí atik včetně rohů Pz, rš do 500 mm lepením, vč.přípravy a penetrace podkladu - atika garáže</t>
  </si>
  <si>
    <t>D+M Oplechování zdí atik včetně rohů Pz, rš do 750 mm lepením, vč.přípravy a penetrace podkladu - oplocení</t>
  </si>
  <si>
    <t>Demontáž oplechování zdí,rš do 750 mm</t>
  </si>
  <si>
    <t>D+M Odpadní trouby z Pz plechu, kruhové, D 100 mm, vč.napojení a vodotěsného utěsnění na žlab a všech prvků a kotvení</t>
  </si>
  <si>
    <t>Demontáž odpadních trub do 150mm, včetně všech prvků</t>
  </si>
  <si>
    <t>D+M Odpadní trouby z Pz plechu, kruhové, D 200 mm, vč.napojení a vodotěsného utěsnění na nástřešní žlab a na odpadní troubu ve zdivu</t>
  </si>
  <si>
    <t>Demontáž odpadních trub kruhových,D 200 mm, vč.odvozu a likvidace</t>
  </si>
  <si>
    <t>Přesun hmot pro klempířské konstr., výšky do 12 m</t>
  </si>
  <si>
    <t>Konstrukce truhlářské</t>
  </si>
  <si>
    <t>D+M Parapetních desek dřevěných š. do 30 cm s protaženým čelem přes hranu parapetu a profilací dle stávajícíh parapetů, vč. nátěrů</t>
  </si>
  <si>
    <t>D+M Parapetních desek dřevěných š. do 60 cm s protaženým čelem přes hranu parapetu a profilací dle stávajícíh parapetů, vč. nátěrů</t>
  </si>
  <si>
    <t>Přesun hmot pro truhlářské konstr., výšky do 12 m</t>
  </si>
  <si>
    <t>Konstrukce doplňkové stavební (zámečnické)</t>
  </si>
  <si>
    <t>Demontáž, kompletní repase, nový nátěr + zpětná montáž stávající přístřešku pro odbaní nádoby</t>
  </si>
  <si>
    <t>Přesun hmot pro zámečnické konstr., výšky do 12 m</t>
  </si>
  <si>
    <t>Obklady (keramické)</t>
  </si>
  <si>
    <t>Keramický obklad - dle stávajícího obkladu 15x15 cm, barva</t>
  </si>
  <si>
    <t>D+M Penetrace podkladu pod obklady</t>
  </si>
  <si>
    <t>D+M Keramických obkladů stěn, porovin., do tmele, 15x15 cm - oprava špalet po osazení nových oken a parapetů</t>
  </si>
  <si>
    <t>D+M Spárovací hmoty pro keramické obklady - plošně</t>
  </si>
  <si>
    <t>Přesun hmot pro obklady keramické, výšky do 12 m</t>
  </si>
  <si>
    <t>Nátěry</t>
  </si>
  <si>
    <t>D+M Nátěr syntet. klempířských konstrukcí, Z + 2 x - barva dle barevnosti fasády</t>
  </si>
  <si>
    <t>Údržba zámečnickcýh prvků na fasádě - repase + nátěr syntetický kov.konstrukcí 2x - sklepní okénka, okna garáž, vrata</t>
  </si>
  <si>
    <t>Malby</t>
  </si>
  <si>
    <t>D+M Penetrace podkladu hloubková 1x - penetrace ke zvolenému systému malby - oprava po osazení výplní</t>
  </si>
  <si>
    <t>D+M Malba tekutá - barva dle dané místnosti ve které je provedena oprava, 2 x - Otěruvzdorný tekutý malířský vnitřní nátěr s výbornou kryvostí</t>
  </si>
  <si>
    <t>Ostatní práce</t>
  </si>
  <si>
    <t>Průzkum barevnosti uliční fasády, výplní otvorů a zámečnických prvků stavby</t>
  </si>
  <si>
    <t>Projednání finální barevnosti s OPP v samostatném správním řízení na základě plné moci, vč. nanesení barevných vzorků na fasádu objektu</t>
  </si>
  <si>
    <t>Výrobní dokumentace prvků vč. technologického předpisu pro provádění činnosti a podrobného zaměření stávajících výplní pro potřeby výroby truhlářských</t>
  </si>
  <si>
    <t>Představení jednoho kusu vzorového špaletového okna v samostatném správním řízení příslušnému Odboru památkové péče</t>
  </si>
  <si>
    <t>Servisní prohlídka a seřízení ovládání/kování okenních výplní a žaluzií po 6 měsících od předání stavby</t>
  </si>
  <si>
    <t>Spolupráce s investorem, DOSS a správci sítí technické a dopravní infrastruktury během provádění stavby, zaškolení a předání stavby</t>
  </si>
  <si>
    <t>Návrh, projednání na DOSS a správcích dopravní  infrastruktury a realizace DIO po celou dobu realizace stavby</t>
  </si>
  <si>
    <t>Vyřízení dočasného záboru veřejných ploch s DOSS včetně zpracování potřebné dokumentace</t>
  </si>
  <si>
    <t>Poplatek za zábor veřejných ploch chodníku pro lešení - 2,5 měsíce</t>
  </si>
  <si>
    <t>Potřebný úklid veřejných ploch během celé realizace stavby</t>
  </si>
  <si>
    <t>Potřebná ochrana, popř. odborná demontáž a zpětná montáž po provedení fasádních prací prvků umístěných na fasádě - klima, elektro, atd.</t>
  </si>
  <si>
    <t>Lešení a stavební výtahy</t>
  </si>
  <si>
    <t>Montáž lešení leh.řad.s podlahami,š.do 1 m, H 30 m, včetně potřebné vynášecí konstrukce nad střechou garáží</t>
  </si>
  <si>
    <t>Příplatek za každý měsíc použití lešení - 2,5 měsíce</t>
  </si>
  <si>
    <t>Demontáž lešení leh.řad.s podlahami,š.1 m, H 30 m</t>
  </si>
  <si>
    <t>Lešení lehké pomocné, výška podlahy do 2,5 m - potřebná montáž a demontáž po celou dobu realizace stavby - v exteriéru objektu</t>
  </si>
  <si>
    <t>Lešení lehké pomocné, výška podlahy do 2,5 m - potřebná montáž a demontáž po celou dobu realizace stavby - v interiéru objektu</t>
  </si>
  <si>
    <t>Montáž ochranné sítě z umělých vláken</t>
  </si>
  <si>
    <t>Příplatek za každý měsíc použití sítí - 2,5 měsíce</t>
  </si>
  <si>
    <t>Demontáž ochranné sítě z umělých vláken</t>
  </si>
  <si>
    <t>Zřízení a následná demontáž ochranné konstrukce střechy - ochrana střechy proti poškození při opravě bočních stěn rizalitu do náměstí</t>
  </si>
  <si>
    <t>Různé dokončovací konstrukce a práce na pozemních stavbách</t>
  </si>
  <si>
    <t>Čištění mytím vnějších a vnitřních ploch oken a dveří, vč. všech prvků oken - rámů, špalet, atd.</t>
  </si>
  <si>
    <t>Potřebné zakrytí výplní otvorů (ochrana proti jejich poškození) - po celou dobu realizace stavby</t>
  </si>
  <si>
    <t>Vyčištění budov o výšce podlaží do 4 m - kompletní úklid budovy před předáním, vč.všech příplatků - úklid místností zasažených výměnou oken</t>
  </si>
  <si>
    <t>Bourání konstrukcí</t>
  </si>
  <si>
    <t>Přisekání ostění zdí kamenných, smíšených - vnitřního ostění pro osazení oken otevíravých dovnitř (stávající špaletová otevíravá ven) - okna 1.NP-JV</t>
  </si>
  <si>
    <t>Vyvěšení dřevěných okenních křídel pl. nad 1,5 m2</t>
  </si>
  <si>
    <t>Vybourání dřevěných rámů oken špaletových, vč.všech potřebných prvků ostění a nadpřaží potřebných pro osazení nových oken dle PD</t>
  </si>
  <si>
    <t>Vybourání parapetů dřevěných š. do 60 cm</t>
  </si>
  <si>
    <t>Prorážení otvorů a ostatní bourací práce</t>
  </si>
  <si>
    <t>Otlučení omítek vnitřních stěn - špalet a nadpraží v rozsahu nutném pro demontáž a osazení nových oken</t>
  </si>
  <si>
    <t>Otlučení omítek vnějších MVC v složit.5-7 do 40 %</t>
  </si>
  <si>
    <t>Otlučení omítek vnějších MVC v složit.5-7 do 60 %</t>
  </si>
  <si>
    <t>Odsekání vnitřních obkladů stěn do 1 m2 - špalet v rozsahu nutném pro demontáž a osazení nových oken</t>
  </si>
  <si>
    <t>Ostatní přesuny hmot</t>
  </si>
  <si>
    <t>Přesun hmot pro opravy a údržbu</t>
  </si>
  <si>
    <t>Elektromontáže</t>
  </si>
  <si>
    <t>D+M Vyrovnání stávajících svodových vodičů hromosvodů, jejich očištění a nový nátěr v barvě fasády</t>
  </si>
  <si>
    <t>Přesuny sutí</t>
  </si>
  <si>
    <t>Kompletní vnitrostaveništní svislá doprava suti a vybour. hmot za 3.NP</t>
  </si>
  <si>
    <t>Odvoz suti a vybouraných hmot na skládku do 1 km</t>
  </si>
  <si>
    <t>Příplatek k odvozu za každý další 1 km - skládka AVE do 3 km</t>
  </si>
  <si>
    <t>Kompletní vnitrostaveništní vodorovná doprava suti a vybouraných hmot</t>
  </si>
  <si>
    <t>Nakládání nebo překládání suti a vybouraných hmot</t>
  </si>
  <si>
    <t>Nakládání suti  a vybouraných hmot na dopravní prostředky</t>
  </si>
  <si>
    <t>Poplatek za skládku stavební suti a vybouraných hmot</t>
  </si>
  <si>
    <t>Doba výstavby:</t>
  </si>
  <si>
    <t>Začátek výstavby:</t>
  </si>
  <si>
    <t>Konec výstavby:</t>
  </si>
  <si>
    <t>Zpracováno dne:</t>
  </si>
  <si>
    <t>MJ</t>
  </si>
  <si>
    <t>m2</t>
  </si>
  <si>
    <t>kus</t>
  </si>
  <si>
    <t>m</t>
  </si>
  <si>
    <t>t</t>
  </si>
  <si>
    <t>soubor</t>
  </si>
  <si>
    <t>Množství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</si>
  <si>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</si>
  <si>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</si>
  <si>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</si>
  <si>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</si>
  <si>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</si>
  <si>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</si>
  <si>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</si>
  <si>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</si>
  <si>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</si>
  <si>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Montáž</t>
  </si>
  <si>
    <t>Celkem</t>
  </si>
  <si>
    <t>Hmotnost (t)</t>
  </si>
  <si>
    <t>Jednot.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</si>
  <si>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</si>
  <si>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</si>
  <si>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</si>
  <si>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</si>
  <si>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</si>
  <si>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</si>
  <si>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</si>
  <si>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</si>
  <si>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</si>
  <si>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</si>
  <si>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</si>
  <si>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</si>
  <si>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61_</t>
  </si>
  <si>
    <t>62_</t>
  </si>
  <si>
    <t>63_</t>
  </si>
  <si>
    <t>64_</t>
  </si>
  <si>
    <t>764_</t>
  </si>
  <si>
    <t>766_</t>
  </si>
  <si>
    <t>767_</t>
  </si>
  <si>
    <t>781_</t>
  </si>
  <si>
    <t>783_</t>
  </si>
  <si>
    <t>784_</t>
  </si>
  <si>
    <t>90_</t>
  </si>
  <si>
    <t>94_</t>
  </si>
  <si>
    <t>95_</t>
  </si>
  <si>
    <t>96_</t>
  </si>
  <si>
    <t>97_</t>
  </si>
  <si>
    <t>H99_</t>
  </si>
  <si>
    <t>M21_</t>
  </si>
  <si>
    <t>S_</t>
  </si>
  <si>
    <t>3_</t>
  </si>
  <si>
    <t>6_</t>
  </si>
  <si>
    <t>76_</t>
  </si>
  <si>
    <t>78_</t>
  </si>
  <si>
    <t>9_</t>
  </si>
  <si>
    <t>_</t>
  </si>
  <si>
    <t>MAT</t>
  </si>
  <si>
    <t>WORK</t>
  </si>
  <si>
    <t>CELK</t>
  </si>
  <si>
    <t>Náklady (Kč) - dodávka</t>
  </si>
  <si>
    <t>Náklady (Kč) - Montáž</t>
  </si>
  <si>
    <t>Náklady (Kč) - celkem</t>
  </si>
  <si>
    <t>Celková hmotnost (t)</t>
  </si>
  <si>
    <t>T</t>
  </si>
  <si>
    <t>(2,5+2,5)*0,5*13   </t>
  </si>
  <si>
    <t>(2,5+2,5+1+1+1,5+1,5)*0,55*(5+6+2)/2   okna 1.NP - JV</t>
  </si>
  <si>
    <t>(1,7+1,7+1+1+0,6+0,6)*0,9*2/2   okna 1.NP - SV</t>
  </si>
  <si>
    <t>(1,8+1,8+1+1+0,9+0,9)*0,42*1/2   okna 1.NP - SV</t>
  </si>
  <si>
    <t>(2,5+2,5+1+1+1,5+1,5)*0,55*15/2   okna 2.NP - JV+SV</t>
  </si>
  <si>
    <t>(1,6+1,6+1+1+1,1+1,1)*0,46*1/2   okna 2.NP - SV</t>
  </si>
  <si>
    <t>(2,5+2,5+1+1+1,5+1,5)*0,55*13/2   okna 3.NP - JV</t>
  </si>
  <si>
    <t>(2,25+2,25+1+1+1,5+1,5)*0,35*2/2   okna 3.NP - SV</t>
  </si>
  <si>
    <t>(1,6+1,6+1+1+1,1+1,1)*0,32*1/2   okna 3.NP - SV</t>
  </si>
  <si>
    <t>427,473+210+46,011   </t>
  </si>
  <si>
    <t>39*14,4   fasáda JV</t>
  </si>
  <si>
    <t>13*14,6-(6,5*3,1)   fasáda SV</t>
  </si>
  <si>
    <t>-(1,48*2,48)*33   odpočet oken W01</t>
  </si>
  <si>
    <t>-(1,31*2,2)*6   odpočet oken W02</t>
  </si>
  <si>
    <t>-(1,48*2,25)*2   odpočet oken W03</t>
  </si>
  <si>
    <t>-(1,04*1,58)*2   odpočet oken W04</t>
  </si>
  <si>
    <t>-(0,9*1,76)*1   odpočet oken W05</t>
  </si>
  <si>
    <t>-(0,6*1,64)*2   odpočet oken W06</t>
  </si>
  <si>
    <t>-(1,31*2,2)*2   odpočet oken W07</t>
  </si>
  <si>
    <t>(8,8+5+5+2,3+2,3)*3,1   fasáda garáž</t>
  </si>
  <si>
    <t>-(2,4*1,8)*2   odpočet  vrata</t>
  </si>
  <si>
    <t>-210   odpočet opravy ze 60%</t>
  </si>
  <si>
    <t>210   ODHAD</t>
  </si>
  <si>
    <t>(1,48+2,48+2,48)*0,15*33   okna W01</t>
  </si>
  <si>
    <t>(1,31+2,2+2,2)*0,15*6   okna W02</t>
  </si>
  <si>
    <t>(1,48+2,25+2,25)*0,15*2   okna W03</t>
  </si>
  <si>
    <t>(1,04+1,58+1,58)*0,15*2   okna W04</t>
  </si>
  <si>
    <t>(0,9+1,76+1,76)*0,15*1   okna W05</t>
  </si>
  <si>
    <t>(0,6+1,64+1,64)*0,15*2   okna W06</t>
  </si>
  <si>
    <t>(1,31+2,2+2,2)*0,15*2   okna W07</t>
  </si>
  <si>
    <t>(1,8+1,8+2,4)*0,2*2   vrata</t>
  </si>
  <si>
    <t>1,7*0,2*13   parapety okna 1.NP-JV</t>
  </si>
  <si>
    <t>(0,6+0,6+0,9)*0,2   parapety okna 1.NP-SV</t>
  </si>
  <si>
    <t>1,7*0,2*13   parapety okna 2.NP-JV</t>
  </si>
  <si>
    <t>(1,6+1,6+1,3)*0,2   parapety okna 2.NP-SV</t>
  </si>
  <si>
    <t>1,8*0,3*13   parapety okna 3.NP-JV</t>
  </si>
  <si>
    <t>(1,4+1,4+0,9)*0,2   parapety okna 3.NP-SV</t>
  </si>
  <si>
    <t>(39,2+12,8)*0,2   římsa mezi 1.NP a 2.NP</t>
  </si>
  <si>
    <t>(39,2+12,8)*0,46   římsa mezi 2.NP a 3.NP</t>
  </si>
  <si>
    <t>(1,4*13*0,15)+(2,3*3*0,15)   římsa mezi okny 3.NP</t>
  </si>
  <si>
    <t>(5+2,3)*0,65   oplechování oplocení</t>
  </si>
  <si>
    <t>(6,5+5)*0,3   oplechování atiky garáže</t>
  </si>
  <si>
    <t>33   </t>
  </si>
  <si>
    <t>6   </t>
  </si>
  <si>
    <t>2   </t>
  </si>
  <si>
    <t>1   </t>
  </si>
  <si>
    <t>1,7*13+(0,6+0,6+0,9)   parapety okna 1.NP</t>
  </si>
  <si>
    <t>1,7*13+(1,6+1,6+1,3)   parapety okna 2.NP</t>
  </si>
  <si>
    <t>(1,4+1,4+0,9)   parapety okna 3.NP</t>
  </si>
  <si>
    <t>1,8*13   parapety okna 3.NP</t>
  </si>
  <si>
    <t>54,5+23,4   </t>
  </si>
  <si>
    <t>(1,4*13)+(2,3*3)   římsa mezi okny 3.NP</t>
  </si>
  <si>
    <t>(39,2+12,8)*2   římsy mezi podlažími</t>
  </si>
  <si>
    <t>25,1+104   </t>
  </si>
  <si>
    <t>39,2+12,8   </t>
  </si>
  <si>
    <t>6,5+5   </t>
  </si>
  <si>
    <t>5+2,3   </t>
  </si>
  <si>
    <t>11,5+7,3   </t>
  </si>
  <si>
    <t>2,6*2   </t>
  </si>
  <si>
    <t>2*2,5   </t>
  </si>
  <si>
    <t>1,8174   </t>
  </si>
  <si>
    <t>(1,4*7)+(0,8*2)   okna 1.NP</t>
  </si>
  <si>
    <t>(1,5*15)   okna 2.NP</t>
  </si>
  <si>
    <t>(1,5*13)   okna 3.NP</t>
  </si>
  <si>
    <t>(1,4*6)+(1*1)   okna 1.NP</t>
  </si>
  <si>
    <t>(1,2*1)   okna 2.NP</t>
  </si>
  <si>
    <t>(1,5*2)+(1,2*1)   okna 3.NP</t>
  </si>
  <si>
    <t>0,8078   </t>
  </si>
  <si>
    <t>0,2200   </t>
  </si>
  <si>
    <t>25*1,2   </t>
  </si>
  <si>
    <t>25   </t>
  </si>
  <si>
    <t>25   ODHAD</t>
  </si>
  <si>
    <t>0,5608   </t>
  </si>
  <si>
    <t>54,5*0,33   </t>
  </si>
  <si>
    <t>23,4*0,5   </t>
  </si>
  <si>
    <t>25,1*0,25   </t>
  </si>
  <si>
    <t>104*0,6   </t>
  </si>
  <si>
    <t>52*0,4   </t>
  </si>
  <si>
    <t>11,5*0,5   </t>
  </si>
  <si>
    <t>7,3*0,75   </t>
  </si>
  <si>
    <t>2,6*0,35*2   </t>
  </si>
  <si>
    <t>5*0,65   </t>
  </si>
  <si>
    <t>0,6*1,2*6   sklepní okna</t>
  </si>
  <si>
    <t>0,6*0,9*4   okna garáž</t>
  </si>
  <si>
    <t>2,4*2*3   vrata garáž - exteriér</t>
  </si>
  <si>
    <t>5*3,5*2   vrata dvůr - exteriér, interiér</t>
  </si>
  <si>
    <t>126,5*2*1,4   </t>
  </si>
  <si>
    <t>-25   odpočet obklady</t>
  </si>
  <si>
    <t>(43+5)*1,5*75   </t>
  </si>
  <si>
    <t>(42+1,5)*15   ulice</t>
  </si>
  <si>
    <t>9*12   dvůr nad garáží</t>
  </si>
  <si>
    <t>(3,8+1,2)*15   </t>
  </si>
  <si>
    <t>835,5*2,5   </t>
  </si>
  <si>
    <t>835,5   </t>
  </si>
  <si>
    <t>(9+5+5+5,5+5,5)*1,2   </t>
  </si>
  <si>
    <t>(2,5*1,2)*48   okna</t>
  </si>
  <si>
    <t>835,5   plocha lešení</t>
  </si>
  <si>
    <t>(1+1)*15   boky lešení</t>
  </si>
  <si>
    <t>865,5*2,5   </t>
  </si>
  <si>
    <t>865,5   </t>
  </si>
  <si>
    <t>9*3   </t>
  </si>
  <si>
    <t>((1,5*2,5*33)+(1,3*2,2*6)+(1,3*2,2*2))*4   špaletová okna</t>
  </si>
  <si>
    <t>((1,5*2,25*2)+(1,1*1,6*2)+(0,9*1,8*1)+(0,6*1,7*2))*2   jednoduchá okna</t>
  </si>
  <si>
    <t>((1,5*2,5*33)+(1,3*2,2*6)+(1,3*2,2*2))*2   špaletová okna</t>
  </si>
  <si>
    <t>250   1.NP</t>
  </si>
  <si>
    <t>250   2.NP</t>
  </si>
  <si>
    <t>250   3.NP</t>
  </si>
  <si>
    <t>(2,5+2,5)*0,8*13   </t>
  </si>
  <si>
    <t>(33+6+2+2)*6   špaletová okna</t>
  </si>
  <si>
    <t>5*2   jednoduchá okna</t>
  </si>
  <si>
    <t>(1,5*2,5*33)+(1,3*2,2*6)+(1,3*2,2*2)   špaletová okna</t>
  </si>
  <si>
    <t>(1,5*2,25*2)+(1,1*1,6*2)+(0,9*1,8*1)+(0,6*1,7*2)   jednoduchá okna</t>
  </si>
  <si>
    <t>53,4+14,8   </t>
  </si>
  <si>
    <t>149,2   </t>
  </si>
  <si>
    <t>427,473   </t>
  </si>
  <si>
    <t>210+46,011   </t>
  </si>
  <si>
    <t>58,615   </t>
  </si>
  <si>
    <t>2*15   </t>
  </si>
  <si>
    <t>54,5   </t>
  </si>
  <si>
    <t>54,5*3   </t>
  </si>
  <si>
    <t>Potřebné množství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</si>
  <si>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</si>
  <si>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</si>
  <si>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</si>
  <si>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</si>
  <si>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</si>
  <si>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</si>
  <si>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</si>
  <si>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</si>
  <si>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</si>
  <si>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</si>
  <si>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</si>
  <si>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</si>
  <si>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</si>
  <si>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</si>
  <si>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</si>
  <si>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</si>
  <si>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</si>
  <si>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</si>
  <si>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</si>
  <si>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</si>
  <si>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</si>
  <si>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</si>
  <si>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</si>
  <si>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</si>
  <si>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</si>
  <si>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</si>
  <si>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</si>
  <si>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</si>
  <si>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</si>
  <si>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</si>
  <si>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</si>
  <si>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</si>
  <si>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</si>
  <si>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</si>
  <si>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</si>
  <si>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</si>
  <si>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</si>
  <si>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</si>
  <si>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</si>
  <si>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</si>
  <si>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</si>
  <si>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</si>
  <si>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</si>
  <si>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SOUPIS STAVEBNÍCH PRACÍ, DODÁVEK A SLUŽEB - Krycí list rozpočtu</t>
  </si>
  <si>
    <r>
      <rPr>
        <b/>
        <sz val="10"/>
        <color indexed="8"/>
        <rFont val="Arial"/>
        <family val="2"/>
      </rPr>
      <t xml:space="preserve">STŘEDNÍ ODBORNÉ UČILIŠTĚ ČÁSLAV, </t>
    </r>
    <r>
      <rPr>
        <sz val="10"/>
        <color indexed="8"/>
        <rFont val="Arial"/>
        <family val="2"/>
      </rPr>
      <t>Náměstí Jana Žižky z Trocnova 75/12, 286 01 Čáslav</t>
    </r>
  </si>
  <si>
    <t xml:space="preserve">NÁMĚSTÍ JANA ŽIŽKY Z TROCNOVA Č.P. 75/12, 286 01 ČÁSLAV
</t>
  </si>
  <si>
    <t>Ing. Martin Ivan</t>
  </si>
  <si>
    <t>VÝMĚNA OKEN A OPRAVA FASÁDY V OBJEKTU SOU ČÁSLAV - II.etapa</t>
  </si>
  <si>
    <r>
      <rPr>
        <b/>
        <sz val="10"/>
        <color indexed="8"/>
        <rFont val="Arial"/>
        <family val="2"/>
      </rPr>
      <t>Bauplan s.r.o.</t>
    </r>
    <r>
      <rPr>
        <sz val="10"/>
        <color indexed="8"/>
        <rFont val="Arial"/>
        <family val="2"/>
      </rPr>
      <t>, Kladenská 41/17, 160 00 Praha 6</t>
    </r>
  </si>
  <si>
    <t>v položkách rozpočtu</t>
  </si>
  <si>
    <t>SOUPIS STAVEBNÍCH PRACÍ, DODÁVEK A SLUŽEB - Výkaz výměr</t>
  </si>
  <si>
    <r>
      <rPr>
        <b/>
        <sz val="10"/>
        <color indexed="8"/>
        <rFont val="Arial"/>
        <family val="2"/>
      </rPr>
      <t>STŘEDNÍ ODBORNÉ UČILIŠTĚ ČÁSLAV</t>
    </r>
    <r>
      <rPr>
        <sz val="10"/>
        <color indexed="8"/>
        <rFont val="Arial"/>
        <family val="2"/>
      </rPr>
      <t>, Náměstí Jana Žižky z Trocnova 75/12, 286 01 Čáslav</t>
    </r>
  </si>
  <si>
    <t>NÁMĚSTÍ JANA ŽIŽKY Z TROCNOVA Č.P. 75/12, 286 01 ČÁSLAV</t>
  </si>
  <si>
    <t>SOUPIS STAVEBNÍCH PRACÍ, DODÁVEK A SLUŽEB - Stavební rozpočet - rekapitulace</t>
  </si>
  <si>
    <r>
      <rPr>
        <b/>
        <sz val="10"/>
        <color indexed="8"/>
        <rFont val="Arial"/>
        <family val="2"/>
      </rPr>
      <t>STŘEDNÍ ODBORNÉ UČILIŠTĚ ČÁSLAV,</t>
    </r>
    <r>
      <rPr>
        <sz val="10"/>
        <color indexed="8"/>
        <rFont val="Arial"/>
        <family val="2"/>
      </rPr>
      <t>Náměstí Jana Žižky z Trocnova 75/12, 286 01 Čáslav</t>
    </r>
  </si>
  <si>
    <t>SOUPIS STAVEBNÍCH PRACÍ, DODÁVEK A SLUŽEB - Stavební rozpočet</t>
  </si>
  <si>
    <r>
      <t>STŘEDNÍ ODBORNÉ UČILIŠTĚ ČÁSLAV,</t>
    </r>
    <r>
      <rPr>
        <sz val="10"/>
        <color indexed="8"/>
        <rFont val="Arial"/>
        <family val="2"/>
      </rPr>
      <t>Náměstí Jana Žižky z Trocnova 75/12, 286 01 Čáslav</t>
    </r>
    <r>
      <rPr>
        <b/>
        <sz val="10"/>
        <color indexed="8"/>
        <rFont val="Arial"/>
        <family val="2"/>
      </rPr>
      <t xml:space="preserve">
</t>
    </r>
  </si>
  <si>
    <r>
      <t xml:space="preserve">D+M Kompletní okenní výplně (dřevěné špaletové okno) včetně kování, ovládacích prvků a detailů osazení (XPS, těsnění připojovací spáry, krycích lišt a začištění) - dle PD - D.09-Legenda výplní otvorů </t>
    </r>
    <r>
      <rPr>
        <b/>
        <sz val="10"/>
        <color indexed="8"/>
        <rFont val="Arial"/>
        <family val="2"/>
      </rPr>
      <t>- výplň W01</t>
    </r>
  </si>
  <si>
    <r>
      <t xml:space="preserve">D+M Kompletní okenní výplně (dřevěné jednoduché okno) včetně kování, ovládacích prvků a detailů osazení (XPS, těsnění připojovací spáry, krycích lišt a začištění) - dle PD - D.09-Legenda výplní otvorů </t>
    </r>
    <r>
      <rPr>
        <b/>
        <sz val="10"/>
        <color indexed="8"/>
        <rFont val="Arial"/>
        <family val="2"/>
      </rPr>
      <t>- výplň W04</t>
    </r>
  </si>
  <si>
    <r>
      <t xml:space="preserve">D+M Kompletní okenní výplně (dřevěné jednoduché okno) včetně kování, ovládacích prvků a detailů osazení (XPS, těsnění připojovací spáry, krycích lišt a začištění) - dle PD - D.09-Legenda výplní otvorů </t>
    </r>
    <r>
      <rPr>
        <b/>
        <sz val="10"/>
        <color indexed="8"/>
        <rFont val="Arial"/>
        <family val="2"/>
      </rPr>
      <t>- výplň W03</t>
    </r>
  </si>
  <si>
    <r>
      <t xml:space="preserve">D+M Kompletní okenní výplně (dřevěné špaletové okno) včetně kování, ovládacích prvků a detailů osazení (XPS, těsnění připojovací spáry, krycích lišt a začištění) - dle PD - D.09-Legenda výplní otvorů </t>
    </r>
    <r>
      <rPr>
        <b/>
        <sz val="10"/>
        <color indexed="8"/>
        <rFont val="Arial"/>
        <family val="2"/>
      </rPr>
      <t>- výplň W02</t>
    </r>
  </si>
  <si>
    <r>
      <t xml:space="preserve">D+M Kompletní okenní výplně (dřevěné špaletové okno) včetně kování, ovládacích prvků a detailů osazení (XPS, těsnění připojovací spáry, krycích lišt a začištění) - dle PD - D.09-Legenda výplní otvorů </t>
    </r>
    <r>
      <rPr>
        <b/>
        <sz val="10"/>
        <color indexed="8"/>
        <rFont val="Arial"/>
        <family val="2"/>
      </rPr>
      <t>- výplň W07</t>
    </r>
  </si>
  <si>
    <r>
      <t xml:space="preserve">D+M Kompletní okenní výplně (dřevěné jednoduché okno) včetně kování, ovládacích prvků a detailů osazení (XPS, těsnění připojovací spáry, krycích lišt a začištění) - dle PD - D.09-Legenda výplní otvorů </t>
    </r>
    <r>
      <rPr>
        <b/>
        <sz val="10"/>
        <color indexed="8"/>
        <rFont val="Arial"/>
        <family val="2"/>
      </rPr>
      <t>- výplň W05</t>
    </r>
  </si>
  <si>
    <r>
      <t xml:space="preserve">D+M Kompletní okenní výplně (dřevěné jednoduché okno) včetně kování, ovládacích prvků a detailů osazení (XPS, těsnění připojovací spáry, krycích lišt a začištění) - dle PD - D.09-Legenda výplní otvorů </t>
    </r>
    <r>
      <rPr>
        <b/>
        <sz val="10"/>
        <color indexed="8"/>
        <rFont val="Arial"/>
        <family val="2"/>
      </rPr>
      <t>- výplň W06</t>
    </r>
  </si>
  <si>
    <t>Dodavatel předloží vzorky všech předmětů a vybraných konstrukcí či materiálů - ke schválení před vlastním použitím.</t>
  </si>
  <si>
    <t>Všechny použité materiály a výrobky budou 1. jakostní třídy, musí mít příslušné atesty, homologace - prohlášení o shodě a certifikáty pro použití v ČR dle platných předpisů.</t>
  </si>
  <si>
    <t>Stavební materiály nebudou používány, pokud jejich hmotnostní aktivita radonu je větší než hodnoty dané platnými právními předpisy v době výstavby.</t>
  </si>
  <si>
    <t>V případě vzniklých škod zaviněných dodavatelem na veřejném či soukromém majetku - v souvislosti s pracemi na vlastní stavbě, uhradí tyto škody plně dodavatel.</t>
  </si>
  <si>
    <t>Dodavatel provede a zajistí na svůj účet veškeré potřebné pomocné a ochranné konstrukce.</t>
  </si>
  <si>
    <t>Součástí každé jednotkové ceny v následujících rozpočtech budou náklady na potřebné pomocné a zdvihací mechanismy, lešení a další potřebná zařízení nutná ke zhotovení komplexní dodávky, pokud nejsou</t>
  </si>
  <si>
    <t>v daném rozpočtu uvedeny samostatně.</t>
  </si>
  <si>
    <t>Součástí každé jednotkové ceny v následujících rozpočtech budou náklady na potřebná opatření proti nežádoucím klimatickým a povětrnostním podmínkám.</t>
  </si>
  <si>
    <t>Všechny rozvody a vedení budou barevně označeny dle platných předpisů -  opatřeny příslušnými plastovými štítky s fóliovým popisem.</t>
  </si>
  <si>
    <t>Veškerými bezpečnostními normami stanovené nápisy a značení jsou součástí dodávky.</t>
  </si>
  <si>
    <t>Součástí každé jednotkové ceny v následujících rozpočtech budou náklady za spotřebované energie, plyn a vodu v době výstavby.</t>
  </si>
  <si>
    <t>Součástí každé dodávky je i funkční odzkoušení jednotlivých částí zařízení a zařízení jako celku.</t>
  </si>
  <si>
    <t>Veškeré zařízení a dodávky budou dokompletovány, nainstalovány, přikotveny a propojeny tak, aby byly při předání plně funkční.</t>
  </si>
  <si>
    <t>Demontáž, kompletní repase, nový nátěr + zpětná montáž stávající přístřešku pro odpaní nádoby</t>
  </si>
  <si>
    <r>
      <t xml:space="preserve">Bauplan s.r.o., </t>
    </r>
    <r>
      <rPr>
        <sz val="10"/>
        <color indexed="8"/>
        <rFont val="Arial"/>
        <family val="2"/>
      </rPr>
      <t>Kladenská 41/17, 160 00 Praha 6</t>
    </r>
  </si>
  <si>
    <r>
      <rPr>
        <b/>
        <sz val="10"/>
        <color indexed="8"/>
        <rFont val="Arial"/>
        <family val="2"/>
      </rPr>
      <t xml:space="preserve">Bauplan s.r.o., </t>
    </r>
    <r>
      <rPr>
        <sz val="10"/>
        <color indexed="8"/>
        <rFont val="Arial"/>
        <family val="2"/>
      </rPr>
      <t>Kladenská 41/17, 160 00 Praha 6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</si>
</sst>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9"/>
      <color indexed="61"/>
      <name val="Arial"/>
      <family val="0"/>
    </font>
    <font>
      <i/>
      <sz val="9"/>
      <color indexed="62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9" fillId="20" borderId="0" applyNumberFormat="0" applyBorder="0" applyAlignment="0" applyProtection="0"/>
    <xf numFmtId="0" fontId="4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0">
    <xf numFmtId="0" fontId="1" fillId="0" borderId="0" xfId="0" applyFont="1" applyAlignment="1">
      <alignment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49" fontId="2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25" xfId="0" applyNumberFormat="1" applyFont="1" applyFill="1" applyBorder="1" applyAlignment="1" applyProtection="1">
      <alignment horizontal="left" vertical="center"/>
      <protection/>
    </xf>
    <xf numFmtId="49" fontId="2" fillId="0" borderId="26" xfId="0" applyNumberFormat="1" applyFont="1" applyFill="1" applyBorder="1" applyAlignment="1" applyProtection="1">
      <alignment horizontal="left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26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1" fillId="34" borderId="27" xfId="0" applyNumberFormat="1" applyFont="1" applyFill="1" applyBorder="1" applyAlignment="1" applyProtection="1">
      <alignment horizontal="center"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/>
    </xf>
    <xf numFmtId="49" fontId="12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3" fillId="0" borderId="27" xfId="0" applyNumberFormat="1" applyFont="1" applyFill="1" applyBorder="1" applyAlignment="1" applyProtection="1">
      <alignment horizontal="right" vertical="center"/>
      <protection/>
    </xf>
    <xf numFmtId="49" fontId="13" fillId="0" borderId="27" xfId="0" applyNumberFormat="1" applyFont="1" applyFill="1" applyBorder="1" applyAlignment="1" applyProtection="1">
      <alignment horizontal="right" vertical="center"/>
      <protection/>
    </xf>
    <xf numFmtId="4" fontId="13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2" fillId="34" borderId="35" xfId="0" applyNumberFormat="1" applyFont="1" applyFill="1" applyBorder="1" applyAlignment="1" applyProtection="1">
      <alignment horizontal="right" vertical="center"/>
      <protection/>
    </xf>
    <xf numFmtId="4" fontId="17" fillId="0" borderId="27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35" borderId="39" xfId="0" applyNumberFormat="1" applyFont="1" applyFill="1" applyBorder="1" applyAlignment="1" applyProtection="1">
      <alignment horizontal="left" vertical="center" wrapText="1"/>
      <protection/>
    </xf>
    <xf numFmtId="0" fontId="1" fillId="35" borderId="0" xfId="0" applyNumberFormat="1" applyFont="1" applyFill="1" applyBorder="1" applyAlignment="1" applyProtection="1">
      <alignment horizontal="left" vertical="center"/>
      <protection/>
    </xf>
    <xf numFmtId="0" fontId="1" fillId="35" borderId="40" xfId="0" applyNumberFormat="1" applyFont="1" applyFill="1" applyBorder="1" applyAlignment="1" applyProtection="1">
      <alignment horizontal="left" vertical="center"/>
      <protection/>
    </xf>
    <xf numFmtId="0" fontId="1" fillId="35" borderId="41" xfId="0" applyNumberFormat="1" applyFont="1" applyFill="1" applyBorder="1" applyAlignment="1" applyProtection="1">
      <alignment horizontal="left" vertical="center"/>
      <protection/>
    </xf>
    <xf numFmtId="0" fontId="1" fillId="35" borderId="0" xfId="0" applyNumberFormat="1" applyFont="1" applyFill="1" applyBorder="1" applyAlignment="1" applyProtection="1">
      <alignment horizontal="left" vertical="center" wrapText="1"/>
      <protection/>
    </xf>
    <xf numFmtId="49" fontId="1" fillId="35" borderId="0" xfId="0" applyNumberFormat="1" applyFont="1" applyFill="1" applyBorder="1" applyAlignment="1" applyProtection="1">
      <alignment horizontal="left" vertical="center"/>
      <protection/>
    </xf>
    <xf numFmtId="0" fontId="1" fillId="35" borderId="39" xfId="0" applyNumberFormat="1" applyFont="1" applyFill="1" applyBorder="1" applyAlignment="1" applyProtection="1">
      <alignment horizontal="left" vertical="center"/>
      <protection/>
    </xf>
    <xf numFmtId="0" fontId="1" fillId="35" borderId="34" xfId="0" applyNumberFormat="1" applyFont="1" applyFill="1" applyBorder="1" applyAlignment="1" applyProtection="1">
      <alignment horizontal="left" vertical="center"/>
      <protection/>
    </xf>
    <xf numFmtId="0" fontId="14" fillId="35" borderId="0" xfId="0" applyNumberFormat="1" applyFont="1" applyFill="1" applyBorder="1" applyAlignment="1" applyProtection="1">
      <alignment horizontal="left" vertical="center" wrapText="1"/>
      <protection/>
    </xf>
    <xf numFmtId="0" fontId="14" fillId="35" borderId="0" xfId="0" applyNumberFormat="1" applyFont="1" applyFill="1" applyBorder="1" applyAlignment="1" applyProtection="1">
      <alignment horizontal="left" vertical="center"/>
      <protection/>
    </xf>
    <xf numFmtId="14" fontId="1" fillId="35" borderId="0" xfId="0" applyNumberFormat="1" applyFont="1" applyFill="1" applyBorder="1" applyAlignment="1" applyProtection="1">
      <alignment horizontal="left" vertical="center"/>
      <protection/>
    </xf>
    <xf numFmtId="0" fontId="2" fillId="35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" fillId="35" borderId="42" xfId="0" applyNumberFormat="1" applyFont="1" applyFill="1" applyBorder="1" applyAlignment="1" applyProtection="1">
      <alignment horizontal="left" vertical="center" wrapText="1"/>
      <protection/>
    </xf>
    <xf numFmtId="0" fontId="1" fillId="35" borderId="14" xfId="0" applyNumberFormat="1" applyFont="1" applyFill="1" applyBorder="1" applyAlignment="1" applyProtection="1">
      <alignment horizontal="left" vertical="center"/>
      <protection/>
    </xf>
    <xf numFmtId="0" fontId="12" fillId="35" borderId="14" xfId="0" applyNumberFormat="1" applyFont="1" applyFill="1" applyBorder="1" applyAlignment="1" applyProtection="1">
      <alignment horizontal="left" vertical="center" wrapText="1"/>
      <protection/>
    </xf>
    <xf numFmtId="0" fontId="12" fillId="35" borderId="0" xfId="0" applyNumberFormat="1" applyFont="1" applyFill="1" applyBorder="1" applyAlignment="1" applyProtection="1">
      <alignment horizontal="left" vertical="center"/>
      <protection/>
    </xf>
    <xf numFmtId="49" fontId="1" fillId="35" borderId="14" xfId="0" applyNumberFormat="1" applyFont="1" applyFill="1" applyBorder="1" applyAlignment="1" applyProtection="1">
      <alignment horizontal="left" vertical="center"/>
      <protection/>
    </xf>
    <xf numFmtId="0" fontId="1" fillId="35" borderId="14" xfId="0" applyNumberFormat="1" applyFont="1" applyFill="1" applyBorder="1" applyAlignment="1" applyProtection="1">
      <alignment horizontal="left" vertical="center" wrapText="1"/>
      <protection/>
    </xf>
    <xf numFmtId="0" fontId="2" fillId="35" borderId="14" xfId="0" applyNumberFormat="1" applyFont="1" applyFill="1" applyBorder="1" applyAlignment="1" applyProtection="1">
      <alignment horizontal="left" vertical="center" wrapText="1"/>
      <protection/>
    </xf>
    <xf numFmtId="0" fontId="1" fillId="35" borderId="31" xfId="0" applyNumberFormat="1" applyFont="1" applyFill="1" applyBorder="1" applyAlignment="1" applyProtection="1">
      <alignment horizontal="left" vertical="center"/>
      <protection/>
    </xf>
    <xf numFmtId="0" fontId="1" fillId="35" borderId="43" xfId="0" applyNumberFormat="1" applyFont="1" applyFill="1" applyBorder="1" applyAlignment="1" applyProtection="1">
      <alignment horizontal="left" vertical="center"/>
      <protection/>
    </xf>
    <xf numFmtId="0" fontId="2" fillId="35" borderId="14" xfId="0" applyNumberFormat="1" applyFont="1" applyFill="1" applyBorder="1" applyAlignment="1" applyProtection="1">
      <alignment horizontal="left" vertical="center"/>
      <protection/>
    </xf>
    <xf numFmtId="0" fontId="2" fillId="35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44" xfId="0" applyNumberFormat="1" applyFont="1" applyFill="1" applyBorder="1" applyAlignment="1" applyProtection="1">
      <alignment horizontal="left" vertical="center"/>
      <protection/>
    </xf>
    <xf numFmtId="0" fontId="2" fillId="0" borderId="45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35" borderId="14" xfId="0" applyNumberFormat="1" applyFont="1" applyFill="1" applyBorder="1" applyAlignment="1" applyProtection="1">
      <alignment horizontal="left" vertical="center" wrapText="1"/>
      <protection/>
    </xf>
    <xf numFmtId="0" fontId="18" fillId="35" borderId="0" xfId="0" applyNumberFormat="1" applyFont="1" applyFill="1" applyBorder="1" applyAlignment="1" applyProtection="1">
      <alignment horizontal="left" vertical="center" wrapText="1"/>
      <protection/>
    </xf>
    <xf numFmtId="49" fontId="13" fillId="0" borderId="46" xfId="0" applyNumberFormat="1" applyFont="1" applyFill="1" applyBorder="1" applyAlignment="1" applyProtection="1">
      <alignment horizontal="left" vertical="center"/>
      <protection/>
    </xf>
    <xf numFmtId="0" fontId="13" fillId="0" borderId="41" xfId="0" applyNumberFormat="1" applyFont="1" applyFill="1" applyBorder="1" applyAlignment="1" applyProtection="1">
      <alignment horizontal="left" vertical="center"/>
      <protection/>
    </xf>
    <xf numFmtId="0" fontId="13" fillId="0" borderId="47" xfId="0" applyNumberFormat="1" applyFont="1" applyFill="1" applyBorder="1" applyAlignment="1" applyProtection="1">
      <alignment horizontal="left" vertical="center"/>
      <protection/>
    </xf>
    <xf numFmtId="49" fontId="12" fillId="34" borderId="48" xfId="0" applyNumberFormat="1" applyFont="1" applyFill="1" applyBorder="1" applyAlignment="1" applyProtection="1">
      <alignment horizontal="left" vertical="center"/>
      <protection/>
    </xf>
    <xf numFmtId="0" fontId="12" fillId="34" borderId="49" xfId="0" applyNumberFormat="1" applyFont="1" applyFill="1" applyBorder="1" applyAlignment="1" applyProtection="1">
      <alignment horizontal="left" vertical="center"/>
      <protection/>
    </xf>
    <xf numFmtId="49" fontId="13" fillId="0" borderId="50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51" xfId="0" applyNumberFormat="1" applyFont="1" applyFill="1" applyBorder="1" applyAlignment="1" applyProtection="1">
      <alignment horizontal="left" vertical="center"/>
      <protection/>
    </xf>
    <xf numFmtId="49" fontId="12" fillId="0" borderId="48" xfId="0" applyNumberFormat="1" applyFont="1" applyFill="1" applyBorder="1" applyAlignment="1" applyProtection="1">
      <alignment horizontal="left" vertical="center"/>
      <protection/>
    </xf>
    <xf numFmtId="0" fontId="12" fillId="0" borderId="35" xfId="0" applyNumberFormat="1" applyFont="1" applyFill="1" applyBorder="1" applyAlignment="1" applyProtection="1">
      <alignment horizontal="left" vertical="center"/>
      <protection/>
    </xf>
    <xf numFmtId="49" fontId="13" fillId="0" borderId="48" xfId="0" applyNumberFormat="1" applyFont="1" applyFill="1" applyBorder="1" applyAlignment="1" applyProtection="1">
      <alignment horizontal="left" vertical="center"/>
      <protection/>
    </xf>
    <xf numFmtId="0" fontId="13" fillId="0" borderId="35" xfId="0" applyNumberFormat="1" applyFont="1" applyFill="1" applyBorder="1" applyAlignment="1" applyProtection="1">
      <alignment horizontal="left" vertical="center"/>
      <protection/>
    </xf>
    <xf numFmtId="49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0" borderId="49" xfId="0" applyNumberFormat="1" applyFont="1" applyFill="1" applyBorder="1" applyAlignment="1" applyProtection="1">
      <alignment horizontal="center" vertical="center"/>
      <protection/>
    </xf>
    <xf numFmtId="49" fontId="14" fillId="0" borderId="48" xfId="0" applyNumberFormat="1" applyFont="1" applyFill="1" applyBorder="1" applyAlignment="1" applyProtection="1">
      <alignment horizontal="left" vertical="center"/>
      <protection/>
    </xf>
    <xf numFmtId="0" fontId="14" fillId="0" borderId="35" xfId="0" applyNumberFormat="1" applyFont="1" applyFill="1" applyBorder="1" applyAlignment="1" applyProtection="1">
      <alignment horizontal="left" vertical="center"/>
      <protection/>
    </xf>
    <xf numFmtId="0" fontId="1" fillId="35" borderId="32" xfId="0" applyNumberFormat="1" applyFont="1" applyFill="1" applyBorder="1" applyAlignment="1" applyProtection="1">
      <alignment horizontal="left" vertical="center"/>
      <protection/>
    </xf>
    <xf numFmtId="0" fontId="1" fillId="35" borderId="13" xfId="0" applyNumberFormat="1" applyFont="1" applyFill="1" applyBorder="1" applyAlignment="1" applyProtection="1">
      <alignment horizontal="left" vertical="center"/>
      <protection/>
    </xf>
    <xf numFmtId="49" fontId="1" fillId="35" borderId="34" xfId="0" applyNumberFormat="1" applyFont="1" applyFill="1" applyBorder="1" applyAlignment="1" applyProtection="1">
      <alignment horizontal="left" vertical="center"/>
      <protection/>
    </xf>
    <xf numFmtId="0" fontId="16" fillId="35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35" borderId="3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 locked="0"/>
    </xf>
    <xf numFmtId="49" fontId="1" fillId="11" borderId="14" xfId="0" applyNumberFormat="1" applyFont="1" applyFill="1" applyBorder="1" applyAlignment="1" applyProtection="1">
      <alignment horizontal="left" vertical="center"/>
      <protection locked="0"/>
    </xf>
    <xf numFmtId="0" fontId="1" fillId="11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39" xfId="0" applyNumberFormat="1" applyFont="1" applyFill="1" applyBorder="1" applyAlignment="1" applyProtection="1">
      <alignment vertical="center"/>
      <protection locked="0"/>
    </xf>
    <xf numFmtId="0" fontId="1" fillId="11" borderId="0" xfId="0" applyNumberFormat="1" applyFont="1" applyFill="1" applyBorder="1" applyAlignment="1" applyProtection="1">
      <alignment horizontal="left" vertical="center"/>
      <protection locked="0"/>
    </xf>
    <xf numFmtId="14" fontId="1" fillId="11" borderId="0" xfId="0" applyNumberFormat="1" applyFont="1" applyFill="1" applyBorder="1" applyAlignment="1" applyProtection="1">
      <alignment horizontal="left" vertical="center"/>
      <protection locked="0"/>
    </xf>
    <xf numFmtId="0" fontId="1" fillId="11" borderId="0" xfId="0" applyNumberFormat="1" applyFont="1" applyFill="1" applyBorder="1" applyAlignment="1" applyProtection="1">
      <alignment horizontal="left" vertical="center" wrapText="1"/>
      <protection locked="0"/>
    </xf>
    <xf numFmtId="0" fontId="1" fillId="11" borderId="34" xfId="0" applyNumberFormat="1" applyFont="1" applyFill="1" applyBorder="1" applyAlignment="1" applyProtection="1">
      <alignment horizontal="left" vertical="center"/>
      <protection locked="0"/>
    </xf>
    <xf numFmtId="0" fontId="2" fillId="11" borderId="0" xfId="0" applyNumberFormat="1" applyFont="1" applyFill="1" applyBorder="1" applyAlignment="1" applyProtection="1">
      <alignment horizontal="left" vertical="center" wrapText="1"/>
      <protection locked="0"/>
    </xf>
    <xf numFmtId="0" fontId="1" fillId="11" borderId="41" xfId="0" applyNumberFormat="1" applyFont="1" applyFill="1" applyBorder="1" applyAlignment="1" applyProtection="1">
      <alignment horizontal="left" vertical="center"/>
      <protection locked="0"/>
    </xf>
    <xf numFmtId="0" fontId="1" fillId="0" borderId="52" xfId="0" applyNumberFormat="1" applyFont="1" applyFill="1" applyBorder="1" applyAlignment="1" applyProtection="1">
      <alignment vertical="center"/>
      <protection locked="0"/>
    </xf>
    <xf numFmtId="49" fontId="7" fillId="33" borderId="0" xfId="0" applyNumberFormat="1" applyFont="1" applyFill="1" applyBorder="1" applyAlignment="1" applyProtection="1">
      <alignment horizontal="right" vertical="center"/>
      <protection locked="0"/>
    </xf>
    <xf numFmtId="4" fontId="7" fillId="33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53" fillId="11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11" borderId="43" xfId="0" applyNumberFormat="1" applyFont="1" applyFill="1" applyBorder="1" applyAlignment="1" applyProtection="1">
      <alignment horizontal="left" vertical="center"/>
      <protection locked="0"/>
    </xf>
    <xf numFmtId="49" fontId="1" fillId="11" borderId="34" xfId="0" applyNumberFormat="1" applyFont="1" applyFill="1" applyBorder="1" applyAlignment="1" applyProtection="1">
      <alignment horizontal="left" vertical="center"/>
      <protection locked="0"/>
    </xf>
    <xf numFmtId="14" fontId="1" fillId="11" borderId="34" xfId="0" applyNumberFormat="1" applyFont="1" applyFill="1" applyBorder="1" applyAlignment="1" applyProtection="1">
      <alignment horizontal="left" vertical="center"/>
      <protection locked="0"/>
    </xf>
    <xf numFmtId="0" fontId="1" fillId="11" borderId="53" xfId="0" applyNumberFormat="1" applyFont="1" applyFill="1" applyBorder="1" applyAlignment="1" applyProtection="1">
      <alignment horizontal="left" vertical="center"/>
      <protection locked="0"/>
    </xf>
    <xf numFmtId="4" fontId="54" fillId="11" borderId="27" xfId="0" applyNumberFormat="1" applyFont="1" applyFill="1" applyBorder="1" applyAlignment="1" applyProtection="1">
      <alignment horizontal="right" vertical="center"/>
      <protection locked="0"/>
    </xf>
    <xf numFmtId="49" fontId="13" fillId="0" borderId="52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54" xfId="0" applyNumberFormat="1" applyFont="1" applyFill="1" applyBorder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31"/>
  <sheetViews>
    <sheetView zoomScale="95" zoomScaleNormal="95" zoomScalePageLayoutView="0" workbookViewId="0" topLeftCell="A1">
      <pane ySplit="11" topLeftCell="A12" activePane="bottomLeft" state="frozen"/>
      <selection pane="topLeft" activeCell="A1" sqref="A1"/>
      <selection pane="bottomLeft" activeCell="A1" sqref="A1:M1"/>
    </sheetView>
  </sheetViews>
  <sheetFormatPr defaultColWidth="11.57421875" defaultRowHeight="12.75"/>
  <cols>
    <col min="1" max="1" width="3.7109375" style="138" customWidth="1"/>
    <col min="2" max="2" width="7.57421875" style="138" customWidth="1"/>
    <col min="3" max="3" width="14.28125" style="138" customWidth="1"/>
    <col min="4" max="4" width="82.28125" style="138" customWidth="1"/>
    <col min="5" max="5" width="6.421875" style="138" customWidth="1"/>
    <col min="6" max="6" width="12.8515625" style="138" customWidth="1"/>
    <col min="7" max="7" width="12.00390625" style="138" customWidth="1"/>
    <col min="8" max="10" width="14.28125" style="138" customWidth="1"/>
    <col min="11" max="13" width="11.7109375" style="138" customWidth="1"/>
    <col min="14" max="24" width="11.57421875" style="138" customWidth="1"/>
    <col min="25" max="62" width="12.140625" style="138" hidden="1" customWidth="1"/>
    <col min="63" max="16384" width="11.57421875" style="138" customWidth="1"/>
  </cols>
  <sheetData>
    <row r="1" spans="1:13" ht="36" customHeight="1">
      <c r="A1" s="89" t="s">
        <v>456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4" ht="12.75" customHeight="1">
      <c r="A2" s="91" t="s">
        <v>0</v>
      </c>
      <c r="B2" s="92"/>
      <c r="C2" s="92"/>
      <c r="D2" s="93" t="s">
        <v>448</v>
      </c>
      <c r="E2" s="95" t="s">
        <v>212</v>
      </c>
      <c r="F2" s="92"/>
      <c r="G2" s="139"/>
      <c r="H2" s="140"/>
      <c r="I2" s="96" t="s">
        <v>225</v>
      </c>
      <c r="J2" s="97" t="s">
        <v>457</v>
      </c>
      <c r="K2" s="92"/>
      <c r="L2" s="92"/>
      <c r="M2" s="98"/>
      <c r="N2" s="141"/>
    </row>
    <row r="3" spans="1:14" ht="12.75">
      <c r="A3" s="83"/>
      <c r="B3" s="78"/>
      <c r="C3" s="78"/>
      <c r="D3" s="94"/>
      <c r="E3" s="78"/>
      <c r="F3" s="78"/>
      <c r="G3" s="142"/>
      <c r="H3" s="142"/>
      <c r="I3" s="78"/>
      <c r="J3" s="78"/>
      <c r="K3" s="78"/>
      <c r="L3" s="78"/>
      <c r="M3" s="84"/>
      <c r="N3" s="141"/>
    </row>
    <row r="4" spans="1:14" ht="12.75" customHeight="1">
      <c r="A4" s="77" t="s">
        <v>1</v>
      </c>
      <c r="B4" s="78"/>
      <c r="C4" s="78"/>
      <c r="D4" s="85"/>
      <c r="E4" s="82" t="s">
        <v>213</v>
      </c>
      <c r="F4" s="78"/>
      <c r="G4" s="143"/>
      <c r="H4" s="142"/>
      <c r="I4" s="81" t="s">
        <v>226</v>
      </c>
      <c r="J4" s="81" t="s">
        <v>480</v>
      </c>
      <c r="K4" s="78"/>
      <c r="L4" s="78"/>
      <c r="M4" s="84"/>
      <c r="N4" s="141"/>
    </row>
    <row r="5" spans="1:14" ht="12.75">
      <c r="A5" s="83"/>
      <c r="B5" s="78"/>
      <c r="C5" s="78"/>
      <c r="D5" s="86"/>
      <c r="E5" s="78"/>
      <c r="F5" s="78"/>
      <c r="G5" s="142"/>
      <c r="H5" s="142"/>
      <c r="I5" s="78"/>
      <c r="J5" s="78"/>
      <c r="K5" s="78"/>
      <c r="L5" s="78"/>
      <c r="M5" s="84"/>
      <c r="N5" s="141"/>
    </row>
    <row r="6" spans="1:14" ht="12.75" customHeight="1">
      <c r="A6" s="77" t="s">
        <v>2</v>
      </c>
      <c r="B6" s="78"/>
      <c r="C6" s="78"/>
      <c r="D6" s="81" t="s">
        <v>453</v>
      </c>
      <c r="E6" s="82" t="s">
        <v>214</v>
      </c>
      <c r="F6" s="78"/>
      <c r="G6" s="142"/>
      <c r="H6" s="142"/>
      <c r="I6" s="81" t="s">
        <v>227</v>
      </c>
      <c r="J6" s="144"/>
      <c r="K6" s="142"/>
      <c r="L6" s="142"/>
      <c r="M6" s="145"/>
      <c r="N6" s="141"/>
    </row>
    <row r="7" spans="1:14" ht="12.75">
      <c r="A7" s="83"/>
      <c r="B7" s="78"/>
      <c r="C7" s="78"/>
      <c r="D7" s="78"/>
      <c r="E7" s="78"/>
      <c r="F7" s="78"/>
      <c r="G7" s="142"/>
      <c r="H7" s="142"/>
      <c r="I7" s="78"/>
      <c r="J7" s="142"/>
      <c r="K7" s="142"/>
      <c r="L7" s="142"/>
      <c r="M7" s="145"/>
      <c r="N7" s="141"/>
    </row>
    <row r="8" spans="1:14" ht="12.75" customHeight="1">
      <c r="A8" s="77" t="s">
        <v>3</v>
      </c>
      <c r="B8" s="78"/>
      <c r="C8" s="78"/>
      <c r="D8" s="81"/>
      <c r="E8" s="82" t="s">
        <v>215</v>
      </c>
      <c r="F8" s="78"/>
      <c r="G8" s="143"/>
      <c r="H8" s="142"/>
      <c r="I8" s="81" t="s">
        <v>228</v>
      </c>
      <c r="J8" s="146"/>
      <c r="K8" s="142"/>
      <c r="L8" s="142"/>
      <c r="M8" s="145"/>
      <c r="N8" s="141"/>
    </row>
    <row r="9" spans="1:14" ht="12.75">
      <c r="A9" s="79"/>
      <c r="B9" s="80"/>
      <c r="C9" s="80"/>
      <c r="D9" s="80"/>
      <c r="E9" s="80"/>
      <c r="F9" s="80"/>
      <c r="G9" s="147"/>
      <c r="H9" s="147"/>
      <c r="I9" s="80"/>
      <c r="J9" s="142"/>
      <c r="K9" s="142"/>
      <c r="L9" s="142"/>
      <c r="M9" s="145"/>
      <c r="N9" s="141"/>
    </row>
    <row r="10" spans="1:14" ht="12.75">
      <c r="A10" s="1" t="s">
        <v>4</v>
      </c>
      <c r="B10" s="10" t="s">
        <v>91</v>
      </c>
      <c r="C10" s="10" t="s">
        <v>92</v>
      </c>
      <c r="D10" s="10" t="s">
        <v>107</v>
      </c>
      <c r="E10" s="10" t="s">
        <v>216</v>
      </c>
      <c r="F10" s="16" t="s">
        <v>222</v>
      </c>
      <c r="G10" s="20" t="s">
        <v>223</v>
      </c>
      <c r="H10" s="70" t="s">
        <v>229</v>
      </c>
      <c r="I10" s="71"/>
      <c r="J10" s="72"/>
      <c r="K10" s="70" t="s">
        <v>234</v>
      </c>
      <c r="L10" s="72"/>
      <c r="M10" s="27" t="s">
        <v>236</v>
      </c>
      <c r="N10" s="148"/>
    </row>
    <row r="11" spans="1:62" ht="12.75">
      <c r="A11" s="2" t="s">
        <v>5</v>
      </c>
      <c r="B11" s="11" t="s">
        <v>5</v>
      </c>
      <c r="C11" s="11" t="s">
        <v>5</v>
      </c>
      <c r="D11" s="14" t="s">
        <v>108</v>
      </c>
      <c r="E11" s="11" t="s">
        <v>5</v>
      </c>
      <c r="F11" s="11" t="s">
        <v>5</v>
      </c>
      <c r="G11" s="21" t="s">
        <v>224</v>
      </c>
      <c r="H11" s="22" t="s">
        <v>230</v>
      </c>
      <c r="I11" s="23" t="s">
        <v>232</v>
      </c>
      <c r="J11" s="24" t="s">
        <v>233</v>
      </c>
      <c r="K11" s="22" t="s">
        <v>235</v>
      </c>
      <c r="L11" s="24" t="s">
        <v>233</v>
      </c>
      <c r="M11" s="28" t="s">
        <v>237</v>
      </c>
      <c r="N11" s="148"/>
      <c r="Z11" s="149" t="s">
        <v>238</v>
      </c>
      <c r="AA11" s="149" t="s">
        <v>239</v>
      </c>
      <c r="AB11" s="149" t="s">
        <v>240</v>
      </c>
      <c r="AC11" s="149" t="s">
        <v>241</v>
      </c>
      <c r="AD11" s="149" t="s">
        <v>242</v>
      </c>
      <c r="AE11" s="149" t="s">
        <v>243</v>
      </c>
      <c r="AF11" s="149" t="s">
        <v>244</v>
      </c>
      <c r="AG11" s="149" t="s">
        <v>245</v>
      </c>
      <c r="AH11" s="149" t="s">
        <v>246</v>
      </c>
      <c r="BH11" s="149" t="s">
        <v>272</v>
      </c>
      <c r="BI11" s="149" t="s">
        <v>273</v>
      </c>
      <c r="BJ11" s="149" t="s">
        <v>274</v>
      </c>
    </row>
    <row r="12" spans="1:47" ht="12.75">
      <c r="A12" s="3"/>
      <c r="B12" s="12"/>
      <c r="C12" s="12" t="s">
        <v>39</v>
      </c>
      <c r="D12" s="12" t="s">
        <v>109</v>
      </c>
      <c r="E12" s="3" t="s">
        <v>5</v>
      </c>
      <c r="F12" s="3" t="s">
        <v>5</v>
      </c>
      <c r="G12" s="3" t="s">
        <v>5</v>
      </c>
      <c r="H12" s="32">
        <f>SUM(H13:H13)</f>
        <v>0</v>
      </c>
      <c r="I12" s="32">
        <f>SUM(I13:I13)</f>
        <v>0</v>
      </c>
      <c r="J12" s="32">
        <f>SUM(J13:J13)</f>
        <v>0</v>
      </c>
      <c r="K12" s="25"/>
      <c r="L12" s="32">
        <f>SUM(L13:L13)</f>
        <v>9.150699999999999</v>
      </c>
      <c r="M12" s="25"/>
      <c r="AI12" s="149"/>
      <c r="AS12" s="150">
        <f>SUM(AJ13:AJ13)</f>
        <v>0</v>
      </c>
      <c r="AT12" s="150">
        <f>SUM(AK13:AK13)</f>
        <v>0</v>
      </c>
      <c r="AU12" s="150">
        <f>SUM(AL13:AL13)</f>
        <v>0</v>
      </c>
    </row>
    <row r="13" spans="1:62" ht="26.25">
      <c r="A13" s="4" t="s">
        <v>6</v>
      </c>
      <c r="B13" s="4"/>
      <c r="C13" s="4"/>
      <c r="D13" s="67" t="s">
        <v>110</v>
      </c>
      <c r="E13" s="4" t="s">
        <v>217</v>
      </c>
      <c r="F13" s="17">
        <v>32.5</v>
      </c>
      <c r="G13" s="152">
        <v>0</v>
      </c>
      <c r="H13" s="17">
        <f>F13*AO13</f>
        <v>0</v>
      </c>
      <c r="I13" s="17">
        <f>F13*AP13</f>
        <v>0</v>
      </c>
      <c r="J13" s="17">
        <f>F13*G13</f>
        <v>0</v>
      </c>
      <c r="K13" s="17">
        <v>0.28156</v>
      </c>
      <c r="L13" s="17">
        <f>F13*K13</f>
        <v>9.150699999999999</v>
      </c>
      <c r="M13" s="29"/>
      <c r="Z13" s="154">
        <f>IF(AQ13="5",BJ13,0)</f>
        <v>0</v>
      </c>
      <c r="AB13" s="154">
        <f>IF(AQ13="1",BH13,0)</f>
        <v>0</v>
      </c>
      <c r="AC13" s="154">
        <f>IF(AQ13="1",BI13,0)</f>
        <v>0</v>
      </c>
      <c r="AD13" s="154">
        <f>IF(AQ13="7",BH13,0)</f>
        <v>0</v>
      </c>
      <c r="AE13" s="154">
        <f>IF(AQ13="7",BI13,0)</f>
        <v>0</v>
      </c>
      <c r="AF13" s="154">
        <f>IF(AQ13="2",BH13,0)</f>
        <v>0</v>
      </c>
      <c r="AG13" s="154">
        <f>IF(AQ13="2",BI13,0)</f>
        <v>0</v>
      </c>
      <c r="AH13" s="154">
        <f>IF(AQ13="0",BJ13,0)</f>
        <v>0</v>
      </c>
      <c r="AI13" s="149"/>
      <c r="AJ13" s="151">
        <f>IF(AN13=0,J13,0)</f>
        <v>0</v>
      </c>
      <c r="AK13" s="151">
        <f>IF(AN13=15,J13,0)</f>
        <v>0</v>
      </c>
      <c r="AL13" s="151">
        <f>IF(AN13=21,J13,0)</f>
        <v>0</v>
      </c>
      <c r="AN13" s="154">
        <v>21</v>
      </c>
      <c r="AO13" s="154">
        <f>G13*0.360137103684662</f>
        <v>0</v>
      </c>
      <c r="AP13" s="154">
        <f>G13*(1-0.360137103684662)</f>
        <v>0</v>
      </c>
      <c r="AQ13" s="153" t="s">
        <v>6</v>
      </c>
      <c r="AV13" s="154">
        <f>AW13+AX13</f>
        <v>0</v>
      </c>
      <c r="AW13" s="154">
        <f>F13*AO13</f>
        <v>0</v>
      </c>
      <c r="AX13" s="154">
        <f>F13*AP13</f>
        <v>0</v>
      </c>
      <c r="AY13" s="155" t="s">
        <v>247</v>
      </c>
      <c r="AZ13" s="155" t="s">
        <v>266</v>
      </c>
      <c r="BA13" s="149" t="s">
        <v>271</v>
      </c>
      <c r="BC13" s="154">
        <f>AW13+AX13</f>
        <v>0</v>
      </c>
      <c r="BD13" s="154">
        <f>G13/(100-BE13)*100</f>
        <v>0</v>
      </c>
      <c r="BE13" s="154">
        <v>0</v>
      </c>
      <c r="BF13" s="154">
        <f>L13</f>
        <v>9.150699999999999</v>
      </c>
      <c r="BH13" s="151">
        <f>F13*AO13</f>
        <v>0</v>
      </c>
      <c r="BI13" s="151">
        <f>F13*AP13</f>
        <v>0</v>
      </c>
      <c r="BJ13" s="151">
        <f>F13*G13</f>
        <v>0</v>
      </c>
    </row>
    <row r="14" spans="1:47" ht="12.75">
      <c r="A14" s="5"/>
      <c r="B14" s="13"/>
      <c r="C14" s="13" t="s">
        <v>66</v>
      </c>
      <c r="D14" s="13" t="s">
        <v>111</v>
      </c>
      <c r="E14" s="5" t="s">
        <v>5</v>
      </c>
      <c r="F14" s="5" t="s">
        <v>5</v>
      </c>
      <c r="G14" s="5" t="s">
        <v>5</v>
      </c>
      <c r="H14" s="33">
        <f>SUM(H15:H15)</f>
        <v>0</v>
      </c>
      <c r="I14" s="33">
        <f>SUM(I15:I15)</f>
        <v>0</v>
      </c>
      <c r="J14" s="33">
        <f>SUM(J15:J15)</f>
        <v>0</v>
      </c>
      <c r="K14" s="26"/>
      <c r="L14" s="33">
        <f>SUM(L15:L15)</f>
        <v>7.24460695</v>
      </c>
      <c r="M14" s="26"/>
      <c r="AI14" s="149"/>
      <c r="AS14" s="150">
        <f>SUM(AJ15:AJ15)</f>
        <v>0</v>
      </c>
      <c r="AT14" s="150">
        <f>SUM(AK15:AK15)</f>
        <v>0</v>
      </c>
      <c r="AU14" s="150">
        <f>SUM(AL15:AL15)</f>
        <v>0</v>
      </c>
    </row>
    <row r="15" spans="1:62" ht="26.25">
      <c r="A15" s="4" t="s">
        <v>7</v>
      </c>
      <c r="B15" s="4"/>
      <c r="C15" s="4"/>
      <c r="D15" s="67" t="s">
        <v>112</v>
      </c>
      <c r="E15" s="4" t="s">
        <v>217</v>
      </c>
      <c r="F15" s="17">
        <v>126.455</v>
      </c>
      <c r="G15" s="152">
        <v>0</v>
      </c>
      <c r="H15" s="17">
        <f>F15*AO15</f>
        <v>0</v>
      </c>
      <c r="I15" s="17">
        <f>F15*AP15</f>
        <v>0</v>
      </c>
      <c r="J15" s="17">
        <f>F15*G15</f>
        <v>0</v>
      </c>
      <c r="K15" s="17">
        <v>0.05729</v>
      </c>
      <c r="L15" s="17">
        <f>F15*K15</f>
        <v>7.24460695</v>
      </c>
      <c r="M15" s="29"/>
      <c r="Z15" s="154">
        <f>IF(AQ15="5",BJ15,0)</f>
        <v>0</v>
      </c>
      <c r="AB15" s="154">
        <f>IF(AQ15="1",BH15,0)</f>
        <v>0</v>
      </c>
      <c r="AC15" s="154">
        <f>IF(AQ15="1",BI15,0)</f>
        <v>0</v>
      </c>
      <c r="AD15" s="154">
        <f>IF(AQ15="7",BH15,0)</f>
        <v>0</v>
      </c>
      <c r="AE15" s="154">
        <f>IF(AQ15="7",BI15,0)</f>
        <v>0</v>
      </c>
      <c r="AF15" s="154">
        <f>IF(AQ15="2",BH15,0)</f>
        <v>0</v>
      </c>
      <c r="AG15" s="154">
        <f>IF(AQ15="2",BI15,0)</f>
        <v>0</v>
      </c>
      <c r="AH15" s="154">
        <f>IF(AQ15="0",BJ15,0)</f>
        <v>0</v>
      </c>
      <c r="AI15" s="149"/>
      <c r="AJ15" s="151">
        <f>IF(AN15=0,J15,0)</f>
        <v>0</v>
      </c>
      <c r="AK15" s="151">
        <f>IF(AN15=15,J15,0)</f>
        <v>0</v>
      </c>
      <c r="AL15" s="151">
        <f>IF(AN15=21,J15,0)</f>
        <v>0</v>
      </c>
      <c r="AN15" s="154">
        <v>21</v>
      </c>
      <c r="AO15" s="154">
        <f>G15*0.137692315746037</f>
        <v>0</v>
      </c>
      <c r="AP15" s="154">
        <f>G15*(1-0.137692315746037)</f>
        <v>0</v>
      </c>
      <c r="AQ15" s="153" t="s">
        <v>6</v>
      </c>
      <c r="AV15" s="154">
        <f>AW15+AX15</f>
        <v>0</v>
      </c>
      <c r="AW15" s="154">
        <f>F15*AO15</f>
        <v>0</v>
      </c>
      <c r="AX15" s="154">
        <f>F15*AP15</f>
        <v>0</v>
      </c>
      <c r="AY15" s="155" t="s">
        <v>248</v>
      </c>
      <c r="AZ15" s="155" t="s">
        <v>267</v>
      </c>
      <c r="BA15" s="149" t="s">
        <v>271</v>
      </c>
      <c r="BC15" s="154">
        <f>AW15+AX15</f>
        <v>0</v>
      </c>
      <c r="BD15" s="154">
        <f>G15/(100-BE15)*100</f>
        <v>0</v>
      </c>
      <c r="BE15" s="154">
        <v>0</v>
      </c>
      <c r="BF15" s="154">
        <f>L15</f>
        <v>7.24460695</v>
      </c>
      <c r="BH15" s="151">
        <f>F15*AO15</f>
        <v>0</v>
      </c>
      <c r="BI15" s="151">
        <f>F15*AP15</f>
        <v>0</v>
      </c>
      <c r="BJ15" s="151">
        <f>F15*G15</f>
        <v>0</v>
      </c>
    </row>
    <row r="16" spans="1:47" ht="12.75">
      <c r="A16" s="5"/>
      <c r="B16" s="13"/>
      <c r="C16" s="13" t="s">
        <v>67</v>
      </c>
      <c r="D16" s="13" t="s">
        <v>113</v>
      </c>
      <c r="E16" s="5" t="s">
        <v>5</v>
      </c>
      <c r="F16" s="5" t="s">
        <v>5</v>
      </c>
      <c r="G16" s="5" t="s">
        <v>5</v>
      </c>
      <c r="H16" s="33">
        <f>SUM(H17:H21)</f>
        <v>0</v>
      </c>
      <c r="I16" s="33">
        <f>SUM(I17:I21)</f>
        <v>0</v>
      </c>
      <c r="J16" s="33">
        <f>SUM(J17:J21)</f>
        <v>0</v>
      </c>
      <c r="K16" s="26"/>
      <c r="L16" s="33">
        <f>SUM(L17:L21)</f>
        <v>27.708500135999998</v>
      </c>
      <c r="M16" s="26"/>
      <c r="AI16" s="149"/>
      <c r="AS16" s="150">
        <f>SUM(AJ17:AJ21)</f>
        <v>0</v>
      </c>
      <c r="AT16" s="150">
        <f>SUM(AK17:AK21)</f>
        <v>0</v>
      </c>
      <c r="AU16" s="150">
        <f>SUM(AL17:AL21)</f>
        <v>0</v>
      </c>
    </row>
    <row r="17" spans="1:62" ht="26.25">
      <c r="A17" s="4" t="s">
        <v>8</v>
      </c>
      <c r="B17" s="4"/>
      <c r="C17" s="4"/>
      <c r="D17" s="67" t="s">
        <v>114</v>
      </c>
      <c r="E17" s="4" t="s">
        <v>217</v>
      </c>
      <c r="F17" s="17">
        <v>683.484</v>
      </c>
      <c r="G17" s="152">
        <v>0</v>
      </c>
      <c r="H17" s="17">
        <f>F17*AO17</f>
        <v>0</v>
      </c>
      <c r="I17" s="17">
        <f>F17*AP17</f>
        <v>0</v>
      </c>
      <c r="J17" s="17">
        <f>F17*G17</f>
        <v>0</v>
      </c>
      <c r="K17" s="17">
        <v>0.00074</v>
      </c>
      <c r="L17" s="17">
        <f>F17*K17</f>
        <v>0.50577816</v>
      </c>
      <c r="M17" s="29"/>
      <c r="Z17" s="154">
        <f>IF(AQ17="5",BJ17,0)</f>
        <v>0</v>
      </c>
      <c r="AB17" s="154">
        <f>IF(AQ17="1",BH17,0)</f>
        <v>0</v>
      </c>
      <c r="AC17" s="154">
        <f>IF(AQ17="1",BI17,0)</f>
        <v>0</v>
      </c>
      <c r="AD17" s="154">
        <f>IF(AQ17="7",BH17,0)</f>
        <v>0</v>
      </c>
      <c r="AE17" s="154">
        <f>IF(AQ17="7",BI17,0)</f>
        <v>0</v>
      </c>
      <c r="AF17" s="154">
        <f>IF(AQ17="2",BH17,0)</f>
        <v>0</v>
      </c>
      <c r="AG17" s="154">
        <f>IF(AQ17="2",BI17,0)</f>
        <v>0</v>
      </c>
      <c r="AH17" s="154">
        <f>IF(AQ17="0",BJ17,0)</f>
        <v>0</v>
      </c>
      <c r="AI17" s="149"/>
      <c r="AJ17" s="151">
        <f>IF(AN17=0,J17,0)</f>
        <v>0</v>
      </c>
      <c r="AK17" s="151">
        <f>IF(AN17=15,J17,0)</f>
        <v>0</v>
      </c>
      <c r="AL17" s="151">
        <f>IF(AN17=21,J17,0)</f>
        <v>0</v>
      </c>
      <c r="AN17" s="154">
        <v>21</v>
      </c>
      <c r="AO17" s="154">
        <f>G17*0.432258769705475</f>
        <v>0</v>
      </c>
      <c r="AP17" s="154">
        <f>G17*(1-0.432258769705475)</f>
        <v>0</v>
      </c>
      <c r="AQ17" s="153" t="s">
        <v>6</v>
      </c>
      <c r="AV17" s="154">
        <f>AW17+AX17</f>
        <v>0</v>
      </c>
      <c r="AW17" s="154">
        <f>F17*AO17</f>
        <v>0</v>
      </c>
      <c r="AX17" s="154">
        <f>F17*AP17</f>
        <v>0</v>
      </c>
      <c r="AY17" s="155" t="s">
        <v>249</v>
      </c>
      <c r="AZ17" s="155" t="s">
        <v>267</v>
      </c>
      <c r="BA17" s="149" t="s">
        <v>271</v>
      </c>
      <c r="BC17" s="154">
        <f>AW17+AX17</f>
        <v>0</v>
      </c>
      <c r="BD17" s="154">
        <f>G17/(100-BE17)*100</f>
        <v>0</v>
      </c>
      <c r="BE17" s="154">
        <v>0</v>
      </c>
      <c r="BF17" s="154">
        <f>L17</f>
        <v>0.50577816</v>
      </c>
      <c r="BH17" s="151">
        <f>F17*AO17</f>
        <v>0</v>
      </c>
      <c r="BI17" s="151">
        <f>F17*AP17</f>
        <v>0</v>
      </c>
      <c r="BJ17" s="151">
        <f>F17*G17</f>
        <v>0</v>
      </c>
    </row>
    <row r="18" spans="1:62" ht="26.25">
      <c r="A18" s="4" t="s">
        <v>9</v>
      </c>
      <c r="B18" s="4"/>
      <c r="C18" s="4"/>
      <c r="D18" s="67" t="s">
        <v>115</v>
      </c>
      <c r="E18" s="4" t="s">
        <v>217</v>
      </c>
      <c r="F18" s="17">
        <v>427.4724</v>
      </c>
      <c r="G18" s="152">
        <v>0</v>
      </c>
      <c r="H18" s="17">
        <f>F18*AO18</f>
        <v>0</v>
      </c>
      <c r="I18" s="17">
        <f>F18*AP18</f>
        <v>0</v>
      </c>
      <c r="J18" s="17">
        <f>F18*G18</f>
        <v>0</v>
      </c>
      <c r="K18" s="17">
        <v>0.03759</v>
      </c>
      <c r="L18" s="17">
        <f>F18*K18</f>
        <v>16.068687516</v>
      </c>
      <c r="M18" s="29"/>
      <c r="Z18" s="154">
        <f>IF(AQ18="5",BJ18,0)</f>
        <v>0</v>
      </c>
      <c r="AB18" s="154">
        <f>IF(AQ18="1",BH18,0)</f>
        <v>0</v>
      </c>
      <c r="AC18" s="154">
        <f>IF(AQ18="1",BI18,0)</f>
        <v>0</v>
      </c>
      <c r="AD18" s="154">
        <f>IF(AQ18="7",BH18,0)</f>
        <v>0</v>
      </c>
      <c r="AE18" s="154">
        <f>IF(AQ18="7",BI18,0)</f>
        <v>0</v>
      </c>
      <c r="AF18" s="154">
        <f>IF(AQ18="2",BH18,0)</f>
        <v>0</v>
      </c>
      <c r="AG18" s="154">
        <f>IF(AQ18="2",BI18,0)</f>
        <v>0</v>
      </c>
      <c r="AH18" s="154">
        <f>IF(AQ18="0",BJ18,0)</f>
        <v>0</v>
      </c>
      <c r="AI18" s="149"/>
      <c r="AJ18" s="151">
        <f>IF(AN18=0,J18,0)</f>
        <v>0</v>
      </c>
      <c r="AK18" s="151">
        <f>IF(AN18=15,J18,0)</f>
        <v>0</v>
      </c>
      <c r="AL18" s="151">
        <f>IF(AN18=21,J18,0)</f>
        <v>0</v>
      </c>
      <c r="AN18" s="154">
        <v>21</v>
      </c>
      <c r="AO18" s="154">
        <f>G18*0.0898395046160658</f>
        <v>0</v>
      </c>
      <c r="AP18" s="154">
        <f>G18*(1-0.0898395046160658)</f>
        <v>0</v>
      </c>
      <c r="AQ18" s="153" t="s">
        <v>6</v>
      </c>
      <c r="AV18" s="154">
        <f>AW18+AX18</f>
        <v>0</v>
      </c>
      <c r="AW18" s="154">
        <f>F18*AO18</f>
        <v>0</v>
      </c>
      <c r="AX18" s="154">
        <f>F18*AP18</f>
        <v>0</v>
      </c>
      <c r="AY18" s="155" t="s">
        <v>249</v>
      </c>
      <c r="AZ18" s="155" t="s">
        <v>267</v>
      </c>
      <c r="BA18" s="149" t="s">
        <v>271</v>
      </c>
      <c r="BC18" s="154">
        <f>AW18+AX18</f>
        <v>0</v>
      </c>
      <c r="BD18" s="154">
        <f>G18/(100-BE18)*100</f>
        <v>0</v>
      </c>
      <c r="BE18" s="154">
        <v>0</v>
      </c>
      <c r="BF18" s="154">
        <f>L18</f>
        <v>16.068687516</v>
      </c>
      <c r="BH18" s="151">
        <f>F18*AO18</f>
        <v>0</v>
      </c>
      <c r="BI18" s="151">
        <f>F18*AP18</f>
        <v>0</v>
      </c>
      <c r="BJ18" s="151">
        <f>F18*G18</f>
        <v>0</v>
      </c>
    </row>
    <row r="19" spans="1:62" ht="26.25">
      <c r="A19" s="4" t="s">
        <v>10</v>
      </c>
      <c r="B19" s="4"/>
      <c r="C19" s="4"/>
      <c r="D19" s="67" t="s">
        <v>116</v>
      </c>
      <c r="E19" s="4" t="s">
        <v>217</v>
      </c>
      <c r="F19" s="17">
        <v>210</v>
      </c>
      <c r="G19" s="152">
        <v>0</v>
      </c>
      <c r="H19" s="17">
        <f>F19*AO19</f>
        <v>0</v>
      </c>
      <c r="I19" s="17">
        <f>F19*AP19</f>
        <v>0</v>
      </c>
      <c r="J19" s="17">
        <f>F19*G19</f>
        <v>0</v>
      </c>
      <c r="K19" s="17">
        <v>0.04529</v>
      </c>
      <c r="L19" s="17">
        <f>F19*K19</f>
        <v>9.5109</v>
      </c>
      <c r="M19" s="29"/>
      <c r="Z19" s="154">
        <f>IF(AQ19="5",BJ19,0)</f>
        <v>0</v>
      </c>
      <c r="AB19" s="154">
        <f>IF(AQ19="1",BH19,0)</f>
        <v>0</v>
      </c>
      <c r="AC19" s="154">
        <f>IF(AQ19="1",BI19,0)</f>
        <v>0</v>
      </c>
      <c r="AD19" s="154">
        <f>IF(AQ19="7",BH19,0)</f>
        <v>0</v>
      </c>
      <c r="AE19" s="154">
        <f>IF(AQ19="7",BI19,0)</f>
        <v>0</v>
      </c>
      <c r="AF19" s="154">
        <f>IF(AQ19="2",BH19,0)</f>
        <v>0</v>
      </c>
      <c r="AG19" s="154">
        <f>IF(AQ19="2",BI19,0)</f>
        <v>0</v>
      </c>
      <c r="AH19" s="154">
        <f>IF(AQ19="0",BJ19,0)</f>
        <v>0</v>
      </c>
      <c r="AI19" s="149"/>
      <c r="AJ19" s="151">
        <f>IF(AN19=0,J19,0)</f>
        <v>0</v>
      </c>
      <c r="AK19" s="151">
        <f>IF(AN19=15,J19,0)</f>
        <v>0</v>
      </c>
      <c r="AL19" s="151">
        <f>IF(AN19=21,J19,0)</f>
        <v>0</v>
      </c>
      <c r="AN19" s="154">
        <v>21</v>
      </c>
      <c r="AO19" s="154">
        <f>G19*0.0897745208568207</f>
        <v>0</v>
      </c>
      <c r="AP19" s="154">
        <f>G19*(1-0.0897745208568207)</f>
        <v>0</v>
      </c>
      <c r="AQ19" s="153" t="s">
        <v>6</v>
      </c>
      <c r="AV19" s="154">
        <f>AW19+AX19</f>
        <v>0</v>
      </c>
      <c r="AW19" s="154">
        <f>F19*AO19</f>
        <v>0</v>
      </c>
      <c r="AX19" s="154">
        <f>F19*AP19</f>
        <v>0</v>
      </c>
      <c r="AY19" s="155" t="s">
        <v>249</v>
      </c>
      <c r="AZ19" s="155" t="s">
        <v>267</v>
      </c>
      <c r="BA19" s="149" t="s">
        <v>271</v>
      </c>
      <c r="BC19" s="154">
        <f>AW19+AX19</f>
        <v>0</v>
      </c>
      <c r="BD19" s="154">
        <f>G19/(100-BE19)*100</f>
        <v>0</v>
      </c>
      <c r="BE19" s="154">
        <v>0</v>
      </c>
      <c r="BF19" s="154">
        <f>L19</f>
        <v>9.5109</v>
      </c>
      <c r="BH19" s="151">
        <f>F19*AO19</f>
        <v>0</v>
      </c>
      <c r="BI19" s="151">
        <f>F19*AP19</f>
        <v>0</v>
      </c>
      <c r="BJ19" s="151">
        <f>F19*G19</f>
        <v>0</v>
      </c>
    </row>
    <row r="20" spans="1:62" ht="26.25">
      <c r="A20" s="4" t="s">
        <v>11</v>
      </c>
      <c r="B20" s="4"/>
      <c r="C20" s="4"/>
      <c r="D20" s="67" t="s">
        <v>117</v>
      </c>
      <c r="E20" s="4" t="s">
        <v>217</v>
      </c>
      <c r="F20" s="17">
        <v>46.011</v>
      </c>
      <c r="G20" s="152">
        <v>0</v>
      </c>
      <c r="H20" s="17">
        <f>F20*AO20</f>
        <v>0</v>
      </c>
      <c r="I20" s="17">
        <f>F20*AP20</f>
        <v>0</v>
      </c>
      <c r="J20" s="17">
        <f>F20*G20</f>
        <v>0</v>
      </c>
      <c r="K20" s="17">
        <v>0.03498</v>
      </c>
      <c r="L20" s="17">
        <f>F20*K20</f>
        <v>1.60946478</v>
      </c>
      <c r="M20" s="29"/>
      <c r="Z20" s="154">
        <f>IF(AQ20="5",BJ20,0)</f>
        <v>0</v>
      </c>
      <c r="AB20" s="154">
        <f>IF(AQ20="1",BH20,0)</f>
        <v>0</v>
      </c>
      <c r="AC20" s="154">
        <f>IF(AQ20="1",BI20,0)</f>
        <v>0</v>
      </c>
      <c r="AD20" s="154">
        <f>IF(AQ20="7",BH20,0)</f>
        <v>0</v>
      </c>
      <c r="AE20" s="154">
        <f>IF(AQ20="7",BI20,0)</f>
        <v>0</v>
      </c>
      <c r="AF20" s="154">
        <f>IF(AQ20="2",BH20,0)</f>
        <v>0</v>
      </c>
      <c r="AG20" s="154">
        <f>IF(AQ20="2",BI20,0)</f>
        <v>0</v>
      </c>
      <c r="AH20" s="154">
        <f>IF(AQ20="0",BJ20,0)</f>
        <v>0</v>
      </c>
      <c r="AI20" s="149"/>
      <c r="AJ20" s="151">
        <f>IF(AN20=0,J20,0)</f>
        <v>0</v>
      </c>
      <c r="AK20" s="151">
        <f>IF(AN20=15,J20,0)</f>
        <v>0</v>
      </c>
      <c r="AL20" s="151">
        <f>IF(AN20=21,J20,0)</f>
        <v>0</v>
      </c>
      <c r="AN20" s="154">
        <v>21</v>
      </c>
      <c r="AO20" s="154">
        <f>G20*0.0839203837705456</f>
        <v>0</v>
      </c>
      <c r="AP20" s="154">
        <f>G20*(1-0.0839203837705456)</f>
        <v>0</v>
      </c>
      <c r="AQ20" s="153" t="s">
        <v>6</v>
      </c>
      <c r="AV20" s="154">
        <f>AW20+AX20</f>
        <v>0</v>
      </c>
      <c r="AW20" s="154">
        <f>F20*AO20</f>
        <v>0</v>
      </c>
      <c r="AX20" s="154">
        <f>F20*AP20</f>
        <v>0</v>
      </c>
      <c r="AY20" s="155" t="s">
        <v>249</v>
      </c>
      <c r="AZ20" s="155" t="s">
        <v>267</v>
      </c>
      <c r="BA20" s="149" t="s">
        <v>271</v>
      </c>
      <c r="BC20" s="154">
        <f>AW20+AX20</f>
        <v>0</v>
      </c>
      <c r="BD20" s="154">
        <f>G20/(100-BE20)*100</f>
        <v>0</v>
      </c>
      <c r="BE20" s="154">
        <v>0</v>
      </c>
      <c r="BF20" s="154">
        <f>L20</f>
        <v>1.60946478</v>
      </c>
      <c r="BH20" s="151">
        <f>F20*AO20</f>
        <v>0</v>
      </c>
      <c r="BI20" s="151">
        <f>F20*AP20</f>
        <v>0</v>
      </c>
      <c r="BJ20" s="151">
        <f>F20*G20</f>
        <v>0</v>
      </c>
    </row>
    <row r="21" spans="1:62" ht="12.75">
      <c r="A21" s="4" t="s">
        <v>12</v>
      </c>
      <c r="B21" s="4"/>
      <c r="C21" s="4"/>
      <c r="D21" s="67" t="s">
        <v>118</v>
      </c>
      <c r="E21" s="4" t="s">
        <v>217</v>
      </c>
      <c r="F21" s="17">
        <v>683.484</v>
      </c>
      <c r="G21" s="152">
        <v>0</v>
      </c>
      <c r="H21" s="17">
        <f>F21*AO21</f>
        <v>0</v>
      </c>
      <c r="I21" s="17">
        <f>F21*AP21</f>
        <v>0</v>
      </c>
      <c r="J21" s="17">
        <f>F21*G21</f>
        <v>0</v>
      </c>
      <c r="K21" s="17">
        <v>2E-05</v>
      </c>
      <c r="L21" s="17">
        <f>F21*K21</f>
        <v>0.013669680000000002</v>
      </c>
      <c r="M21" s="29"/>
      <c r="Z21" s="154">
        <f>IF(AQ21="5",BJ21,0)</f>
        <v>0</v>
      </c>
      <c r="AB21" s="154">
        <f>IF(AQ21="1",BH21,0)</f>
        <v>0</v>
      </c>
      <c r="AC21" s="154">
        <f>IF(AQ21="1",BI21,0)</f>
        <v>0</v>
      </c>
      <c r="AD21" s="154">
        <f>IF(AQ21="7",BH21,0)</f>
        <v>0</v>
      </c>
      <c r="AE21" s="154">
        <f>IF(AQ21="7",BI21,0)</f>
        <v>0</v>
      </c>
      <c r="AF21" s="154">
        <f>IF(AQ21="2",BH21,0)</f>
        <v>0</v>
      </c>
      <c r="AG21" s="154">
        <f>IF(AQ21="2",BI21,0)</f>
        <v>0</v>
      </c>
      <c r="AH21" s="154">
        <f>IF(AQ21="0",BJ21,0)</f>
        <v>0</v>
      </c>
      <c r="AI21" s="149"/>
      <c r="AJ21" s="151">
        <f>IF(AN21=0,J21,0)</f>
        <v>0</v>
      </c>
      <c r="AK21" s="151">
        <f>IF(AN21=15,J21,0)</f>
        <v>0</v>
      </c>
      <c r="AL21" s="151">
        <f>IF(AN21=21,J21,0)</f>
        <v>0</v>
      </c>
      <c r="AN21" s="154">
        <v>21</v>
      </c>
      <c r="AO21" s="154">
        <f>G21*0.0610091792254336</f>
        <v>0</v>
      </c>
      <c r="AP21" s="154">
        <f>G21*(1-0.0610091792254336)</f>
        <v>0</v>
      </c>
      <c r="AQ21" s="153" t="s">
        <v>6</v>
      </c>
      <c r="AV21" s="154">
        <f>AW21+AX21</f>
        <v>0</v>
      </c>
      <c r="AW21" s="154">
        <f>F21*AO21</f>
        <v>0</v>
      </c>
      <c r="AX21" s="154">
        <f>F21*AP21</f>
        <v>0</v>
      </c>
      <c r="AY21" s="155" t="s">
        <v>249</v>
      </c>
      <c r="AZ21" s="155" t="s">
        <v>267</v>
      </c>
      <c r="BA21" s="149" t="s">
        <v>271</v>
      </c>
      <c r="BC21" s="154">
        <f>AW21+AX21</f>
        <v>0</v>
      </c>
      <c r="BD21" s="154">
        <f>G21/(100-BE21)*100</f>
        <v>0</v>
      </c>
      <c r="BE21" s="154">
        <v>0</v>
      </c>
      <c r="BF21" s="154">
        <f>L21</f>
        <v>0.013669680000000002</v>
      </c>
      <c r="BH21" s="151">
        <f>F21*AO21</f>
        <v>0</v>
      </c>
      <c r="BI21" s="151">
        <f>F21*AP21</f>
        <v>0</v>
      </c>
      <c r="BJ21" s="151">
        <f>F21*G21</f>
        <v>0</v>
      </c>
    </row>
    <row r="22" spans="1:47" ht="12.75">
      <c r="A22" s="5"/>
      <c r="B22" s="13"/>
      <c r="C22" s="13" t="s">
        <v>68</v>
      </c>
      <c r="D22" s="13" t="s">
        <v>119</v>
      </c>
      <c r="E22" s="5" t="s">
        <v>5</v>
      </c>
      <c r="F22" s="5" t="s">
        <v>5</v>
      </c>
      <c r="G22" s="5" t="s">
        <v>5</v>
      </c>
      <c r="H22" s="33">
        <f>SUM(H23:H23)</f>
        <v>0</v>
      </c>
      <c r="I22" s="33">
        <f>SUM(I23:I23)</f>
        <v>0</v>
      </c>
      <c r="J22" s="33">
        <f>SUM(J23:J23)</f>
        <v>0</v>
      </c>
      <c r="K22" s="26"/>
      <c r="L22" s="33">
        <f>SUM(L23:L23)</f>
        <v>4.542792</v>
      </c>
      <c r="M22" s="26"/>
      <c r="AI22" s="149"/>
      <c r="AS22" s="150">
        <f>SUM(AJ23:AJ23)</f>
        <v>0</v>
      </c>
      <c r="AT22" s="150">
        <f>SUM(AK23:AK23)</f>
        <v>0</v>
      </c>
      <c r="AU22" s="150">
        <f>SUM(AL23:AL23)</f>
        <v>0</v>
      </c>
    </row>
    <row r="23" spans="1:62" ht="26.25">
      <c r="A23" s="4" t="s">
        <v>13</v>
      </c>
      <c r="B23" s="4"/>
      <c r="C23" s="4"/>
      <c r="D23" s="67" t="s">
        <v>120</v>
      </c>
      <c r="E23" s="4" t="s">
        <v>217</v>
      </c>
      <c r="F23" s="17">
        <v>64.2</v>
      </c>
      <c r="G23" s="152">
        <v>0</v>
      </c>
      <c r="H23" s="17">
        <f>F23*AO23</f>
        <v>0</v>
      </c>
      <c r="I23" s="17">
        <f>F23*AP23</f>
        <v>0</v>
      </c>
      <c r="J23" s="17">
        <f>F23*G23</f>
        <v>0</v>
      </c>
      <c r="K23" s="17">
        <v>0.07076</v>
      </c>
      <c r="L23" s="17">
        <f>F23*K23</f>
        <v>4.542792</v>
      </c>
      <c r="M23" s="29"/>
      <c r="Z23" s="154">
        <f>IF(AQ23="5",BJ23,0)</f>
        <v>0</v>
      </c>
      <c r="AB23" s="154">
        <f>IF(AQ23="1",BH23,0)</f>
        <v>0</v>
      </c>
      <c r="AC23" s="154">
        <f>IF(AQ23="1",BI23,0)</f>
        <v>0</v>
      </c>
      <c r="AD23" s="154">
        <f>IF(AQ23="7",BH23,0)</f>
        <v>0</v>
      </c>
      <c r="AE23" s="154">
        <f>IF(AQ23="7",BI23,0)</f>
        <v>0</v>
      </c>
      <c r="AF23" s="154">
        <f>IF(AQ23="2",BH23,0)</f>
        <v>0</v>
      </c>
      <c r="AG23" s="154">
        <f>IF(AQ23="2",BI23,0)</f>
        <v>0</v>
      </c>
      <c r="AH23" s="154">
        <f>IF(AQ23="0",BJ23,0)</f>
        <v>0</v>
      </c>
      <c r="AI23" s="149"/>
      <c r="AJ23" s="151">
        <f>IF(AN23=0,J23,0)</f>
        <v>0</v>
      </c>
      <c r="AK23" s="151">
        <f>IF(AN23=15,J23,0)</f>
        <v>0</v>
      </c>
      <c r="AL23" s="151">
        <f>IF(AN23=21,J23,0)</f>
        <v>0</v>
      </c>
      <c r="AN23" s="154">
        <v>21</v>
      </c>
      <c r="AO23" s="154">
        <f>G23*0.746549789621318</f>
        <v>0</v>
      </c>
      <c r="AP23" s="154">
        <f>G23*(1-0.746549789621318)</f>
        <v>0</v>
      </c>
      <c r="AQ23" s="153" t="s">
        <v>6</v>
      </c>
      <c r="AV23" s="154">
        <f>AW23+AX23</f>
        <v>0</v>
      </c>
      <c r="AW23" s="154">
        <f>F23*AO23</f>
        <v>0</v>
      </c>
      <c r="AX23" s="154">
        <f>F23*AP23</f>
        <v>0</v>
      </c>
      <c r="AY23" s="155" t="s">
        <v>250</v>
      </c>
      <c r="AZ23" s="155" t="s">
        <v>267</v>
      </c>
      <c r="BA23" s="149" t="s">
        <v>271</v>
      </c>
      <c r="BC23" s="154">
        <f>AW23+AX23</f>
        <v>0</v>
      </c>
      <c r="BD23" s="154">
        <f>G23/(100-BE23)*100</f>
        <v>0</v>
      </c>
      <c r="BE23" s="154">
        <v>0</v>
      </c>
      <c r="BF23" s="154">
        <f>L23</f>
        <v>4.542792</v>
      </c>
      <c r="BH23" s="151">
        <f>F23*AO23</f>
        <v>0</v>
      </c>
      <c r="BI23" s="151">
        <f>F23*AP23</f>
        <v>0</v>
      </c>
      <c r="BJ23" s="151">
        <f>F23*G23</f>
        <v>0</v>
      </c>
    </row>
    <row r="24" spans="1:47" ht="12.75">
      <c r="A24" s="5"/>
      <c r="B24" s="13"/>
      <c r="C24" s="13" t="s">
        <v>69</v>
      </c>
      <c r="D24" s="13" t="s">
        <v>121</v>
      </c>
      <c r="E24" s="5" t="s">
        <v>5</v>
      </c>
      <c r="F24" s="5" t="s">
        <v>5</v>
      </c>
      <c r="G24" s="5" t="s">
        <v>5</v>
      </c>
      <c r="H24" s="33">
        <f>SUM(H25:H31)</f>
        <v>0</v>
      </c>
      <c r="I24" s="33">
        <f>SUM(I25:I31)</f>
        <v>0</v>
      </c>
      <c r="J24" s="33">
        <f>SUM(J25:J31)</f>
        <v>0</v>
      </c>
      <c r="K24" s="26"/>
      <c r="L24" s="33">
        <f>SUM(L25:L31)</f>
        <v>4.619999999999999</v>
      </c>
      <c r="M24" s="26"/>
      <c r="AI24" s="149"/>
      <c r="AS24" s="150">
        <f>SUM(AJ25:AJ31)</f>
        <v>0</v>
      </c>
      <c r="AT24" s="150">
        <f>SUM(AK25:AK31)</f>
        <v>0</v>
      </c>
      <c r="AU24" s="150">
        <f>SUM(AL25:AL31)</f>
        <v>0</v>
      </c>
    </row>
    <row r="25" spans="1:62" ht="39">
      <c r="A25" s="4" t="s">
        <v>14</v>
      </c>
      <c r="B25" s="4"/>
      <c r="C25" s="4"/>
      <c r="D25" s="66" t="s">
        <v>458</v>
      </c>
      <c r="E25" s="4" t="s">
        <v>218</v>
      </c>
      <c r="F25" s="17">
        <v>33</v>
      </c>
      <c r="G25" s="152">
        <v>0</v>
      </c>
      <c r="H25" s="17">
        <f aca="true" t="shared" si="0" ref="H25:H31">F25*AO25</f>
        <v>0</v>
      </c>
      <c r="I25" s="17">
        <f aca="true" t="shared" si="1" ref="I25:I31">F25*AP25</f>
        <v>0</v>
      </c>
      <c r="J25" s="17">
        <f aca="true" t="shared" si="2" ref="J25:J31">F25*G25</f>
        <v>0</v>
      </c>
      <c r="K25" s="17">
        <v>0.105</v>
      </c>
      <c r="L25" s="17">
        <f aca="true" t="shared" si="3" ref="L25:L31">F25*K25</f>
        <v>3.465</v>
      </c>
      <c r="M25" s="29"/>
      <c r="Z25" s="154">
        <f aca="true" t="shared" si="4" ref="Z25:Z31">IF(AQ25="5",BJ25,0)</f>
        <v>0</v>
      </c>
      <c r="AB25" s="154">
        <f aca="true" t="shared" si="5" ref="AB25:AB31">IF(AQ25="1",BH25,0)</f>
        <v>0</v>
      </c>
      <c r="AC25" s="154">
        <f aca="true" t="shared" si="6" ref="AC25:AC31">IF(AQ25="1",BI25,0)</f>
        <v>0</v>
      </c>
      <c r="AD25" s="154">
        <f aca="true" t="shared" si="7" ref="AD25:AD31">IF(AQ25="7",BH25,0)</f>
        <v>0</v>
      </c>
      <c r="AE25" s="154">
        <f aca="true" t="shared" si="8" ref="AE25:AE31">IF(AQ25="7",BI25,0)</f>
        <v>0</v>
      </c>
      <c r="AF25" s="154">
        <f aca="true" t="shared" si="9" ref="AF25:AF31">IF(AQ25="2",BH25,0)</f>
        <v>0</v>
      </c>
      <c r="AG25" s="154">
        <f aca="true" t="shared" si="10" ref="AG25:AG31">IF(AQ25="2",BI25,0)</f>
        <v>0</v>
      </c>
      <c r="AH25" s="154">
        <f aca="true" t="shared" si="11" ref="AH25:AH31">IF(AQ25="0",BJ25,0)</f>
        <v>0</v>
      </c>
      <c r="AI25" s="149"/>
      <c r="AJ25" s="151">
        <f aca="true" t="shared" si="12" ref="AJ25:AJ31">IF(AN25=0,J25,0)</f>
        <v>0</v>
      </c>
      <c r="AK25" s="151">
        <f aca="true" t="shared" si="13" ref="AK25:AK31">IF(AN25=15,J25,0)</f>
        <v>0</v>
      </c>
      <c r="AL25" s="151">
        <f aca="true" t="shared" si="14" ref="AL25:AL31">IF(AN25=21,J25,0)</f>
        <v>0</v>
      </c>
      <c r="AN25" s="154">
        <v>21</v>
      </c>
      <c r="AO25" s="154">
        <f>G25*0.947141316073355</f>
        <v>0</v>
      </c>
      <c r="AP25" s="154">
        <f>G25*(1-0.947141316073355)</f>
        <v>0</v>
      </c>
      <c r="AQ25" s="153" t="s">
        <v>6</v>
      </c>
      <c r="AV25" s="154">
        <f aca="true" t="shared" si="15" ref="AV25:AV31">AW25+AX25</f>
        <v>0</v>
      </c>
      <c r="AW25" s="154">
        <f aca="true" t="shared" si="16" ref="AW25:AW31">F25*AO25</f>
        <v>0</v>
      </c>
      <c r="AX25" s="154">
        <f aca="true" t="shared" si="17" ref="AX25:AX31">F25*AP25</f>
        <v>0</v>
      </c>
      <c r="AY25" s="155" t="s">
        <v>251</v>
      </c>
      <c r="AZ25" s="155" t="s">
        <v>267</v>
      </c>
      <c r="BA25" s="149" t="s">
        <v>271</v>
      </c>
      <c r="BC25" s="154">
        <f aca="true" t="shared" si="18" ref="BC25:BC31">AW25+AX25</f>
        <v>0</v>
      </c>
      <c r="BD25" s="154">
        <f aca="true" t="shared" si="19" ref="BD25:BD31">G25/(100-BE25)*100</f>
        <v>0</v>
      </c>
      <c r="BE25" s="154">
        <v>0</v>
      </c>
      <c r="BF25" s="154">
        <f aca="true" t="shared" si="20" ref="BF25:BF31">L25</f>
        <v>3.465</v>
      </c>
      <c r="BH25" s="151">
        <f aca="true" t="shared" si="21" ref="BH25:BH31">F25*AO25</f>
        <v>0</v>
      </c>
      <c r="BI25" s="151">
        <f aca="true" t="shared" si="22" ref="BI25:BI31">F25*AP25</f>
        <v>0</v>
      </c>
      <c r="BJ25" s="151">
        <f aca="true" t="shared" si="23" ref="BJ25:BJ31">F25*G25</f>
        <v>0</v>
      </c>
    </row>
    <row r="26" spans="1:62" ht="39">
      <c r="A26" s="4" t="s">
        <v>15</v>
      </c>
      <c r="B26" s="4"/>
      <c r="C26" s="4"/>
      <c r="D26" s="66" t="s">
        <v>461</v>
      </c>
      <c r="E26" s="4" t="s">
        <v>218</v>
      </c>
      <c r="F26" s="17">
        <v>6</v>
      </c>
      <c r="G26" s="152">
        <v>0</v>
      </c>
      <c r="H26" s="17">
        <f t="shared" si="0"/>
        <v>0</v>
      </c>
      <c r="I26" s="17">
        <f t="shared" si="1"/>
        <v>0</v>
      </c>
      <c r="J26" s="17">
        <f t="shared" si="2"/>
        <v>0</v>
      </c>
      <c r="K26" s="17">
        <v>0.105</v>
      </c>
      <c r="L26" s="17">
        <f t="shared" si="3"/>
        <v>0.63</v>
      </c>
      <c r="M26" s="29"/>
      <c r="Z26" s="154">
        <f t="shared" si="4"/>
        <v>0</v>
      </c>
      <c r="AB26" s="154">
        <f t="shared" si="5"/>
        <v>0</v>
      </c>
      <c r="AC26" s="154">
        <f t="shared" si="6"/>
        <v>0</v>
      </c>
      <c r="AD26" s="154">
        <f t="shared" si="7"/>
        <v>0</v>
      </c>
      <c r="AE26" s="154">
        <f t="shared" si="8"/>
        <v>0</v>
      </c>
      <c r="AF26" s="154">
        <f t="shared" si="9"/>
        <v>0</v>
      </c>
      <c r="AG26" s="154">
        <f t="shared" si="10"/>
        <v>0</v>
      </c>
      <c r="AH26" s="154">
        <f t="shared" si="11"/>
        <v>0</v>
      </c>
      <c r="AI26" s="149"/>
      <c r="AJ26" s="151">
        <f t="shared" si="12"/>
        <v>0</v>
      </c>
      <c r="AK26" s="151">
        <f t="shared" si="13"/>
        <v>0</v>
      </c>
      <c r="AL26" s="151">
        <f t="shared" si="14"/>
        <v>0</v>
      </c>
      <c r="AN26" s="154">
        <v>21</v>
      </c>
      <c r="AO26" s="154">
        <f>G26*0.952288218111003</f>
        <v>0</v>
      </c>
      <c r="AP26" s="154">
        <f>G26*(1-0.952288218111003)</f>
        <v>0</v>
      </c>
      <c r="AQ26" s="153" t="s">
        <v>6</v>
      </c>
      <c r="AV26" s="154">
        <f t="shared" si="15"/>
        <v>0</v>
      </c>
      <c r="AW26" s="154">
        <f t="shared" si="16"/>
        <v>0</v>
      </c>
      <c r="AX26" s="154">
        <f t="shared" si="17"/>
        <v>0</v>
      </c>
      <c r="AY26" s="155" t="s">
        <v>251</v>
      </c>
      <c r="AZ26" s="155" t="s">
        <v>267</v>
      </c>
      <c r="BA26" s="149" t="s">
        <v>271</v>
      </c>
      <c r="BC26" s="154">
        <f t="shared" si="18"/>
        <v>0</v>
      </c>
      <c r="BD26" s="154">
        <f t="shared" si="19"/>
        <v>0</v>
      </c>
      <c r="BE26" s="154">
        <v>0</v>
      </c>
      <c r="BF26" s="154">
        <f t="shared" si="20"/>
        <v>0.63</v>
      </c>
      <c r="BH26" s="151">
        <f t="shared" si="21"/>
        <v>0</v>
      </c>
      <c r="BI26" s="151">
        <f t="shared" si="22"/>
        <v>0</v>
      </c>
      <c r="BJ26" s="151">
        <f t="shared" si="23"/>
        <v>0</v>
      </c>
    </row>
    <row r="27" spans="1:62" ht="39">
      <c r="A27" s="4" t="s">
        <v>16</v>
      </c>
      <c r="B27" s="4"/>
      <c r="C27" s="4"/>
      <c r="D27" s="66" t="s">
        <v>460</v>
      </c>
      <c r="E27" s="4" t="s">
        <v>218</v>
      </c>
      <c r="F27" s="17">
        <v>2</v>
      </c>
      <c r="G27" s="152">
        <v>0</v>
      </c>
      <c r="H27" s="17">
        <f t="shared" si="0"/>
        <v>0</v>
      </c>
      <c r="I27" s="17">
        <f t="shared" si="1"/>
        <v>0</v>
      </c>
      <c r="J27" s="17">
        <f t="shared" si="2"/>
        <v>0</v>
      </c>
      <c r="K27" s="17">
        <v>0.045</v>
      </c>
      <c r="L27" s="17">
        <f t="shared" si="3"/>
        <v>0.09</v>
      </c>
      <c r="M27" s="29"/>
      <c r="Z27" s="154">
        <f t="shared" si="4"/>
        <v>0</v>
      </c>
      <c r="AB27" s="154">
        <f t="shared" si="5"/>
        <v>0</v>
      </c>
      <c r="AC27" s="154">
        <f t="shared" si="6"/>
        <v>0</v>
      </c>
      <c r="AD27" s="154">
        <f t="shared" si="7"/>
        <v>0</v>
      </c>
      <c r="AE27" s="154">
        <f t="shared" si="8"/>
        <v>0</v>
      </c>
      <c r="AF27" s="154">
        <f t="shared" si="9"/>
        <v>0</v>
      </c>
      <c r="AG27" s="154">
        <f t="shared" si="10"/>
        <v>0</v>
      </c>
      <c r="AH27" s="154">
        <f t="shared" si="11"/>
        <v>0</v>
      </c>
      <c r="AI27" s="149"/>
      <c r="AJ27" s="151">
        <f t="shared" si="12"/>
        <v>0</v>
      </c>
      <c r="AK27" s="151">
        <f t="shared" si="13"/>
        <v>0</v>
      </c>
      <c r="AL27" s="151">
        <f t="shared" si="14"/>
        <v>0</v>
      </c>
      <c r="AN27" s="154">
        <v>21</v>
      </c>
      <c r="AO27" s="154">
        <f>G27*0.956622773044152</f>
        <v>0</v>
      </c>
      <c r="AP27" s="154">
        <f>G27*(1-0.956622773044152)</f>
        <v>0</v>
      </c>
      <c r="AQ27" s="153" t="s">
        <v>6</v>
      </c>
      <c r="AV27" s="154">
        <f t="shared" si="15"/>
        <v>0</v>
      </c>
      <c r="AW27" s="154">
        <f t="shared" si="16"/>
        <v>0</v>
      </c>
      <c r="AX27" s="154">
        <f t="shared" si="17"/>
        <v>0</v>
      </c>
      <c r="AY27" s="155" t="s">
        <v>251</v>
      </c>
      <c r="AZ27" s="155" t="s">
        <v>267</v>
      </c>
      <c r="BA27" s="149" t="s">
        <v>271</v>
      </c>
      <c r="BC27" s="154">
        <f t="shared" si="18"/>
        <v>0</v>
      </c>
      <c r="BD27" s="154">
        <f t="shared" si="19"/>
        <v>0</v>
      </c>
      <c r="BE27" s="154">
        <v>0</v>
      </c>
      <c r="BF27" s="154">
        <f t="shared" si="20"/>
        <v>0.09</v>
      </c>
      <c r="BH27" s="151">
        <f t="shared" si="21"/>
        <v>0</v>
      </c>
      <c r="BI27" s="151">
        <f t="shared" si="22"/>
        <v>0</v>
      </c>
      <c r="BJ27" s="151">
        <f t="shared" si="23"/>
        <v>0</v>
      </c>
    </row>
    <row r="28" spans="1:62" ht="39">
      <c r="A28" s="4" t="s">
        <v>17</v>
      </c>
      <c r="B28" s="4"/>
      <c r="C28" s="4"/>
      <c r="D28" s="66" t="s">
        <v>459</v>
      </c>
      <c r="E28" s="4" t="s">
        <v>218</v>
      </c>
      <c r="F28" s="17">
        <v>2</v>
      </c>
      <c r="G28" s="152">
        <v>0</v>
      </c>
      <c r="H28" s="17">
        <f t="shared" si="0"/>
        <v>0</v>
      </c>
      <c r="I28" s="17">
        <f t="shared" si="1"/>
        <v>0</v>
      </c>
      <c r="J28" s="17">
        <f t="shared" si="2"/>
        <v>0</v>
      </c>
      <c r="K28" s="17">
        <v>0.045</v>
      </c>
      <c r="L28" s="17">
        <f t="shared" si="3"/>
        <v>0.09</v>
      </c>
      <c r="M28" s="29"/>
      <c r="Z28" s="154">
        <f t="shared" si="4"/>
        <v>0</v>
      </c>
      <c r="AB28" s="154">
        <f t="shared" si="5"/>
        <v>0</v>
      </c>
      <c r="AC28" s="154">
        <f t="shared" si="6"/>
        <v>0</v>
      </c>
      <c r="AD28" s="154">
        <f t="shared" si="7"/>
        <v>0</v>
      </c>
      <c r="AE28" s="154">
        <f t="shared" si="8"/>
        <v>0</v>
      </c>
      <c r="AF28" s="154">
        <f t="shared" si="9"/>
        <v>0</v>
      </c>
      <c r="AG28" s="154">
        <f t="shared" si="10"/>
        <v>0</v>
      </c>
      <c r="AH28" s="154">
        <f t="shared" si="11"/>
        <v>0</v>
      </c>
      <c r="AI28" s="149"/>
      <c r="AJ28" s="151">
        <f t="shared" si="12"/>
        <v>0</v>
      </c>
      <c r="AK28" s="151">
        <f t="shared" si="13"/>
        <v>0</v>
      </c>
      <c r="AL28" s="151">
        <f t="shared" si="14"/>
        <v>0</v>
      </c>
      <c r="AN28" s="154">
        <v>21</v>
      </c>
      <c r="AO28" s="154">
        <f>G28*0.915915915915916</f>
        <v>0</v>
      </c>
      <c r="AP28" s="154">
        <f>G28*(1-0.915915915915916)</f>
        <v>0</v>
      </c>
      <c r="AQ28" s="153" t="s">
        <v>6</v>
      </c>
      <c r="AV28" s="154">
        <f t="shared" si="15"/>
        <v>0</v>
      </c>
      <c r="AW28" s="154">
        <f t="shared" si="16"/>
        <v>0</v>
      </c>
      <c r="AX28" s="154">
        <f t="shared" si="17"/>
        <v>0</v>
      </c>
      <c r="AY28" s="155" t="s">
        <v>251</v>
      </c>
      <c r="AZ28" s="155" t="s">
        <v>267</v>
      </c>
      <c r="BA28" s="149" t="s">
        <v>271</v>
      </c>
      <c r="BC28" s="154">
        <f t="shared" si="18"/>
        <v>0</v>
      </c>
      <c r="BD28" s="154">
        <f t="shared" si="19"/>
        <v>0</v>
      </c>
      <c r="BE28" s="154">
        <v>0</v>
      </c>
      <c r="BF28" s="154">
        <f t="shared" si="20"/>
        <v>0.09</v>
      </c>
      <c r="BH28" s="151">
        <f t="shared" si="21"/>
        <v>0</v>
      </c>
      <c r="BI28" s="151">
        <f t="shared" si="22"/>
        <v>0</v>
      </c>
      <c r="BJ28" s="151">
        <f t="shared" si="23"/>
        <v>0</v>
      </c>
    </row>
    <row r="29" spans="1:62" ht="39">
      <c r="A29" s="4" t="s">
        <v>18</v>
      </c>
      <c r="B29" s="4"/>
      <c r="C29" s="4"/>
      <c r="D29" s="66" t="s">
        <v>463</v>
      </c>
      <c r="E29" s="4" t="s">
        <v>218</v>
      </c>
      <c r="F29" s="17">
        <v>1</v>
      </c>
      <c r="G29" s="152">
        <v>0</v>
      </c>
      <c r="H29" s="17">
        <f t="shared" si="0"/>
        <v>0</v>
      </c>
      <c r="I29" s="17">
        <f t="shared" si="1"/>
        <v>0</v>
      </c>
      <c r="J29" s="17">
        <f t="shared" si="2"/>
        <v>0</v>
      </c>
      <c r="K29" s="17">
        <v>0.045</v>
      </c>
      <c r="L29" s="17">
        <f t="shared" si="3"/>
        <v>0.045</v>
      </c>
      <c r="M29" s="29"/>
      <c r="Z29" s="154">
        <f t="shared" si="4"/>
        <v>0</v>
      </c>
      <c r="AB29" s="154">
        <f t="shared" si="5"/>
        <v>0</v>
      </c>
      <c r="AC29" s="154">
        <f t="shared" si="6"/>
        <v>0</v>
      </c>
      <c r="AD29" s="154">
        <f t="shared" si="7"/>
        <v>0</v>
      </c>
      <c r="AE29" s="154">
        <f t="shared" si="8"/>
        <v>0</v>
      </c>
      <c r="AF29" s="154">
        <f t="shared" si="9"/>
        <v>0</v>
      </c>
      <c r="AG29" s="154">
        <f t="shared" si="10"/>
        <v>0</v>
      </c>
      <c r="AH29" s="154">
        <f t="shared" si="11"/>
        <v>0</v>
      </c>
      <c r="AI29" s="149"/>
      <c r="AJ29" s="151">
        <f t="shared" si="12"/>
        <v>0</v>
      </c>
      <c r="AK29" s="151">
        <f t="shared" si="13"/>
        <v>0</v>
      </c>
      <c r="AL29" s="151">
        <f t="shared" si="14"/>
        <v>0</v>
      </c>
      <c r="AN29" s="154">
        <v>21</v>
      </c>
      <c r="AO29" s="154">
        <f>G29*0.915279878971256</f>
        <v>0</v>
      </c>
      <c r="AP29" s="154">
        <f>G29*(1-0.915279878971256)</f>
        <v>0</v>
      </c>
      <c r="AQ29" s="153" t="s">
        <v>6</v>
      </c>
      <c r="AV29" s="154">
        <f t="shared" si="15"/>
        <v>0</v>
      </c>
      <c r="AW29" s="154">
        <f t="shared" si="16"/>
        <v>0</v>
      </c>
      <c r="AX29" s="154">
        <f t="shared" si="17"/>
        <v>0</v>
      </c>
      <c r="AY29" s="155" t="s">
        <v>251</v>
      </c>
      <c r="AZ29" s="155" t="s">
        <v>267</v>
      </c>
      <c r="BA29" s="149" t="s">
        <v>271</v>
      </c>
      <c r="BC29" s="154">
        <f t="shared" si="18"/>
        <v>0</v>
      </c>
      <c r="BD29" s="154">
        <f t="shared" si="19"/>
        <v>0</v>
      </c>
      <c r="BE29" s="154">
        <v>0</v>
      </c>
      <c r="BF29" s="154">
        <f t="shared" si="20"/>
        <v>0.045</v>
      </c>
      <c r="BH29" s="151">
        <f t="shared" si="21"/>
        <v>0</v>
      </c>
      <c r="BI29" s="151">
        <f t="shared" si="22"/>
        <v>0</v>
      </c>
      <c r="BJ29" s="151">
        <f t="shared" si="23"/>
        <v>0</v>
      </c>
    </row>
    <row r="30" spans="1:62" ht="39">
      <c r="A30" s="4" t="s">
        <v>19</v>
      </c>
      <c r="B30" s="4"/>
      <c r="C30" s="4"/>
      <c r="D30" s="66" t="s">
        <v>464</v>
      </c>
      <c r="E30" s="4" t="s">
        <v>218</v>
      </c>
      <c r="F30" s="17">
        <v>2</v>
      </c>
      <c r="G30" s="152">
        <v>0</v>
      </c>
      <c r="H30" s="17">
        <f t="shared" si="0"/>
        <v>0</v>
      </c>
      <c r="I30" s="17">
        <f t="shared" si="1"/>
        <v>0</v>
      </c>
      <c r="J30" s="17">
        <f t="shared" si="2"/>
        <v>0</v>
      </c>
      <c r="K30" s="17">
        <v>0.045</v>
      </c>
      <c r="L30" s="17">
        <f t="shared" si="3"/>
        <v>0.09</v>
      </c>
      <c r="M30" s="29"/>
      <c r="Z30" s="154">
        <f t="shared" si="4"/>
        <v>0</v>
      </c>
      <c r="AB30" s="154">
        <f t="shared" si="5"/>
        <v>0</v>
      </c>
      <c r="AC30" s="154">
        <f t="shared" si="6"/>
        <v>0</v>
      </c>
      <c r="AD30" s="154">
        <f t="shared" si="7"/>
        <v>0</v>
      </c>
      <c r="AE30" s="154">
        <f t="shared" si="8"/>
        <v>0</v>
      </c>
      <c r="AF30" s="154">
        <f t="shared" si="9"/>
        <v>0</v>
      </c>
      <c r="AG30" s="154">
        <f t="shared" si="10"/>
        <v>0</v>
      </c>
      <c r="AH30" s="154">
        <f t="shared" si="11"/>
        <v>0</v>
      </c>
      <c r="AI30" s="149"/>
      <c r="AJ30" s="151">
        <f t="shared" si="12"/>
        <v>0</v>
      </c>
      <c r="AK30" s="151">
        <f t="shared" si="13"/>
        <v>0</v>
      </c>
      <c r="AL30" s="151">
        <f t="shared" si="14"/>
        <v>0</v>
      </c>
      <c r="AN30" s="154">
        <v>21</v>
      </c>
      <c r="AO30" s="154">
        <f>G30*0.872291904218928</f>
        <v>0</v>
      </c>
      <c r="AP30" s="154">
        <f>G30*(1-0.872291904218928)</f>
        <v>0</v>
      </c>
      <c r="AQ30" s="153" t="s">
        <v>6</v>
      </c>
      <c r="AV30" s="154">
        <f t="shared" si="15"/>
        <v>0</v>
      </c>
      <c r="AW30" s="154">
        <f t="shared" si="16"/>
        <v>0</v>
      </c>
      <c r="AX30" s="154">
        <f t="shared" si="17"/>
        <v>0</v>
      </c>
      <c r="AY30" s="155" t="s">
        <v>251</v>
      </c>
      <c r="AZ30" s="155" t="s">
        <v>267</v>
      </c>
      <c r="BA30" s="149" t="s">
        <v>271</v>
      </c>
      <c r="BC30" s="154">
        <f t="shared" si="18"/>
        <v>0</v>
      </c>
      <c r="BD30" s="154">
        <f t="shared" si="19"/>
        <v>0</v>
      </c>
      <c r="BE30" s="154">
        <v>0</v>
      </c>
      <c r="BF30" s="154">
        <f t="shared" si="20"/>
        <v>0.09</v>
      </c>
      <c r="BH30" s="151">
        <f t="shared" si="21"/>
        <v>0</v>
      </c>
      <c r="BI30" s="151">
        <f t="shared" si="22"/>
        <v>0</v>
      </c>
      <c r="BJ30" s="151">
        <f t="shared" si="23"/>
        <v>0</v>
      </c>
    </row>
    <row r="31" spans="1:62" ht="39">
      <c r="A31" s="4" t="s">
        <v>20</v>
      </c>
      <c r="B31" s="4"/>
      <c r="C31" s="4"/>
      <c r="D31" s="66" t="s">
        <v>462</v>
      </c>
      <c r="E31" s="4" t="s">
        <v>218</v>
      </c>
      <c r="F31" s="17">
        <v>2</v>
      </c>
      <c r="G31" s="152">
        <v>0</v>
      </c>
      <c r="H31" s="17">
        <f t="shared" si="0"/>
        <v>0</v>
      </c>
      <c r="I31" s="17">
        <f t="shared" si="1"/>
        <v>0</v>
      </c>
      <c r="J31" s="17">
        <f t="shared" si="2"/>
        <v>0</v>
      </c>
      <c r="K31" s="17">
        <v>0.105</v>
      </c>
      <c r="L31" s="17">
        <f t="shared" si="3"/>
        <v>0.21</v>
      </c>
      <c r="M31" s="29"/>
      <c r="Z31" s="154">
        <f t="shared" si="4"/>
        <v>0</v>
      </c>
      <c r="AB31" s="154">
        <f t="shared" si="5"/>
        <v>0</v>
      </c>
      <c r="AC31" s="154">
        <f t="shared" si="6"/>
        <v>0</v>
      </c>
      <c r="AD31" s="154">
        <f t="shared" si="7"/>
        <v>0</v>
      </c>
      <c r="AE31" s="154">
        <f t="shared" si="8"/>
        <v>0</v>
      </c>
      <c r="AF31" s="154">
        <f t="shared" si="9"/>
        <v>0</v>
      </c>
      <c r="AG31" s="154">
        <f t="shared" si="10"/>
        <v>0</v>
      </c>
      <c r="AH31" s="154">
        <f t="shared" si="11"/>
        <v>0</v>
      </c>
      <c r="AI31" s="149"/>
      <c r="AJ31" s="151">
        <f t="shared" si="12"/>
        <v>0</v>
      </c>
      <c r="AK31" s="151">
        <f t="shared" si="13"/>
        <v>0</v>
      </c>
      <c r="AL31" s="151">
        <f t="shared" si="14"/>
        <v>0</v>
      </c>
      <c r="AN31" s="154">
        <v>21</v>
      </c>
      <c r="AO31" s="154">
        <f>G31*0.954333643988816</f>
        <v>0</v>
      </c>
      <c r="AP31" s="154">
        <f>G31*(1-0.954333643988816)</f>
        <v>0</v>
      </c>
      <c r="AQ31" s="153" t="s">
        <v>6</v>
      </c>
      <c r="AV31" s="154">
        <f t="shared" si="15"/>
        <v>0</v>
      </c>
      <c r="AW31" s="154">
        <f t="shared" si="16"/>
        <v>0</v>
      </c>
      <c r="AX31" s="154">
        <f t="shared" si="17"/>
        <v>0</v>
      </c>
      <c r="AY31" s="155" t="s">
        <v>251</v>
      </c>
      <c r="AZ31" s="155" t="s">
        <v>267</v>
      </c>
      <c r="BA31" s="149" t="s">
        <v>271</v>
      </c>
      <c r="BC31" s="154">
        <f t="shared" si="18"/>
        <v>0</v>
      </c>
      <c r="BD31" s="154">
        <f t="shared" si="19"/>
        <v>0</v>
      </c>
      <c r="BE31" s="154">
        <v>0</v>
      </c>
      <c r="BF31" s="154">
        <f t="shared" si="20"/>
        <v>0.21</v>
      </c>
      <c r="BH31" s="151">
        <f t="shared" si="21"/>
        <v>0</v>
      </c>
      <c r="BI31" s="151">
        <f t="shared" si="22"/>
        <v>0</v>
      </c>
      <c r="BJ31" s="151">
        <f t="shared" si="23"/>
        <v>0</v>
      </c>
    </row>
    <row r="32" spans="1:47" ht="12.75">
      <c r="A32" s="5"/>
      <c r="B32" s="13"/>
      <c r="C32" s="13" t="s">
        <v>93</v>
      </c>
      <c r="D32" s="13" t="s">
        <v>129</v>
      </c>
      <c r="E32" s="5" t="s">
        <v>5</v>
      </c>
      <c r="F32" s="5" t="s">
        <v>5</v>
      </c>
      <c r="G32" s="5" t="s">
        <v>5</v>
      </c>
      <c r="H32" s="33">
        <f>SUM(H33:H47)</f>
        <v>0</v>
      </c>
      <c r="I32" s="33">
        <f>SUM(I33:I47)</f>
        <v>0</v>
      </c>
      <c r="J32" s="33">
        <f>SUM(J33:J47)</f>
        <v>0</v>
      </c>
      <c r="K32" s="26"/>
      <c r="L32" s="33">
        <f>SUM(L33:L47)</f>
        <v>1.817422</v>
      </c>
      <c r="M32" s="26"/>
      <c r="AI32" s="149"/>
      <c r="AS32" s="150">
        <f>SUM(AJ33:AJ47)</f>
        <v>0</v>
      </c>
      <c r="AT32" s="150">
        <f>SUM(AK33:AK47)</f>
        <v>0</v>
      </c>
      <c r="AU32" s="150">
        <f>SUM(AL33:AL47)</f>
        <v>0</v>
      </c>
    </row>
    <row r="33" spans="1:62" ht="26.25">
      <c r="A33" s="4" t="s">
        <v>21</v>
      </c>
      <c r="B33" s="4"/>
      <c r="C33" s="4"/>
      <c r="D33" s="67" t="s">
        <v>130</v>
      </c>
      <c r="E33" s="4" t="s">
        <v>219</v>
      </c>
      <c r="F33" s="17">
        <v>54.5</v>
      </c>
      <c r="G33" s="152">
        <v>0</v>
      </c>
      <c r="H33" s="17">
        <f aca="true" t="shared" si="24" ref="H33:H47">F33*AO33</f>
        <v>0</v>
      </c>
      <c r="I33" s="17">
        <f aca="true" t="shared" si="25" ref="I33:I47">F33*AP33</f>
        <v>0</v>
      </c>
      <c r="J33" s="17">
        <f aca="true" t="shared" si="26" ref="J33:J47">F33*G33</f>
        <v>0</v>
      </c>
      <c r="K33" s="17">
        <v>0.00284</v>
      </c>
      <c r="L33" s="17">
        <f aca="true" t="shared" si="27" ref="L33:L47">F33*K33</f>
        <v>0.15478</v>
      </c>
      <c r="M33" s="29"/>
      <c r="Z33" s="154">
        <f aca="true" t="shared" si="28" ref="Z33:Z47">IF(AQ33="5",BJ33,0)</f>
        <v>0</v>
      </c>
      <c r="AB33" s="154">
        <f aca="true" t="shared" si="29" ref="AB33:AB47">IF(AQ33="1",BH33,0)</f>
        <v>0</v>
      </c>
      <c r="AC33" s="154">
        <f aca="true" t="shared" si="30" ref="AC33:AC47">IF(AQ33="1",BI33,0)</f>
        <v>0</v>
      </c>
      <c r="AD33" s="154">
        <f aca="true" t="shared" si="31" ref="AD33:AD47">IF(AQ33="7",BH33,0)</f>
        <v>0</v>
      </c>
      <c r="AE33" s="154">
        <f aca="true" t="shared" si="32" ref="AE33:AE47">IF(AQ33="7",BI33,0)</f>
        <v>0</v>
      </c>
      <c r="AF33" s="154">
        <f aca="true" t="shared" si="33" ref="AF33:AF47">IF(AQ33="2",BH33,0)</f>
        <v>0</v>
      </c>
      <c r="AG33" s="154">
        <f aca="true" t="shared" si="34" ref="AG33:AG47">IF(AQ33="2",BI33,0)</f>
        <v>0</v>
      </c>
      <c r="AH33" s="154">
        <f aca="true" t="shared" si="35" ref="AH33:AH47">IF(AQ33="0",BJ33,0)</f>
        <v>0</v>
      </c>
      <c r="AI33" s="149"/>
      <c r="AJ33" s="151">
        <f aca="true" t="shared" si="36" ref="AJ33:AJ47">IF(AN33=0,J33,0)</f>
        <v>0</v>
      </c>
      <c r="AK33" s="151">
        <f aca="true" t="shared" si="37" ref="AK33:AK47">IF(AN33=15,J33,0)</f>
        <v>0</v>
      </c>
      <c r="AL33" s="151">
        <f aca="true" t="shared" si="38" ref="AL33:AL47">IF(AN33=21,J33,0)</f>
        <v>0</v>
      </c>
      <c r="AN33" s="154">
        <v>21</v>
      </c>
      <c r="AO33" s="154">
        <f>G33*0.281378254211332</f>
        <v>0</v>
      </c>
      <c r="AP33" s="154">
        <f>G33*(1-0.281378254211332)</f>
        <v>0</v>
      </c>
      <c r="AQ33" s="153" t="s">
        <v>12</v>
      </c>
      <c r="AV33" s="154">
        <f aca="true" t="shared" si="39" ref="AV33:AV47">AW33+AX33</f>
        <v>0</v>
      </c>
      <c r="AW33" s="154">
        <f aca="true" t="shared" si="40" ref="AW33:AW47">F33*AO33</f>
        <v>0</v>
      </c>
      <c r="AX33" s="154">
        <f aca="true" t="shared" si="41" ref="AX33:AX47">F33*AP33</f>
        <v>0</v>
      </c>
      <c r="AY33" s="155" t="s">
        <v>252</v>
      </c>
      <c r="AZ33" s="155" t="s">
        <v>268</v>
      </c>
      <c r="BA33" s="149" t="s">
        <v>271</v>
      </c>
      <c r="BC33" s="154">
        <f aca="true" t="shared" si="42" ref="BC33:BC47">AW33+AX33</f>
        <v>0</v>
      </c>
      <c r="BD33" s="154">
        <f aca="true" t="shared" si="43" ref="BD33:BD47">G33/(100-BE33)*100</f>
        <v>0</v>
      </c>
      <c r="BE33" s="154">
        <v>0</v>
      </c>
      <c r="BF33" s="154">
        <f aca="true" t="shared" si="44" ref="BF33:BF47">L33</f>
        <v>0.15478</v>
      </c>
      <c r="BH33" s="151">
        <f aca="true" t="shared" si="45" ref="BH33:BH47">F33*AO33</f>
        <v>0</v>
      </c>
      <c r="BI33" s="151">
        <f aca="true" t="shared" si="46" ref="BI33:BI47">F33*AP33</f>
        <v>0</v>
      </c>
      <c r="BJ33" s="151">
        <f aca="true" t="shared" si="47" ref="BJ33:BJ47">F33*G33</f>
        <v>0</v>
      </c>
    </row>
    <row r="34" spans="1:62" ht="26.25">
      <c r="A34" s="4" t="s">
        <v>22</v>
      </c>
      <c r="B34" s="4"/>
      <c r="C34" s="4"/>
      <c r="D34" s="67" t="s">
        <v>131</v>
      </c>
      <c r="E34" s="4" t="s">
        <v>219</v>
      </c>
      <c r="F34" s="17">
        <v>23.4</v>
      </c>
      <c r="G34" s="152">
        <v>0</v>
      </c>
      <c r="H34" s="17">
        <f t="shared" si="24"/>
        <v>0</v>
      </c>
      <c r="I34" s="17">
        <f t="shared" si="25"/>
        <v>0</v>
      </c>
      <c r="J34" s="17">
        <f t="shared" si="26"/>
        <v>0</v>
      </c>
      <c r="K34" s="17">
        <v>0.00436</v>
      </c>
      <c r="L34" s="17">
        <f t="shared" si="27"/>
        <v>0.102024</v>
      </c>
      <c r="M34" s="29"/>
      <c r="Z34" s="154">
        <f t="shared" si="28"/>
        <v>0</v>
      </c>
      <c r="AB34" s="154">
        <f t="shared" si="29"/>
        <v>0</v>
      </c>
      <c r="AC34" s="154">
        <f t="shared" si="30"/>
        <v>0</v>
      </c>
      <c r="AD34" s="154">
        <f t="shared" si="31"/>
        <v>0</v>
      </c>
      <c r="AE34" s="154">
        <f t="shared" si="32"/>
        <v>0</v>
      </c>
      <c r="AF34" s="154">
        <f t="shared" si="33"/>
        <v>0</v>
      </c>
      <c r="AG34" s="154">
        <f t="shared" si="34"/>
        <v>0</v>
      </c>
      <c r="AH34" s="154">
        <f t="shared" si="35"/>
        <v>0</v>
      </c>
      <c r="AI34" s="149"/>
      <c r="AJ34" s="151">
        <f t="shared" si="36"/>
        <v>0</v>
      </c>
      <c r="AK34" s="151">
        <f t="shared" si="37"/>
        <v>0</v>
      </c>
      <c r="AL34" s="151">
        <f t="shared" si="38"/>
        <v>0</v>
      </c>
      <c r="AN34" s="154">
        <v>21</v>
      </c>
      <c r="AO34" s="154">
        <f>G34*0.355216491267375</f>
        <v>0</v>
      </c>
      <c r="AP34" s="154">
        <f>G34*(1-0.355216491267375)</f>
        <v>0</v>
      </c>
      <c r="AQ34" s="153" t="s">
        <v>12</v>
      </c>
      <c r="AV34" s="154">
        <f t="shared" si="39"/>
        <v>0</v>
      </c>
      <c r="AW34" s="154">
        <f t="shared" si="40"/>
        <v>0</v>
      </c>
      <c r="AX34" s="154">
        <f t="shared" si="41"/>
        <v>0</v>
      </c>
      <c r="AY34" s="155" t="s">
        <v>252</v>
      </c>
      <c r="AZ34" s="155" t="s">
        <v>268</v>
      </c>
      <c r="BA34" s="149" t="s">
        <v>271</v>
      </c>
      <c r="BC34" s="154">
        <f t="shared" si="42"/>
        <v>0</v>
      </c>
      <c r="BD34" s="154">
        <f t="shared" si="43"/>
        <v>0</v>
      </c>
      <c r="BE34" s="154">
        <v>0</v>
      </c>
      <c r="BF34" s="154">
        <f t="shared" si="44"/>
        <v>0.102024</v>
      </c>
      <c r="BH34" s="151">
        <f t="shared" si="45"/>
        <v>0</v>
      </c>
      <c r="BI34" s="151">
        <f t="shared" si="46"/>
        <v>0</v>
      </c>
      <c r="BJ34" s="151">
        <f t="shared" si="47"/>
        <v>0</v>
      </c>
    </row>
    <row r="35" spans="1:62" ht="12.75">
      <c r="A35" s="4" t="s">
        <v>23</v>
      </c>
      <c r="B35" s="4"/>
      <c r="C35" s="4"/>
      <c r="D35" s="67" t="s">
        <v>132</v>
      </c>
      <c r="E35" s="4" t="s">
        <v>219</v>
      </c>
      <c r="F35" s="17">
        <v>77.9</v>
      </c>
      <c r="G35" s="152">
        <v>0</v>
      </c>
      <c r="H35" s="17">
        <f t="shared" si="24"/>
        <v>0</v>
      </c>
      <c r="I35" s="17">
        <f t="shared" si="25"/>
        <v>0</v>
      </c>
      <c r="J35" s="17">
        <f t="shared" si="26"/>
        <v>0</v>
      </c>
      <c r="K35" s="17">
        <v>0.00287</v>
      </c>
      <c r="L35" s="17">
        <f t="shared" si="27"/>
        <v>0.22357300000000002</v>
      </c>
      <c r="M35" s="29"/>
      <c r="Z35" s="154">
        <f t="shared" si="28"/>
        <v>0</v>
      </c>
      <c r="AB35" s="154">
        <f t="shared" si="29"/>
        <v>0</v>
      </c>
      <c r="AC35" s="154">
        <f t="shared" si="30"/>
        <v>0</v>
      </c>
      <c r="AD35" s="154">
        <f t="shared" si="31"/>
        <v>0</v>
      </c>
      <c r="AE35" s="154">
        <f t="shared" si="32"/>
        <v>0</v>
      </c>
      <c r="AF35" s="154">
        <f t="shared" si="33"/>
        <v>0</v>
      </c>
      <c r="AG35" s="154">
        <f t="shared" si="34"/>
        <v>0</v>
      </c>
      <c r="AH35" s="154">
        <f t="shared" si="35"/>
        <v>0</v>
      </c>
      <c r="AI35" s="149"/>
      <c r="AJ35" s="151">
        <f t="shared" si="36"/>
        <v>0</v>
      </c>
      <c r="AK35" s="151">
        <f t="shared" si="37"/>
        <v>0</v>
      </c>
      <c r="AL35" s="151">
        <f t="shared" si="38"/>
        <v>0</v>
      </c>
      <c r="AN35" s="154">
        <v>21</v>
      </c>
      <c r="AO35" s="154">
        <f>G35*0</f>
        <v>0</v>
      </c>
      <c r="AP35" s="154">
        <f>G35*(1-0)</f>
        <v>0</v>
      </c>
      <c r="AQ35" s="153" t="s">
        <v>12</v>
      </c>
      <c r="AV35" s="154">
        <f t="shared" si="39"/>
        <v>0</v>
      </c>
      <c r="AW35" s="154">
        <f t="shared" si="40"/>
        <v>0</v>
      </c>
      <c r="AX35" s="154">
        <f t="shared" si="41"/>
        <v>0</v>
      </c>
      <c r="AY35" s="155" t="s">
        <v>252</v>
      </c>
      <c r="AZ35" s="155" t="s">
        <v>268</v>
      </c>
      <c r="BA35" s="149" t="s">
        <v>271</v>
      </c>
      <c r="BC35" s="154">
        <f t="shared" si="42"/>
        <v>0</v>
      </c>
      <c r="BD35" s="154">
        <f t="shared" si="43"/>
        <v>0</v>
      </c>
      <c r="BE35" s="154">
        <v>0</v>
      </c>
      <c r="BF35" s="154">
        <f t="shared" si="44"/>
        <v>0.22357300000000002</v>
      </c>
      <c r="BH35" s="151">
        <f t="shared" si="45"/>
        <v>0</v>
      </c>
      <c r="BI35" s="151">
        <f t="shared" si="46"/>
        <v>0</v>
      </c>
      <c r="BJ35" s="151">
        <f t="shared" si="47"/>
        <v>0</v>
      </c>
    </row>
    <row r="36" spans="1:62" ht="12.75">
      <c r="A36" s="4" t="s">
        <v>24</v>
      </c>
      <c r="B36" s="4"/>
      <c r="C36" s="4"/>
      <c r="D36" s="67" t="s">
        <v>133</v>
      </c>
      <c r="E36" s="4" t="s">
        <v>219</v>
      </c>
      <c r="F36" s="17">
        <v>25.1</v>
      </c>
      <c r="G36" s="152">
        <v>0</v>
      </c>
      <c r="H36" s="17">
        <f t="shared" si="24"/>
        <v>0</v>
      </c>
      <c r="I36" s="17">
        <f t="shared" si="25"/>
        <v>0</v>
      </c>
      <c r="J36" s="17">
        <f t="shared" si="26"/>
        <v>0</v>
      </c>
      <c r="K36" s="17">
        <v>0.00207</v>
      </c>
      <c r="L36" s="17">
        <f t="shared" si="27"/>
        <v>0.051956999999999996</v>
      </c>
      <c r="M36" s="29"/>
      <c r="Z36" s="154">
        <f t="shared" si="28"/>
        <v>0</v>
      </c>
      <c r="AB36" s="154">
        <f t="shared" si="29"/>
        <v>0</v>
      </c>
      <c r="AC36" s="154">
        <f t="shared" si="30"/>
        <v>0</v>
      </c>
      <c r="AD36" s="154">
        <f t="shared" si="31"/>
        <v>0</v>
      </c>
      <c r="AE36" s="154">
        <f t="shared" si="32"/>
        <v>0</v>
      </c>
      <c r="AF36" s="154">
        <f t="shared" si="33"/>
        <v>0</v>
      </c>
      <c r="AG36" s="154">
        <f t="shared" si="34"/>
        <v>0</v>
      </c>
      <c r="AH36" s="154">
        <f t="shared" si="35"/>
        <v>0</v>
      </c>
      <c r="AI36" s="149"/>
      <c r="AJ36" s="151">
        <f t="shared" si="36"/>
        <v>0</v>
      </c>
      <c r="AK36" s="151">
        <f t="shared" si="37"/>
        <v>0</v>
      </c>
      <c r="AL36" s="151">
        <f t="shared" si="38"/>
        <v>0</v>
      </c>
      <c r="AN36" s="154">
        <v>21</v>
      </c>
      <c r="AO36" s="154">
        <f>G36*0.295071193866375</f>
        <v>0</v>
      </c>
      <c r="AP36" s="154">
        <f>G36*(1-0.295071193866375)</f>
        <v>0</v>
      </c>
      <c r="AQ36" s="153" t="s">
        <v>12</v>
      </c>
      <c r="AV36" s="154">
        <f t="shared" si="39"/>
        <v>0</v>
      </c>
      <c r="AW36" s="154">
        <f t="shared" si="40"/>
        <v>0</v>
      </c>
      <c r="AX36" s="154">
        <f t="shared" si="41"/>
        <v>0</v>
      </c>
      <c r="AY36" s="155" t="s">
        <v>252</v>
      </c>
      <c r="AZ36" s="155" t="s">
        <v>268</v>
      </c>
      <c r="BA36" s="149" t="s">
        <v>271</v>
      </c>
      <c r="BC36" s="154">
        <f t="shared" si="42"/>
        <v>0</v>
      </c>
      <c r="BD36" s="154">
        <f t="shared" si="43"/>
        <v>0</v>
      </c>
      <c r="BE36" s="154">
        <v>0</v>
      </c>
      <c r="BF36" s="154">
        <f t="shared" si="44"/>
        <v>0.051956999999999996</v>
      </c>
      <c r="BH36" s="151">
        <f t="shared" si="45"/>
        <v>0</v>
      </c>
      <c r="BI36" s="151">
        <f t="shared" si="46"/>
        <v>0</v>
      </c>
      <c r="BJ36" s="151">
        <f t="shared" si="47"/>
        <v>0</v>
      </c>
    </row>
    <row r="37" spans="1:62" ht="12.75">
      <c r="A37" s="4" t="s">
        <v>25</v>
      </c>
      <c r="B37" s="4"/>
      <c r="C37" s="4"/>
      <c r="D37" s="67" t="s">
        <v>134</v>
      </c>
      <c r="E37" s="4" t="s">
        <v>219</v>
      </c>
      <c r="F37" s="17">
        <v>104</v>
      </c>
      <c r="G37" s="152">
        <v>0</v>
      </c>
      <c r="H37" s="17">
        <f t="shared" si="24"/>
        <v>0</v>
      </c>
      <c r="I37" s="17">
        <f t="shared" si="25"/>
        <v>0</v>
      </c>
      <c r="J37" s="17">
        <f t="shared" si="26"/>
        <v>0</v>
      </c>
      <c r="K37" s="17">
        <v>0.00429</v>
      </c>
      <c r="L37" s="17">
        <f t="shared" si="27"/>
        <v>0.44616000000000006</v>
      </c>
      <c r="M37" s="29"/>
      <c r="Z37" s="154">
        <f t="shared" si="28"/>
        <v>0</v>
      </c>
      <c r="AB37" s="154">
        <f t="shared" si="29"/>
        <v>0</v>
      </c>
      <c r="AC37" s="154">
        <f t="shared" si="30"/>
        <v>0</v>
      </c>
      <c r="AD37" s="154">
        <f t="shared" si="31"/>
        <v>0</v>
      </c>
      <c r="AE37" s="154">
        <f t="shared" si="32"/>
        <v>0</v>
      </c>
      <c r="AF37" s="154">
        <f t="shared" si="33"/>
        <v>0</v>
      </c>
      <c r="AG37" s="154">
        <f t="shared" si="34"/>
        <v>0</v>
      </c>
      <c r="AH37" s="154">
        <f t="shared" si="35"/>
        <v>0</v>
      </c>
      <c r="AI37" s="149"/>
      <c r="AJ37" s="151">
        <f t="shared" si="36"/>
        <v>0</v>
      </c>
      <c r="AK37" s="151">
        <f t="shared" si="37"/>
        <v>0</v>
      </c>
      <c r="AL37" s="151">
        <f t="shared" si="38"/>
        <v>0</v>
      </c>
      <c r="AN37" s="154">
        <v>21</v>
      </c>
      <c r="AO37" s="154">
        <f>G37*0.406229211495035</f>
        <v>0</v>
      </c>
      <c r="AP37" s="154">
        <f>G37*(1-0.406229211495035)</f>
        <v>0</v>
      </c>
      <c r="AQ37" s="153" t="s">
        <v>12</v>
      </c>
      <c r="AV37" s="154">
        <f t="shared" si="39"/>
        <v>0</v>
      </c>
      <c r="AW37" s="154">
        <f t="shared" si="40"/>
        <v>0</v>
      </c>
      <c r="AX37" s="154">
        <f t="shared" si="41"/>
        <v>0</v>
      </c>
      <c r="AY37" s="155" t="s">
        <v>252</v>
      </c>
      <c r="AZ37" s="155" t="s">
        <v>268</v>
      </c>
      <c r="BA37" s="149" t="s">
        <v>271</v>
      </c>
      <c r="BC37" s="154">
        <f t="shared" si="42"/>
        <v>0</v>
      </c>
      <c r="BD37" s="154">
        <f t="shared" si="43"/>
        <v>0</v>
      </c>
      <c r="BE37" s="154">
        <v>0</v>
      </c>
      <c r="BF37" s="154">
        <f t="shared" si="44"/>
        <v>0.44616000000000006</v>
      </c>
      <c r="BH37" s="151">
        <f t="shared" si="45"/>
        <v>0</v>
      </c>
      <c r="BI37" s="151">
        <f t="shared" si="46"/>
        <v>0</v>
      </c>
      <c r="BJ37" s="151">
        <f t="shared" si="47"/>
        <v>0</v>
      </c>
    </row>
    <row r="38" spans="1:62" ht="12.75">
      <c r="A38" s="4" t="s">
        <v>26</v>
      </c>
      <c r="B38" s="4"/>
      <c r="C38" s="4"/>
      <c r="D38" s="67" t="s">
        <v>135</v>
      </c>
      <c r="E38" s="4" t="s">
        <v>219</v>
      </c>
      <c r="F38" s="17">
        <v>129.1</v>
      </c>
      <c r="G38" s="152">
        <v>0</v>
      </c>
      <c r="H38" s="17">
        <f t="shared" si="24"/>
        <v>0</v>
      </c>
      <c r="I38" s="17">
        <f t="shared" si="25"/>
        <v>0</v>
      </c>
      <c r="J38" s="17">
        <f t="shared" si="26"/>
        <v>0</v>
      </c>
      <c r="K38" s="17">
        <v>0.00252</v>
      </c>
      <c r="L38" s="17">
        <f t="shared" si="27"/>
        <v>0.325332</v>
      </c>
      <c r="M38" s="29"/>
      <c r="Z38" s="154">
        <f t="shared" si="28"/>
        <v>0</v>
      </c>
      <c r="AB38" s="154">
        <f t="shared" si="29"/>
        <v>0</v>
      </c>
      <c r="AC38" s="154">
        <f t="shared" si="30"/>
        <v>0</v>
      </c>
      <c r="AD38" s="154">
        <f t="shared" si="31"/>
        <v>0</v>
      </c>
      <c r="AE38" s="154">
        <f t="shared" si="32"/>
        <v>0</v>
      </c>
      <c r="AF38" s="154">
        <f t="shared" si="33"/>
        <v>0</v>
      </c>
      <c r="AG38" s="154">
        <f t="shared" si="34"/>
        <v>0</v>
      </c>
      <c r="AH38" s="154">
        <f t="shared" si="35"/>
        <v>0</v>
      </c>
      <c r="AI38" s="149"/>
      <c r="AJ38" s="151">
        <f t="shared" si="36"/>
        <v>0</v>
      </c>
      <c r="AK38" s="151">
        <f t="shared" si="37"/>
        <v>0</v>
      </c>
      <c r="AL38" s="151">
        <f t="shared" si="38"/>
        <v>0</v>
      </c>
      <c r="AN38" s="154">
        <v>21</v>
      </c>
      <c r="AO38" s="154">
        <f>G38*0</f>
        <v>0</v>
      </c>
      <c r="AP38" s="154">
        <f>G38*(1-0)</f>
        <v>0</v>
      </c>
      <c r="AQ38" s="153" t="s">
        <v>12</v>
      </c>
      <c r="AV38" s="154">
        <f t="shared" si="39"/>
        <v>0</v>
      </c>
      <c r="AW38" s="154">
        <f t="shared" si="40"/>
        <v>0</v>
      </c>
      <c r="AX38" s="154">
        <f t="shared" si="41"/>
        <v>0</v>
      </c>
      <c r="AY38" s="155" t="s">
        <v>252</v>
      </c>
      <c r="AZ38" s="155" t="s">
        <v>268</v>
      </c>
      <c r="BA38" s="149" t="s">
        <v>271</v>
      </c>
      <c r="BC38" s="154">
        <f t="shared" si="42"/>
        <v>0</v>
      </c>
      <c r="BD38" s="154">
        <f t="shared" si="43"/>
        <v>0</v>
      </c>
      <c r="BE38" s="154">
        <v>0</v>
      </c>
      <c r="BF38" s="154">
        <f t="shared" si="44"/>
        <v>0.325332</v>
      </c>
      <c r="BH38" s="151">
        <f t="shared" si="45"/>
        <v>0</v>
      </c>
      <c r="BI38" s="151">
        <f t="shared" si="46"/>
        <v>0</v>
      </c>
      <c r="BJ38" s="151">
        <f t="shared" si="47"/>
        <v>0</v>
      </c>
    </row>
    <row r="39" spans="1:62" ht="12.75">
      <c r="A39" s="4" t="s">
        <v>27</v>
      </c>
      <c r="B39" s="4"/>
      <c r="C39" s="4"/>
      <c r="D39" s="67" t="s">
        <v>136</v>
      </c>
      <c r="E39" s="4" t="s">
        <v>219</v>
      </c>
      <c r="F39" s="17">
        <v>52</v>
      </c>
      <c r="G39" s="152">
        <v>0</v>
      </c>
      <c r="H39" s="17">
        <f t="shared" si="24"/>
        <v>0</v>
      </c>
      <c r="I39" s="17">
        <f t="shared" si="25"/>
        <v>0</v>
      </c>
      <c r="J39" s="17">
        <f t="shared" si="26"/>
        <v>0</v>
      </c>
      <c r="K39" s="17">
        <v>0.00513</v>
      </c>
      <c r="L39" s="17">
        <f t="shared" si="27"/>
        <v>0.26676</v>
      </c>
      <c r="M39" s="29"/>
      <c r="Z39" s="154">
        <f t="shared" si="28"/>
        <v>0</v>
      </c>
      <c r="AB39" s="154">
        <f t="shared" si="29"/>
        <v>0</v>
      </c>
      <c r="AC39" s="154">
        <f t="shared" si="30"/>
        <v>0</v>
      </c>
      <c r="AD39" s="154">
        <f t="shared" si="31"/>
        <v>0</v>
      </c>
      <c r="AE39" s="154">
        <f t="shared" si="32"/>
        <v>0</v>
      </c>
      <c r="AF39" s="154">
        <f t="shared" si="33"/>
        <v>0</v>
      </c>
      <c r="AG39" s="154">
        <f t="shared" si="34"/>
        <v>0</v>
      </c>
      <c r="AH39" s="154">
        <f t="shared" si="35"/>
        <v>0</v>
      </c>
      <c r="AI39" s="149"/>
      <c r="AJ39" s="151">
        <f t="shared" si="36"/>
        <v>0</v>
      </c>
      <c r="AK39" s="151">
        <f t="shared" si="37"/>
        <v>0</v>
      </c>
      <c r="AL39" s="151">
        <f t="shared" si="38"/>
        <v>0</v>
      </c>
      <c r="AN39" s="154">
        <v>21</v>
      </c>
      <c r="AO39" s="154">
        <f>G39*0.447522464698331</f>
        <v>0</v>
      </c>
      <c r="AP39" s="154">
        <f>G39*(1-0.447522464698331)</f>
        <v>0</v>
      </c>
      <c r="AQ39" s="153" t="s">
        <v>12</v>
      </c>
      <c r="AV39" s="154">
        <f t="shared" si="39"/>
        <v>0</v>
      </c>
      <c r="AW39" s="154">
        <f t="shared" si="40"/>
        <v>0</v>
      </c>
      <c r="AX39" s="154">
        <f t="shared" si="41"/>
        <v>0</v>
      </c>
      <c r="AY39" s="155" t="s">
        <v>252</v>
      </c>
      <c r="AZ39" s="155" t="s">
        <v>268</v>
      </c>
      <c r="BA39" s="149" t="s">
        <v>271</v>
      </c>
      <c r="BC39" s="154">
        <f t="shared" si="42"/>
        <v>0</v>
      </c>
      <c r="BD39" s="154">
        <f t="shared" si="43"/>
        <v>0</v>
      </c>
      <c r="BE39" s="154">
        <v>0</v>
      </c>
      <c r="BF39" s="154">
        <f t="shared" si="44"/>
        <v>0.26676</v>
      </c>
      <c r="BH39" s="151">
        <f t="shared" si="45"/>
        <v>0</v>
      </c>
      <c r="BI39" s="151">
        <f t="shared" si="46"/>
        <v>0</v>
      </c>
      <c r="BJ39" s="151">
        <f t="shared" si="47"/>
        <v>0</v>
      </c>
    </row>
    <row r="40" spans="1:62" ht="26.25">
      <c r="A40" s="4" t="s">
        <v>28</v>
      </c>
      <c r="B40" s="4"/>
      <c r="C40" s="4"/>
      <c r="D40" s="67" t="s">
        <v>137</v>
      </c>
      <c r="E40" s="4" t="s">
        <v>219</v>
      </c>
      <c r="F40" s="17">
        <v>11.5</v>
      </c>
      <c r="G40" s="152">
        <v>0</v>
      </c>
      <c r="H40" s="17">
        <f t="shared" si="24"/>
        <v>0</v>
      </c>
      <c r="I40" s="17">
        <f t="shared" si="25"/>
        <v>0</v>
      </c>
      <c r="J40" s="17">
        <f t="shared" si="26"/>
        <v>0</v>
      </c>
      <c r="K40" s="17">
        <v>0.00435</v>
      </c>
      <c r="L40" s="17">
        <f t="shared" si="27"/>
        <v>0.050025</v>
      </c>
      <c r="M40" s="29"/>
      <c r="Z40" s="154">
        <f t="shared" si="28"/>
        <v>0</v>
      </c>
      <c r="AB40" s="154">
        <f t="shared" si="29"/>
        <v>0</v>
      </c>
      <c r="AC40" s="154">
        <f t="shared" si="30"/>
        <v>0</v>
      </c>
      <c r="AD40" s="154">
        <f t="shared" si="31"/>
        <v>0</v>
      </c>
      <c r="AE40" s="154">
        <f t="shared" si="32"/>
        <v>0</v>
      </c>
      <c r="AF40" s="154">
        <f t="shared" si="33"/>
        <v>0</v>
      </c>
      <c r="AG40" s="154">
        <f t="shared" si="34"/>
        <v>0</v>
      </c>
      <c r="AH40" s="154">
        <f t="shared" si="35"/>
        <v>0</v>
      </c>
      <c r="AI40" s="149"/>
      <c r="AJ40" s="151">
        <f t="shared" si="36"/>
        <v>0</v>
      </c>
      <c r="AK40" s="151">
        <f t="shared" si="37"/>
        <v>0</v>
      </c>
      <c r="AL40" s="151">
        <f t="shared" si="38"/>
        <v>0</v>
      </c>
      <c r="AN40" s="154">
        <v>21</v>
      </c>
      <c r="AO40" s="154">
        <f>G40*0.220492091388401</f>
        <v>0</v>
      </c>
      <c r="AP40" s="154">
        <f>G40*(1-0.220492091388401)</f>
        <v>0</v>
      </c>
      <c r="AQ40" s="153" t="s">
        <v>12</v>
      </c>
      <c r="AV40" s="154">
        <f t="shared" si="39"/>
        <v>0</v>
      </c>
      <c r="AW40" s="154">
        <f t="shared" si="40"/>
        <v>0</v>
      </c>
      <c r="AX40" s="154">
        <f t="shared" si="41"/>
        <v>0</v>
      </c>
      <c r="AY40" s="155" t="s">
        <v>252</v>
      </c>
      <c r="AZ40" s="155" t="s">
        <v>268</v>
      </c>
      <c r="BA40" s="149" t="s">
        <v>271</v>
      </c>
      <c r="BC40" s="154">
        <f t="shared" si="42"/>
        <v>0</v>
      </c>
      <c r="BD40" s="154">
        <f t="shared" si="43"/>
        <v>0</v>
      </c>
      <c r="BE40" s="154">
        <v>0</v>
      </c>
      <c r="BF40" s="154">
        <f t="shared" si="44"/>
        <v>0.050025</v>
      </c>
      <c r="BH40" s="151">
        <f t="shared" si="45"/>
        <v>0</v>
      </c>
      <c r="BI40" s="151">
        <f t="shared" si="46"/>
        <v>0</v>
      </c>
      <c r="BJ40" s="151">
        <f t="shared" si="47"/>
        <v>0</v>
      </c>
    </row>
    <row r="41" spans="1:62" ht="26.25">
      <c r="A41" s="4" t="s">
        <v>29</v>
      </c>
      <c r="B41" s="4"/>
      <c r="C41" s="4"/>
      <c r="D41" s="67" t="s">
        <v>138</v>
      </c>
      <c r="E41" s="4" t="s">
        <v>219</v>
      </c>
      <c r="F41" s="17">
        <v>7.3</v>
      </c>
      <c r="G41" s="152">
        <v>0</v>
      </c>
      <c r="H41" s="17">
        <f t="shared" si="24"/>
        <v>0</v>
      </c>
      <c r="I41" s="17">
        <f t="shared" si="25"/>
        <v>0</v>
      </c>
      <c r="J41" s="17">
        <f t="shared" si="26"/>
        <v>0</v>
      </c>
      <c r="K41" s="17">
        <v>0.00597</v>
      </c>
      <c r="L41" s="17">
        <f t="shared" si="27"/>
        <v>0.043580999999999995</v>
      </c>
      <c r="M41" s="29"/>
      <c r="Z41" s="154">
        <f t="shared" si="28"/>
        <v>0</v>
      </c>
      <c r="AB41" s="154">
        <f t="shared" si="29"/>
        <v>0</v>
      </c>
      <c r="AC41" s="154">
        <f t="shared" si="30"/>
        <v>0</v>
      </c>
      <c r="AD41" s="154">
        <f t="shared" si="31"/>
        <v>0</v>
      </c>
      <c r="AE41" s="154">
        <f t="shared" si="32"/>
        <v>0</v>
      </c>
      <c r="AF41" s="154">
        <f t="shared" si="33"/>
        <v>0</v>
      </c>
      <c r="AG41" s="154">
        <f t="shared" si="34"/>
        <v>0</v>
      </c>
      <c r="AH41" s="154">
        <f t="shared" si="35"/>
        <v>0</v>
      </c>
      <c r="AI41" s="149"/>
      <c r="AJ41" s="151">
        <f t="shared" si="36"/>
        <v>0</v>
      </c>
      <c r="AK41" s="151">
        <f t="shared" si="37"/>
        <v>0</v>
      </c>
      <c r="AL41" s="151">
        <f t="shared" si="38"/>
        <v>0</v>
      </c>
      <c r="AN41" s="154">
        <v>21</v>
      </c>
      <c r="AO41" s="154">
        <f>G41*0.277046627188078</f>
        <v>0</v>
      </c>
      <c r="AP41" s="154">
        <f>G41*(1-0.277046627188078)</f>
        <v>0</v>
      </c>
      <c r="AQ41" s="153" t="s">
        <v>12</v>
      </c>
      <c r="AV41" s="154">
        <f t="shared" si="39"/>
        <v>0</v>
      </c>
      <c r="AW41" s="154">
        <f t="shared" si="40"/>
        <v>0</v>
      </c>
      <c r="AX41" s="154">
        <f t="shared" si="41"/>
        <v>0</v>
      </c>
      <c r="AY41" s="155" t="s">
        <v>252</v>
      </c>
      <c r="AZ41" s="155" t="s">
        <v>268</v>
      </c>
      <c r="BA41" s="149" t="s">
        <v>271</v>
      </c>
      <c r="BC41" s="154">
        <f t="shared" si="42"/>
        <v>0</v>
      </c>
      <c r="BD41" s="154">
        <f t="shared" si="43"/>
        <v>0</v>
      </c>
      <c r="BE41" s="154">
        <v>0</v>
      </c>
      <c r="BF41" s="154">
        <f t="shared" si="44"/>
        <v>0.043580999999999995</v>
      </c>
      <c r="BH41" s="151">
        <f t="shared" si="45"/>
        <v>0</v>
      </c>
      <c r="BI41" s="151">
        <f t="shared" si="46"/>
        <v>0</v>
      </c>
      <c r="BJ41" s="151">
        <f t="shared" si="47"/>
        <v>0</v>
      </c>
    </row>
    <row r="42" spans="1:62" ht="12.75">
      <c r="A42" s="4" t="s">
        <v>30</v>
      </c>
      <c r="B42" s="4"/>
      <c r="C42" s="4"/>
      <c r="D42" s="67" t="s">
        <v>139</v>
      </c>
      <c r="E42" s="4" t="s">
        <v>219</v>
      </c>
      <c r="F42" s="17">
        <v>18.8</v>
      </c>
      <c r="G42" s="152">
        <v>0</v>
      </c>
      <c r="H42" s="17">
        <f t="shared" si="24"/>
        <v>0</v>
      </c>
      <c r="I42" s="17">
        <f t="shared" si="25"/>
        <v>0</v>
      </c>
      <c r="J42" s="17">
        <f t="shared" si="26"/>
        <v>0</v>
      </c>
      <c r="K42" s="17">
        <v>0.00337</v>
      </c>
      <c r="L42" s="17">
        <f t="shared" si="27"/>
        <v>0.06335600000000001</v>
      </c>
      <c r="M42" s="29"/>
      <c r="Z42" s="154">
        <f t="shared" si="28"/>
        <v>0</v>
      </c>
      <c r="AB42" s="154">
        <f t="shared" si="29"/>
        <v>0</v>
      </c>
      <c r="AC42" s="154">
        <f t="shared" si="30"/>
        <v>0</v>
      </c>
      <c r="AD42" s="154">
        <f t="shared" si="31"/>
        <v>0</v>
      </c>
      <c r="AE42" s="154">
        <f t="shared" si="32"/>
        <v>0</v>
      </c>
      <c r="AF42" s="154">
        <f t="shared" si="33"/>
        <v>0</v>
      </c>
      <c r="AG42" s="154">
        <f t="shared" si="34"/>
        <v>0</v>
      </c>
      <c r="AH42" s="154">
        <f t="shared" si="35"/>
        <v>0</v>
      </c>
      <c r="AI42" s="149"/>
      <c r="AJ42" s="151">
        <f t="shared" si="36"/>
        <v>0</v>
      </c>
      <c r="AK42" s="151">
        <f t="shared" si="37"/>
        <v>0</v>
      </c>
      <c r="AL42" s="151">
        <f t="shared" si="38"/>
        <v>0</v>
      </c>
      <c r="AN42" s="154">
        <v>21</v>
      </c>
      <c r="AO42" s="154">
        <f>G42*0</f>
        <v>0</v>
      </c>
      <c r="AP42" s="154">
        <f>G42*(1-0)</f>
        <v>0</v>
      </c>
      <c r="AQ42" s="153" t="s">
        <v>12</v>
      </c>
      <c r="AV42" s="154">
        <f t="shared" si="39"/>
        <v>0</v>
      </c>
      <c r="AW42" s="154">
        <f t="shared" si="40"/>
        <v>0</v>
      </c>
      <c r="AX42" s="154">
        <f t="shared" si="41"/>
        <v>0</v>
      </c>
      <c r="AY42" s="155" t="s">
        <v>252</v>
      </c>
      <c r="AZ42" s="155" t="s">
        <v>268</v>
      </c>
      <c r="BA42" s="149" t="s">
        <v>271</v>
      </c>
      <c r="BC42" s="154">
        <f t="shared" si="42"/>
        <v>0</v>
      </c>
      <c r="BD42" s="154">
        <f t="shared" si="43"/>
        <v>0</v>
      </c>
      <c r="BE42" s="154">
        <v>0</v>
      </c>
      <c r="BF42" s="154">
        <f t="shared" si="44"/>
        <v>0.06335600000000001</v>
      </c>
      <c r="BH42" s="151">
        <f t="shared" si="45"/>
        <v>0</v>
      </c>
      <c r="BI42" s="151">
        <f t="shared" si="46"/>
        <v>0</v>
      </c>
      <c r="BJ42" s="151">
        <f t="shared" si="47"/>
        <v>0</v>
      </c>
    </row>
    <row r="43" spans="1:62" ht="26.25">
      <c r="A43" s="4" t="s">
        <v>31</v>
      </c>
      <c r="B43" s="4"/>
      <c r="C43" s="4"/>
      <c r="D43" s="67" t="s">
        <v>140</v>
      </c>
      <c r="E43" s="4" t="s">
        <v>219</v>
      </c>
      <c r="F43" s="17">
        <v>5.2</v>
      </c>
      <c r="G43" s="152">
        <v>0</v>
      </c>
      <c r="H43" s="17">
        <f t="shared" si="24"/>
        <v>0</v>
      </c>
      <c r="I43" s="17">
        <f t="shared" si="25"/>
        <v>0</v>
      </c>
      <c r="J43" s="17">
        <f t="shared" si="26"/>
        <v>0</v>
      </c>
      <c r="K43" s="17">
        <v>0.00469</v>
      </c>
      <c r="L43" s="17">
        <f t="shared" si="27"/>
        <v>0.024388</v>
      </c>
      <c r="M43" s="29"/>
      <c r="Z43" s="154">
        <f t="shared" si="28"/>
        <v>0</v>
      </c>
      <c r="AB43" s="154">
        <f t="shared" si="29"/>
        <v>0</v>
      </c>
      <c r="AC43" s="154">
        <f t="shared" si="30"/>
        <v>0</v>
      </c>
      <c r="AD43" s="154">
        <f t="shared" si="31"/>
        <v>0</v>
      </c>
      <c r="AE43" s="154">
        <f t="shared" si="32"/>
        <v>0</v>
      </c>
      <c r="AF43" s="154">
        <f t="shared" si="33"/>
        <v>0</v>
      </c>
      <c r="AG43" s="154">
        <f t="shared" si="34"/>
        <v>0</v>
      </c>
      <c r="AH43" s="154">
        <f t="shared" si="35"/>
        <v>0</v>
      </c>
      <c r="AI43" s="149"/>
      <c r="AJ43" s="151">
        <f t="shared" si="36"/>
        <v>0</v>
      </c>
      <c r="AK43" s="151">
        <f t="shared" si="37"/>
        <v>0</v>
      </c>
      <c r="AL43" s="151">
        <f t="shared" si="38"/>
        <v>0</v>
      </c>
      <c r="AN43" s="154">
        <v>21</v>
      </c>
      <c r="AO43" s="154">
        <f>G43*0.273010664479081</f>
        <v>0</v>
      </c>
      <c r="AP43" s="154">
        <f>G43*(1-0.273010664479081)</f>
        <v>0</v>
      </c>
      <c r="AQ43" s="153" t="s">
        <v>12</v>
      </c>
      <c r="AV43" s="154">
        <f t="shared" si="39"/>
        <v>0</v>
      </c>
      <c r="AW43" s="154">
        <f t="shared" si="40"/>
        <v>0</v>
      </c>
      <c r="AX43" s="154">
        <f t="shared" si="41"/>
        <v>0</v>
      </c>
      <c r="AY43" s="155" t="s">
        <v>252</v>
      </c>
      <c r="AZ43" s="155" t="s">
        <v>268</v>
      </c>
      <c r="BA43" s="149" t="s">
        <v>271</v>
      </c>
      <c r="BC43" s="154">
        <f t="shared" si="42"/>
        <v>0</v>
      </c>
      <c r="BD43" s="154">
        <f t="shared" si="43"/>
        <v>0</v>
      </c>
      <c r="BE43" s="154">
        <v>0</v>
      </c>
      <c r="BF43" s="154">
        <f t="shared" si="44"/>
        <v>0.024388</v>
      </c>
      <c r="BH43" s="151">
        <f t="shared" si="45"/>
        <v>0</v>
      </c>
      <c r="BI43" s="151">
        <f t="shared" si="46"/>
        <v>0</v>
      </c>
      <c r="BJ43" s="151">
        <f t="shared" si="47"/>
        <v>0</v>
      </c>
    </row>
    <row r="44" spans="1:62" ht="12.75">
      <c r="A44" s="4" t="s">
        <v>32</v>
      </c>
      <c r="B44" s="4"/>
      <c r="C44" s="4"/>
      <c r="D44" s="67" t="s">
        <v>141</v>
      </c>
      <c r="E44" s="4" t="s">
        <v>219</v>
      </c>
      <c r="F44" s="17">
        <v>5.2</v>
      </c>
      <c r="G44" s="152">
        <v>0</v>
      </c>
      <c r="H44" s="17">
        <f t="shared" si="24"/>
        <v>0</v>
      </c>
      <c r="I44" s="17">
        <f t="shared" si="25"/>
        <v>0</v>
      </c>
      <c r="J44" s="17">
        <f t="shared" si="26"/>
        <v>0</v>
      </c>
      <c r="K44" s="17">
        <v>0.00418</v>
      </c>
      <c r="L44" s="17">
        <f t="shared" si="27"/>
        <v>0.021736</v>
      </c>
      <c r="M44" s="29"/>
      <c r="Z44" s="154">
        <f t="shared" si="28"/>
        <v>0</v>
      </c>
      <c r="AB44" s="154">
        <f t="shared" si="29"/>
        <v>0</v>
      </c>
      <c r="AC44" s="154">
        <f t="shared" si="30"/>
        <v>0</v>
      </c>
      <c r="AD44" s="154">
        <f t="shared" si="31"/>
        <v>0</v>
      </c>
      <c r="AE44" s="154">
        <f t="shared" si="32"/>
        <v>0</v>
      </c>
      <c r="AF44" s="154">
        <f t="shared" si="33"/>
        <v>0</v>
      </c>
      <c r="AG44" s="154">
        <f t="shared" si="34"/>
        <v>0</v>
      </c>
      <c r="AH44" s="154">
        <f t="shared" si="35"/>
        <v>0</v>
      </c>
      <c r="AI44" s="149"/>
      <c r="AJ44" s="151">
        <f t="shared" si="36"/>
        <v>0</v>
      </c>
      <c r="AK44" s="151">
        <f t="shared" si="37"/>
        <v>0</v>
      </c>
      <c r="AL44" s="151">
        <f t="shared" si="38"/>
        <v>0</v>
      </c>
      <c r="AN44" s="154">
        <v>21</v>
      </c>
      <c r="AO44" s="154">
        <f>G44*0</f>
        <v>0</v>
      </c>
      <c r="AP44" s="154">
        <f>G44*(1-0)</f>
        <v>0</v>
      </c>
      <c r="AQ44" s="153" t="s">
        <v>12</v>
      </c>
      <c r="AV44" s="154">
        <f t="shared" si="39"/>
        <v>0</v>
      </c>
      <c r="AW44" s="154">
        <f t="shared" si="40"/>
        <v>0</v>
      </c>
      <c r="AX44" s="154">
        <f t="shared" si="41"/>
        <v>0</v>
      </c>
      <c r="AY44" s="155" t="s">
        <v>252</v>
      </c>
      <c r="AZ44" s="155" t="s">
        <v>268</v>
      </c>
      <c r="BA44" s="149" t="s">
        <v>271</v>
      </c>
      <c r="BC44" s="154">
        <f t="shared" si="42"/>
        <v>0</v>
      </c>
      <c r="BD44" s="154">
        <f t="shared" si="43"/>
        <v>0</v>
      </c>
      <c r="BE44" s="154">
        <v>0</v>
      </c>
      <c r="BF44" s="154">
        <f t="shared" si="44"/>
        <v>0.021736</v>
      </c>
      <c r="BH44" s="151">
        <f t="shared" si="45"/>
        <v>0</v>
      </c>
      <c r="BI44" s="151">
        <f t="shared" si="46"/>
        <v>0</v>
      </c>
      <c r="BJ44" s="151">
        <f t="shared" si="47"/>
        <v>0</v>
      </c>
    </row>
    <row r="45" spans="1:62" ht="26.25">
      <c r="A45" s="4" t="s">
        <v>33</v>
      </c>
      <c r="B45" s="4"/>
      <c r="C45" s="4"/>
      <c r="D45" s="67" t="s">
        <v>142</v>
      </c>
      <c r="E45" s="4" t="s">
        <v>219</v>
      </c>
      <c r="F45" s="17">
        <v>5</v>
      </c>
      <c r="G45" s="152">
        <v>0</v>
      </c>
      <c r="H45" s="17">
        <f t="shared" si="24"/>
        <v>0</v>
      </c>
      <c r="I45" s="17">
        <f t="shared" si="25"/>
        <v>0</v>
      </c>
      <c r="J45" s="17">
        <f t="shared" si="26"/>
        <v>0</v>
      </c>
      <c r="K45" s="17">
        <v>0.00443</v>
      </c>
      <c r="L45" s="17">
        <f t="shared" si="27"/>
        <v>0.02215</v>
      </c>
      <c r="M45" s="29"/>
      <c r="Z45" s="154">
        <f t="shared" si="28"/>
        <v>0</v>
      </c>
      <c r="AB45" s="154">
        <f t="shared" si="29"/>
        <v>0</v>
      </c>
      <c r="AC45" s="154">
        <f t="shared" si="30"/>
        <v>0</v>
      </c>
      <c r="AD45" s="154">
        <f t="shared" si="31"/>
        <v>0</v>
      </c>
      <c r="AE45" s="154">
        <f t="shared" si="32"/>
        <v>0</v>
      </c>
      <c r="AF45" s="154">
        <f t="shared" si="33"/>
        <v>0</v>
      </c>
      <c r="AG45" s="154">
        <f t="shared" si="34"/>
        <v>0</v>
      </c>
      <c r="AH45" s="154">
        <f t="shared" si="35"/>
        <v>0</v>
      </c>
      <c r="AI45" s="149"/>
      <c r="AJ45" s="151">
        <f t="shared" si="36"/>
        <v>0</v>
      </c>
      <c r="AK45" s="151">
        <f t="shared" si="37"/>
        <v>0</v>
      </c>
      <c r="AL45" s="151">
        <f t="shared" si="38"/>
        <v>0</v>
      </c>
      <c r="AN45" s="154">
        <v>21</v>
      </c>
      <c r="AO45" s="154">
        <f>G45*0.327353463587922</f>
        <v>0</v>
      </c>
      <c r="AP45" s="154">
        <f>G45*(1-0.327353463587922)</f>
        <v>0</v>
      </c>
      <c r="AQ45" s="153" t="s">
        <v>12</v>
      </c>
      <c r="AV45" s="154">
        <f t="shared" si="39"/>
        <v>0</v>
      </c>
      <c r="AW45" s="154">
        <f t="shared" si="40"/>
        <v>0</v>
      </c>
      <c r="AX45" s="154">
        <f t="shared" si="41"/>
        <v>0</v>
      </c>
      <c r="AY45" s="155" t="s">
        <v>252</v>
      </c>
      <c r="AZ45" s="155" t="s">
        <v>268</v>
      </c>
      <c r="BA45" s="149" t="s">
        <v>271</v>
      </c>
      <c r="BC45" s="154">
        <f t="shared" si="42"/>
        <v>0</v>
      </c>
      <c r="BD45" s="154">
        <f t="shared" si="43"/>
        <v>0</v>
      </c>
      <c r="BE45" s="154">
        <v>0</v>
      </c>
      <c r="BF45" s="154">
        <f t="shared" si="44"/>
        <v>0.02215</v>
      </c>
      <c r="BH45" s="151">
        <f t="shared" si="45"/>
        <v>0</v>
      </c>
      <c r="BI45" s="151">
        <f t="shared" si="46"/>
        <v>0</v>
      </c>
      <c r="BJ45" s="151">
        <f t="shared" si="47"/>
        <v>0</v>
      </c>
    </row>
    <row r="46" spans="1:62" ht="12.75">
      <c r="A46" s="4" t="s">
        <v>34</v>
      </c>
      <c r="B46" s="4"/>
      <c r="C46" s="4"/>
      <c r="D46" s="67" t="s">
        <v>143</v>
      </c>
      <c r="E46" s="4" t="s">
        <v>219</v>
      </c>
      <c r="F46" s="17">
        <v>5</v>
      </c>
      <c r="G46" s="152">
        <v>0</v>
      </c>
      <c r="H46" s="17">
        <f t="shared" si="24"/>
        <v>0</v>
      </c>
      <c r="I46" s="17">
        <f t="shared" si="25"/>
        <v>0</v>
      </c>
      <c r="J46" s="17">
        <f t="shared" si="26"/>
        <v>0</v>
      </c>
      <c r="K46" s="17">
        <v>0.00432</v>
      </c>
      <c r="L46" s="17">
        <f t="shared" si="27"/>
        <v>0.0216</v>
      </c>
      <c r="M46" s="29"/>
      <c r="Z46" s="154">
        <f t="shared" si="28"/>
        <v>0</v>
      </c>
      <c r="AB46" s="154">
        <f t="shared" si="29"/>
        <v>0</v>
      </c>
      <c r="AC46" s="154">
        <f t="shared" si="30"/>
        <v>0</v>
      </c>
      <c r="AD46" s="154">
        <f t="shared" si="31"/>
        <v>0</v>
      </c>
      <c r="AE46" s="154">
        <f t="shared" si="32"/>
        <v>0</v>
      </c>
      <c r="AF46" s="154">
        <f t="shared" si="33"/>
        <v>0</v>
      </c>
      <c r="AG46" s="154">
        <f t="shared" si="34"/>
        <v>0</v>
      </c>
      <c r="AH46" s="154">
        <f t="shared" si="35"/>
        <v>0</v>
      </c>
      <c r="AI46" s="149"/>
      <c r="AJ46" s="151">
        <f t="shared" si="36"/>
        <v>0</v>
      </c>
      <c r="AK46" s="151">
        <f t="shared" si="37"/>
        <v>0</v>
      </c>
      <c r="AL46" s="151">
        <f t="shared" si="38"/>
        <v>0</v>
      </c>
      <c r="AN46" s="154">
        <v>21</v>
      </c>
      <c r="AO46" s="154">
        <f>G46*0</f>
        <v>0</v>
      </c>
      <c r="AP46" s="154">
        <f>G46*(1-0)</f>
        <v>0</v>
      </c>
      <c r="AQ46" s="153" t="s">
        <v>12</v>
      </c>
      <c r="AV46" s="154">
        <f t="shared" si="39"/>
        <v>0</v>
      </c>
      <c r="AW46" s="154">
        <f t="shared" si="40"/>
        <v>0</v>
      </c>
      <c r="AX46" s="154">
        <f t="shared" si="41"/>
        <v>0</v>
      </c>
      <c r="AY46" s="155" t="s">
        <v>252</v>
      </c>
      <c r="AZ46" s="155" t="s">
        <v>268</v>
      </c>
      <c r="BA46" s="149" t="s">
        <v>271</v>
      </c>
      <c r="BC46" s="154">
        <f t="shared" si="42"/>
        <v>0</v>
      </c>
      <c r="BD46" s="154">
        <f t="shared" si="43"/>
        <v>0</v>
      </c>
      <c r="BE46" s="154">
        <v>0</v>
      </c>
      <c r="BF46" s="154">
        <f t="shared" si="44"/>
        <v>0.0216</v>
      </c>
      <c r="BH46" s="151">
        <f t="shared" si="45"/>
        <v>0</v>
      </c>
      <c r="BI46" s="151">
        <f t="shared" si="46"/>
        <v>0</v>
      </c>
      <c r="BJ46" s="151">
        <f t="shared" si="47"/>
        <v>0</v>
      </c>
    </row>
    <row r="47" spans="1:62" ht="12.75">
      <c r="A47" s="4" t="s">
        <v>35</v>
      </c>
      <c r="B47" s="4"/>
      <c r="C47" s="4"/>
      <c r="D47" s="67" t="s">
        <v>144</v>
      </c>
      <c r="E47" s="4" t="s">
        <v>220</v>
      </c>
      <c r="F47" s="17">
        <v>1.8174</v>
      </c>
      <c r="G47" s="152">
        <v>0</v>
      </c>
      <c r="H47" s="17">
        <f t="shared" si="24"/>
        <v>0</v>
      </c>
      <c r="I47" s="17">
        <f t="shared" si="25"/>
        <v>0</v>
      </c>
      <c r="J47" s="17">
        <f t="shared" si="26"/>
        <v>0</v>
      </c>
      <c r="K47" s="17">
        <v>0</v>
      </c>
      <c r="L47" s="17">
        <f t="shared" si="27"/>
        <v>0</v>
      </c>
      <c r="M47" s="29"/>
      <c r="Z47" s="154">
        <f t="shared" si="28"/>
        <v>0</v>
      </c>
      <c r="AB47" s="154">
        <f t="shared" si="29"/>
        <v>0</v>
      </c>
      <c r="AC47" s="154">
        <f t="shared" si="30"/>
        <v>0</v>
      </c>
      <c r="AD47" s="154">
        <f t="shared" si="31"/>
        <v>0</v>
      </c>
      <c r="AE47" s="154">
        <f t="shared" si="32"/>
        <v>0</v>
      </c>
      <c r="AF47" s="154">
        <f t="shared" si="33"/>
        <v>0</v>
      </c>
      <c r="AG47" s="154">
        <f t="shared" si="34"/>
        <v>0</v>
      </c>
      <c r="AH47" s="154">
        <f t="shared" si="35"/>
        <v>0</v>
      </c>
      <c r="AI47" s="149"/>
      <c r="AJ47" s="151">
        <f t="shared" si="36"/>
        <v>0</v>
      </c>
      <c r="AK47" s="151">
        <f t="shared" si="37"/>
        <v>0</v>
      </c>
      <c r="AL47" s="151">
        <f t="shared" si="38"/>
        <v>0</v>
      </c>
      <c r="AN47" s="154">
        <v>21</v>
      </c>
      <c r="AO47" s="154">
        <f>G47*0</f>
        <v>0</v>
      </c>
      <c r="AP47" s="154">
        <f>G47*(1-0)</f>
        <v>0</v>
      </c>
      <c r="AQ47" s="153" t="s">
        <v>10</v>
      </c>
      <c r="AV47" s="154">
        <f t="shared" si="39"/>
        <v>0</v>
      </c>
      <c r="AW47" s="154">
        <f t="shared" si="40"/>
        <v>0</v>
      </c>
      <c r="AX47" s="154">
        <f t="shared" si="41"/>
        <v>0</v>
      </c>
      <c r="AY47" s="155" t="s">
        <v>252</v>
      </c>
      <c r="AZ47" s="155" t="s">
        <v>268</v>
      </c>
      <c r="BA47" s="149" t="s">
        <v>271</v>
      </c>
      <c r="BC47" s="154">
        <f t="shared" si="42"/>
        <v>0</v>
      </c>
      <c r="BD47" s="154">
        <f t="shared" si="43"/>
        <v>0</v>
      </c>
      <c r="BE47" s="154">
        <v>0</v>
      </c>
      <c r="BF47" s="154">
        <f t="shared" si="44"/>
        <v>0</v>
      </c>
      <c r="BH47" s="151">
        <f t="shared" si="45"/>
        <v>0</v>
      </c>
      <c r="BI47" s="151">
        <f t="shared" si="46"/>
        <v>0</v>
      </c>
      <c r="BJ47" s="151">
        <f t="shared" si="47"/>
        <v>0</v>
      </c>
    </row>
    <row r="48" spans="1:47" ht="12.75">
      <c r="A48" s="5"/>
      <c r="B48" s="13"/>
      <c r="C48" s="13" t="s">
        <v>94</v>
      </c>
      <c r="D48" s="13" t="s">
        <v>145</v>
      </c>
      <c r="E48" s="5" t="s">
        <v>5</v>
      </c>
      <c r="F48" s="5" t="s">
        <v>5</v>
      </c>
      <c r="G48" s="5" t="s">
        <v>5</v>
      </c>
      <c r="H48" s="33">
        <f>SUM(H49:H51)</f>
        <v>0</v>
      </c>
      <c r="I48" s="33">
        <f>SUM(I49:I51)</f>
        <v>0</v>
      </c>
      <c r="J48" s="33">
        <f>SUM(J49:J51)</f>
        <v>0</v>
      </c>
      <c r="K48" s="26"/>
      <c r="L48" s="33">
        <f>SUM(L49:L51)</f>
        <v>0.80783</v>
      </c>
      <c r="M48" s="26"/>
      <c r="AI48" s="149"/>
      <c r="AS48" s="150">
        <f>SUM(AJ49:AJ51)</f>
        <v>0</v>
      </c>
      <c r="AT48" s="150">
        <f>SUM(AK49:AK51)</f>
        <v>0</v>
      </c>
      <c r="AU48" s="150">
        <f>SUM(AL49:AL51)</f>
        <v>0</v>
      </c>
    </row>
    <row r="49" spans="1:62" ht="26.25">
      <c r="A49" s="4" t="s">
        <v>36</v>
      </c>
      <c r="B49" s="4"/>
      <c r="C49" s="4"/>
      <c r="D49" s="67" t="s">
        <v>146</v>
      </c>
      <c r="E49" s="4" t="s">
        <v>219</v>
      </c>
      <c r="F49" s="17">
        <v>53.4</v>
      </c>
      <c r="G49" s="152">
        <v>0</v>
      </c>
      <c r="H49" s="17">
        <f>F49*AO49</f>
        <v>0</v>
      </c>
      <c r="I49" s="17">
        <f>F49*AP49</f>
        <v>0</v>
      </c>
      <c r="J49" s="17">
        <f>F49*G49</f>
        <v>0</v>
      </c>
      <c r="K49" s="17">
        <v>0.01099</v>
      </c>
      <c r="L49" s="17">
        <f>F49*K49</f>
        <v>0.586866</v>
      </c>
      <c r="M49" s="29"/>
      <c r="Z49" s="154">
        <f>IF(AQ49="5",BJ49,0)</f>
        <v>0</v>
      </c>
      <c r="AB49" s="154">
        <f>IF(AQ49="1",BH49,0)</f>
        <v>0</v>
      </c>
      <c r="AC49" s="154">
        <f>IF(AQ49="1",BI49,0)</f>
        <v>0</v>
      </c>
      <c r="AD49" s="154">
        <f>IF(AQ49="7",BH49,0)</f>
        <v>0</v>
      </c>
      <c r="AE49" s="154">
        <f>IF(AQ49="7",BI49,0)</f>
        <v>0</v>
      </c>
      <c r="AF49" s="154">
        <f>IF(AQ49="2",BH49,0)</f>
        <v>0</v>
      </c>
      <c r="AG49" s="154">
        <f>IF(AQ49="2",BI49,0)</f>
        <v>0</v>
      </c>
      <c r="AH49" s="154">
        <f>IF(AQ49="0",BJ49,0)</f>
        <v>0</v>
      </c>
      <c r="AI49" s="149"/>
      <c r="AJ49" s="151">
        <f>IF(AN49=0,J49,0)</f>
        <v>0</v>
      </c>
      <c r="AK49" s="151">
        <f>IF(AN49=15,J49,0)</f>
        <v>0</v>
      </c>
      <c r="AL49" s="151">
        <f>IF(AN49=21,J49,0)</f>
        <v>0</v>
      </c>
      <c r="AN49" s="154">
        <v>21</v>
      </c>
      <c r="AO49" s="154">
        <f>G49*0.816441441441441</f>
        <v>0</v>
      </c>
      <c r="AP49" s="154">
        <f>G49*(1-0.816441441441441)</f>
        <v>0</v>
      </c>
      <c r="AQ49" s="153" t="s">
        <v>12</v>
      </c>
      <c r="AV49" s="154">
        <f>AW49+AX49</f>
        <v>0</v>
      </c>
      <c r="AW49" s="154">
        <f>F49*AO49</f>
        <v>0</v>
      </c>
      <c r="AX49" s="154">
        <f>F49*AP49</f>
        <v>0</v>
      </c>
      <c r="AY49" s="155" t="s">
        <v>253</v>
      </c>
      <c r="AZ49" s="155" t="s">
        <v>268</v>
      </c>
      <c r="BA49" s="149" t="s">
        <v>271</v>
      </c>
      <c r="BC49" s="154">
        <f>AW49+AX49</f>
        <v>0</v>
      </c>
      <c r="BD49" s="154">
        <f>G49/(100-BE49)*100</f>
        <v>0</v>
      </c>
      <c r="BE49" s="154">
        <v>0</v>
      </c>
      <c r="BF49" s="154">
        <f>L49</f>
        <v>0.586866</v>
      </c>
      <c r="BH49" s="151">
        <f>F49*AO49</f>
        <v>0</v>
      </c>
      <c r="BI49" s="151">
        <f>F49*AP49</f>
        <v>0</v>
      </c>
      <c r="BJ49" s="151">
        <f>F49*G49</f>
        <v>0</v>
      </c>
    </row>
    <row r="50" spans="1:62" ht="26.25">
      <c r="A50" s="4" t="s">
        <v>37</v>
      </c>
      <c r="B50" s="4"/>
      <c r="C50" s="4"/>
      <c r="D50" s="67" t="s">
        <v>147</v>
      </c>
      <c r="E50" s="4" t="s">
        <v>219</v>
      </c>
      <c r="F50" s="17">
        <v>14.8</v>
      </c>
      <c r="G50" s="152">
        <v>0</v>
      </c>
      <c r="H50" s="17">
        <f>F50*AO50</f>
        <v>0</v>
      </c>
      <c r="I50" s="17">
        <f>F50*AP50</f>
        <v>0</v>
      </c>
      <c r="J50" s="17">
        <f>F50*G50</f>
        <v>0</v>
      </c>
      <c r="K50" s="17">
        <v>0.01493</v>
      </c>
      <c r="L50" s="17">
        <f>F50*K50</f>
        <v>0.22096400000000002</v>
      </c>
      <c r="M50" s="29"/>
      <c r="Z50" s="154">
        <f>IF(AQ50="5",BJ50,0)</f>
        <v>0</v>
      </c>
      <c r="AB50" s="154">
        <f>IF(AQ50="1",BH50,0)</f>
        <v>0</v>
      </c>
      <c r="AC50" s="154">
        <f>IF(AQ50="1",BI50,0)</f>
        <v>0</v>
      </c>
      <c r="AD50" s="154">
        <f>IF(AQ50="7",BH50,0)</f>
        <v>0</v>
      </c>
      <c r="AE50" s="154">
        <f>IF(AQ50="7",BI50,0)</f>
        <v>0</v>
      </c>
      <c r="AF50" s="154">
        <f>IF(AQ50="2",BH50,0)</f>
        <v>0</v>
      </c>
      <c r="AG50" s="154">
        <f>IF(AQ50="2",BI50,0)</f>
        <v>0</v>
      </c>
      <c r="AH50" s="154">
        <f>IF(AQ50="0",BJ50,0)</f>
        <v>0</v>
      </c>
      <c r="AI50" s="149"/>
      <c r="AJ50" s="151">
        <f>IF(AN50=0,J50,0)</f>
        <v>0</v>
      </c>
      <c r="AK50" s="151">
        <f>IF(AN50=15,J50,0)</f>
        <v>0</v>
      </c>
      <c r="AL50" s="151">
        <f>IF(AN50=21,J50,0)</f>
        <v>0</v>
      </c>
      <c r="AN50" s="154">
        <v>21</v>
      </c>
      <c r="AO50" s="154">
        <f>G50*0.653942580089572</f>
        <v>0</v>
      </c>
      <c r="AP50" s="154">
        <f>G50*(1-0.653942580089572)</f>
        <v>0</v>
      </c>
      <c r="AQ50" s="153" t="s">
        <v>12</v>
      </c>
      <c r="AV50" s="154">
        <f>AW50+AX50</f>
        <v>0</v>
      </c>
      <c r="AW50" s="154">
        <f>F50*AO50</f>
        <v>0</v>
      </c>
      <c r="AX50" s="154">
        <f>F50*AP50</f>
        <v>0</v>
      </c>
      <c r="AY50" s="155" t="s">
        <v>253</v>
      </c>
      <c r="AZ50" s="155" t="s">
        <v>268</v>
      </c>
      <c r="BA50" s="149" t="s">
        <v>271</v>
      </c>
      <c r="BC50" s="154">
        <f>AW50+AX50</f>
        <v>0</v>
      </c>
      <c r="BD50" s="154">
        <f>G50/(100-BE50)*100</f>
        <v>0</v>
      </c>
      <c r="BE50" s="154">
        <v>0</v>
      </c>
      <c r="BF50" s="154">
        <f>L50</f>
        <v>0.22096400000000002</v>
      </c>
      <c r="BH50" s="151">
        <f>F50*AO50</f>
        <v>0</v>
      </c>
      <c r="BI50" s="151">
        <f>F50*AP50</f>
        <v>0</v>
      </c>
      <c r="BJ50" s="151">
        <f>F50*G50</f>
        <v>0</v>
      </c>
    </row>
    <row r="51" spans="1:62" ht="12.75">
      <c r="A51" s="4" t="s">
        <v>38</v>
      </c>
      <c r="B51" s="4"/>
      <c r="C51" s="4"/>
      <c r="D51" s="67" t="s">
        <v>148</v>
      </c>
      <c r="E51" s="4" t="s">
        <v>220</v>
      </c>
      <c r="F51" s="17">
        <v>0.8078</v>
      </c>
      <c r="G51" s="152">
        <v>0</v>
      </c>
      <c r="H51" s="17">
        <f>F51*AO51</f>
        <v>0</v>
      </c>
      <c r="I51" s="17">
        <f>F51*AP51</f>
        <v>0</v>
      </c>
      <c r="J51" s="17">
        <f>F51*G51</f>
        <v>0</v>
      </c>
      <c r="K51" s="17">
        <v>0</v>
      </c>
      <c r="L51" s="17">
        <f>F51*K51</f>
        <v>0</v>
      </c>
      <c r="M51" s="29"/>
      <c r="Z51" s="154">
        <f>IF(AQ51="5",BJ51,0)</f>
        <v>0</v>
      </c>
      <c r="AB51" s="154">
        <f>IF(AQ51="1",BH51,0)</f>
        <v>0</v>
      </c>
      <c r="AC51" s="154">
        <f>IF(AQ51="1",BI51,0)</f>
        <v>0</v>
      </c>
      <c r="AD51" s="154">
        <f>IF(AQ51="7",BH51,0)</f>
        <v>0</v>
      </c>
      <c r="AE51" s="154">
        <f>IF(AQ51="7",BI51,0)</f>
        <v>0</v>
      </c>
      <c r="AF51" s="154">
        <f>IF(AQ51="2",BH51,0)</f>
        <v>0</v>
      </c>
      <c r="AG51" s="154">
        <f>IF(AQ51="2",BI51,0)</f>
        <v>0</v>
      </c>
      <c r="AH51" s="154">
        <f>IF(AQ51="0",BJ51,0)</f>
        <v>0</v>
      </c>
      <c r="AI51" s="149"/>
      <c r="AJ51" s="151">
        <f>IF(AN51=0,J51,0)</f>
        <v>0</v>
      </c>
      <c r="AK51" s="151">
        <f>IF(AN51=15,J51,0)</f>
        <v>0</v>
      </c>
      <c r="AL51" s="151">
        <f>IF(AN51=21,J51,0)</f>
        <v>0</v>
      </c>
      <c r="AN51" s="154">
        <v>21</v>
      </c>
      <c r="AO51" s="154">
        <f>G51*0</f>
        <v>0</v>
      </c>
      <c r="AP51" s="154">
        <f>G51*(1-0)</f>
        <v>0</v>
      </c>
      <c r="AQ51" s="153" t="s">
        <v>10</v>
      </c>
      <c r="AV51" s="154">
        <f>AW51+AX51</f>
        <v>0</v>
      </c>
      <c r="AW51" s="154">
        <f>F51*AO51</f>
        <v>0</v>
      </c>
      <c r="AX51" s="154">
        <f>F51*AP51</f>
        <v>0</v>
      </c>
      <c r="AY51" s="155" t="s">
        <v>253</v>
      </c>
      <c r="AZ51" s="155" t="s">
        <v>268</v>
      </c>
      <c r="BA51" s="149" t="s">
        <v>271</v>
      </c>
      <c r="BC51" s="154">
        <f>AW51+AX51</f>
        <v>0</v>
      </c>
      <c r="BD51" s="154">
        <f>G51/(100-BE51)*100</f>
        <v>0</v>
      </c>
      <c r="BE51" s="154">
        <v>0</v>
      </c>
      <c r="BF51" s="154">
        <f>L51</f>
        <v>0</v>
      </c>
      <c r="BH51" s="151">
        <f>F51*AO51</f>
        <v>0</v>
      </c>
      <c r="BI51" s="151">
        <f>F51*AP51</f>
        <v>0</v>
      </c>
      <c r="BJ51" s="151">
        <f>F51*G51</f>
        <v>0</v>
      </c>
    </row>
    <row r="52" spans="1:47" ht="12.75">
      <c r="A52" s="5"/>
      <c r="B52" s="13"/>
      <c r="C52" s="13" t="s">
        <v>95</v>
      </c>
      <c r="D52" s="13" t="s">
        <v>149</v>
      </c>
      <c r="E52" s="5" t="s">
        <v>5</v>
      </c>
      <c r="F52" s="5" t="s">
        <v>5</v>
      </c>
      <c r="G52" s="5" t="s">
        <v>5</v>
      </c>
      <c r="H52" s="33">
        <f>SUM(H53:H54)</f>
        <v>0</v>
      </c>
      <c r="I52" s="33">
        <f>SUM(I53:I54)</f>
        <v>0</v>
      </c>
      <c r="J52" s="33">
        <f>SUM(J53:J54)</f>
        <v>0</v>
      </c>
      <c r="K52" s="26"/>
      <c r="L52" s="33">
        <f>SUM(L53:L54)</f>
        <v>0.22</v>
      </c>
      <c r="M52" s="26"/>
      <c r="AI52" s="149"/>
      <c r="AS52" s="150">
        <f>SUM(AJ53:AJ54)</f>
        <v>0</v>
      </c>
      <c r="AT52" s="150">
        <f>SUM(AK53:AK54)</f>
        <v>0</v>
      </c>
      <c r="AU52" s="150">
        <f>SUM(AL53:AL54)</f>
        <v>0</v>
      </c>
    </row>
    <row r="53" spans="1:62" ht="12.75">
      <c r="A53" s="4" t="s">
        <v>39</v>
      </c>
      <c r="B53" s="4"/>
      <c r="C53" s="4"/>
      <c r="D53" s="67" t="s">
        <v>478</v>
      </c>
      <c r="E53" s="4" t="s">
        <v>218</v>
      </c>
      <c r="F53" s="17">
        <v>1</v>
      </c>
      <c r="G53" s="152">
        <v>0</v>
      </c>
      <c r="H53" s="17">
        <f>F53*AO53</f>
        <v>0</v>
      </c>
      <c r="I53" s="17">
        <f>F53*AP53</f>
        <v>0</v>
      </c>
      <c r="J53" s="17">
        <f>F53*G53</f>
        <v>0</v>
      </c>
      <c r="K53" s="17">
        <v>0.22</v>
      </c>
      <c r="L53" s="17">
        <f>F53*K53</f>
        <v>0.22</v>
      </c>
      <c r="M53" s="29"/>
      <c r="Z53" s="154">
        <f>IF(AQ53="5",BJ53,0)</f>
        <v>0</v>
      </c>
      <c r="AB53" s="154">
        <f>IF(AQ53="1",BH53,0)</f>
        <v>0</v>
      </c>
      <c r="AC53" s="154">
        <f>IF(AQ53="1",BI53,0)</f>
        <v>0</v>
      </c>
      <c r="AD53" s="154">
        <f>IF(AQ53="7",BH53,0)</f>
        <v>0</v>
      </c>
      <c r="AE53" s="154">
        <f>IF(AQ53="7",BI53,0)</f>
        <v>0</v>
      </c>
      <c r="AF53" s="154">
        <f>IF(AQ53="2",BH53,0)</f>
        <v>0</v>
      </c>
      <c r="AG53" s="154">
        <f>IF(AQ53="2",BI53,0)</f>
        <v>0</v>
      </c>
      <c r="AH53" s="154">
        <f>IF(AQ53="0",BJ53,0)</f>
        <v>0</v>
      </c>
      <c r="AI53" s="149"/>
      <c r="AJ53" s="151">
        <f>IF(AN53=0,J53,0)</f>
        <v>0</v>
      </c>
      <c r="AK53" s="151">
        <f>IF(AN53=15,J53,0)</f>
        <v>0</v>
      </c>
      <c r="AL53" s="151">
        <f>IF(AN53=21,J53,0)</f>
        <v>0</v>
      </c>
      <c r="AN53" s="154">
        <v>21</v>
      </c>
      <c r="AO53" s="154">
        <f>G53*0.175338753387534</f>
        <v>0</v>
      </c>
      <c r="AP53" s="154">
        <f>G53*(1-0.175338753387534)</f>
        <v>0</v>
      </c>
      <c r="AQ53" s="153" t="s">
        <v>12</v>
      </c>
      <c r="AV53" s="154">
        <f>AW53+AX53</f>
        <v>0</v>
      </c>
      <c r="AW53" s="154">
        <f>F53*AO53</f>
        <v>0</v>
      </c>
      <c r="AX53" s="154">
        <f>F53*AP53</f>
        <v>0</v>
      </c>
      <c r="AY53" s="155" t="s">
        <v>254</v>
      </c>
      <c r="AZ53" s="155" t="s">
        <v>268</v>
      </c>
      <c r="BA53" s="149" t="s">
        <v>271</v>
      </c>
      <c r="BC53" s="154">
        <f>AW53+AX53</f>
        <v>0</v>
      </c>
      <c r="BD53" s="154">
        <f>G53/(100-BE53)*100</f>
        <v>0</v>
      </c>
      <c r="BE53" s="154">
        <v>0</v>
      </c>
      <c r="BF53" s="154">
        <f>L53</f>
        <v>0.22</v>
      </c>
      <c r="BH53" s="151">
        <f>F53*AO53</f>
        <v>0</v>
      </c>
      <c r="BI53" s="151">
        <f>F53*AP53</f>
        <v>0</v>
      </c>
      <c r="BJ53" s="151">
        <f>F53*G53</f>
        <v>0</v>
      </c>
    </row>
    <row r="54" spans="1:62" ht="12.75">
      <c r="A54" s="4" t="s">
        <v>40</v>
      </c>
      <c r="B54" s="4"/>
      <c r="C54" s="4"/>
      <c r="D54" s="67" t="s">
        <v>151</v>
      </c>
      <c r="E54" s="4" t="s">
        <v>220</v>
      </c>
      <c r="F54" s="17">
        <v>0.22</v>
      </c>
      <c r="G54" s="152">
        <v>0</v>
      </c>
      <c r="H54" s="17">
        <f>F54*AO54</f>
        <v>0</v>
      </c>
      <c r="I54" s="17">
        <f>F54*AP54</f>
        <v>0</v>
      </c>
      <c r="J54" s="17">
        <f>F54*G54</f>
        <v>0</v>
      </c>
      <c r="K54" s="17">
        <v>0</v>
      </c>
      <c r="L54" s="17">
        <f>F54*K54</f>
        <v>0</v>
      </c>
      <c r="M54" s="29"/>
      <c r="Z54" s="154">
        <f>IF(AQ54="5",BJ54,0)</f>
        <v>0</v>
      </c>
      <c r="AB54" s="154">
        <f>IF(AQ54="1",BH54,0)</f>
        <v>0</v>
      </c>
      <c r="AC54" s="154">
        <f>IF(AQ54="1",BI54,0)</f>
        <v>0</v>
      </c>
      <c r="AD54" s="154">
        <f>IF(AQ54="7",BH54,0)</f>
        <v>0</v>
      </c>
      <c r="AE54" s="154">
        <f>IF(AQ54="7",BI54,0)</f>
        <v>0</v>
      </c>
      <c r="AF54" s="154">
        <f>IF(AQ54="2",BH54,0)</f>
        <v>0</v>
      </c>
      <c r="AG54" s="154">
        <f>IF(AQ54="2",BI54,0)</f>
        <v>0</v>
      </c>
      <c r="AH54" s="154">
        <f>IF(AQ54="0",BJ54,0)</f>
        <v>0</v>
      </c>
      <c r="AI54" s="149"/>
      <c r="AJ54" s="151">
        <f>IF(AN54=0,J54,0)</f>
        <v>0</v>
      </c>
      <c r="AK54" s="151">
        <f>IF(AN54=15,J54,0)</f>
        <v>0</v>
      </c>
      <c r="AL54" s="151">
        <f>IF(AN54=21,J54,0)</f>
        <v>0</v>
      </c>
      <c r="AN54" s="154">
        <v>21</v>
      </c>
      <c r="AO54" s="154">
        <f>G54*0</f>
        <v>0</v>
      </c>
      <c r="AP54" s="154">
        <f>G54*(1-0)</f>
        <v>0</v>
      </c>
      <c r="AQ54" s="153" t="s">
        <v>10</v>
      </c>
      <c r="AV54" s="154">
        <f>AW54+AX54</f>
        <v>0</v>
      </c>
      <c r="AW54" s="154">
        <f>F54*AO54</f>
        <v>0</v>
      </c>
      <c r="AX54" s="154">
        <f>F54*AP54</f>
        <v>0</v>
      </c>
      <c r="AY54" s="155" t="s">
        <v>254</v>
      </c>
      <c r="AZ54" s="155" t="s">
        <v>268</v>
      </c>
      <c r="BA54" s="149" t="s">
        <v>271</v>
      </c>
      <c r="BC54" s="154">
        <f>AW54+AX54</f>
        <v>0</v>
      </c>
      <c r="BD54" s="154">
        <f>G54/(100-BE54)*100</f>
        <v>0</v>
      </c>
      <c r="BE54" s="154">
        <v>0</v>
      </c>
      <c r="BF54" s="154">
        <f>L54</f>
        <v>0</v>
      </c>
      <c r="BH54" s="151">
        <f>F54*AO54</f>
        <v>0</v>
      </c>
      <c r="BI54" s="151">
        <f>F54*AP54</f>
        <v>0</v>
      </c>
      <c r="BJ54" s="151">
        <f>F54*G54</f>
        <v>0</v>
      </c>
    </row>
    <row r="55" spans="1:47" ht="12.75">
      <c r="A55" s="5"/>
      <c r="B55" s="13"/>
      <c r="C55" s="13" t="s">
        <v>96</v>
      </c>
      <c r="D55" s="13" t="s">
        <v>152</v>
      </c>
      <c r="E55" s="5" t="s">
        <v>5</v>
      </c>
      <c r="F55" s="5" t="s">
        <v>5</v>
      </c>
      <c r="G55" s="5" t="s">
        <v>5</v>
      </c>
      <c r="H55" s="33">
        <f>SUM(H56:H60)</f>
        <v>0</v>
      </c>
      <c r="I55" s="33">
        <f>SUM(I56:I60)</f>
        <v>0</v>
      </c>
      <c r="J55" s="33">
        <f>SUM(J56:J60)</f>
        <v>0</v>
      </c>
      <c r="K55" s="26"/>
      <c r="L55" s="33">
        <f>SUM(L56:L60)</f>
        <v>0.5607500000000001</v>
      </c>
      <c r="M55" s="26"/>
      <c r="AI55" s="149"/>
      <c r="AS55" s="150">
        <f>SUM(AJ56:AJ60)</f>
        <v>0</v>
      </c>
      <c r="AT55" s="150">
        <f>SUM(AK56:AK60)</f>
        <v>0</v>
      </c>
      <c r="AU55" s="150">
        <f>SUM(AL56:AL60)</f>
        <v>0</v>
      </c>
    </row>
    <row r="56" spans="1:62" ht="12.75">
      <c r="A56" s="6" t="s">
        <v>41</v>
      </c>
      <c r="B56" s="6"/>
      <c r="C56" s="6"/>
      <c r="D56" s="68" t="s">
        <v>153</v>
      </c>
      <c r="E56" s="6" t="s">
        <v>217</v>
      </c>
      <c r="F56" s="18">
        <v>30</v>
      </c>
      <c r="G56" s="152">
        <v>0</v>
      </c>
      <c r="H56" s="18">
        <f>F56*AO56</f>
        <v>0</v>
      </c>
      <c r="I56" s="18">
        <f>F56*AP56</f>
        <v>0</v>
      </c>
      <c r="J56" s="18">
        <f>F56*G56</f>
        <v>0</v>
      </c>
      <c r="K56" s="18">
        <v>0.0142</v>
      </c>
      <c r="L56" s="18">
        <f>F56*K56</f>
        <v>0.42600000000000005</v>
      </c>
      <c r="M56" s="30"/>
      <c r="Z56" s="154">
        <f>IF(AQ56="5",BJ56,0)</f>
        <v>0</v>
      </c>
      <c r="AB56" s="154">
        <f>IF(AQ56="1",BH56,0)</f>
        <v>0</v>
      </c>
      <c r="AC56" s="154">
        <f>IF(AQ56="1",BI56,0)</f>
        <v>0</v>
      </c>
      <c r="AD56" s="154">
        <f>IF(AQ56="7",BH56,0)</f>
        <v>0</v>
      </c>
      <c r="AE56" s="154">
        <f>IF(AQ56="7",BI56,0)</f>
        <v>0</v>
      </c>
      <c r="AF56" s="154">
        <f>IF(AQ56="2",BH56,0)</f>
        <v>0</v>
      </c>
      <c r="AG56" s="154">
        <f>IF(AQ56="2",BI56,0)</f>
        <v>0</v>
      </c>
      <c r="AH56" s="154">
        <f>IF(AQ56="0",BJ56,0)</f>
        <v>0</v>
      </c>
      <c r="AI56" s="149"/>
      <c r="AJ56" s="156">
        <f>IF(AN56=0,J56,0)</f>
        <v>0</v>
      </c>
      <c r="AK56" s="156">
        <f>IF(AN56=15,J56,0)</f>
        <v>0</v>
      </c>
      <c r="AL56" s="156">
        <f>IF(AN56=21,J56,0)</f>
        <v>0</v>
      </c>
      <c r="AN56" s="154">
        <v>21</v>
      </c>
      <c r="AO56" s="154">
        <f>G56*1</f>
        <v>0</v>
      </c>
      <c r="AP56" s="154">
        <f>G56*(1-1)</f>
        <v>0</v>
      </c>
      <c r="AQ56" s="157" t="s">
        <v>12</v>
      </c>
      <c r="AV56" s="154">
        <f>AW56+AX56</f>
        <v>0</v>
      </c>
      <c r="AW56" s="154">
        <f>F56*AO56</f>
        <v>0</v>
      </c>
      <c r="AX56" s="154">
        <f>F56*AP56</f>
        <v>0</v>
      </c>
      <c r="AY56" s="155" t="s">
        <v>255</v>
      </c>
      <c r="AZ56" s="155" t="s">
        <v>269</v>
      </c>
      <c r="BA56" s="149" t="s">
        <v>271</v>
      </c>
      <c r="BC56" s="154">
        <f>AW56+AX56</f>
        <v>0</v>
      </c>
      <c r="BD56" s="154">
        <f>G56/(100-BE56)*100</f>
        <v>0</v>
      </c>
      <c r="BE56" s="154">
        <v>0</v>
      </c>
      <c r="BF56" s="154">
        <f>L56</f>
        <v>0.42600000000000005</v>
      </c>
      <c r="BH56" s="156">
        <f>F56*AO56</f>
        <v>0</v>
      </c>
      <c r="BI56" s="156">
        <f>F56*AP56</f>
        <v>0</v>
      </c>
      <c r="BJ56" s="156">
        <f>F56*G56</f>
        <v>0</v>
      </c>
    </row>
    <row r="57" spans="1:62" ht="12.75">
      <c r="A57" s="4" t="s">
        <v>42</v>
      </c>
      <c r="B57" s="4"/>
      <c r="C57" s="4"/>
      <c r="D57" s="67" t="s">
        <v>154</v>
      </c>
      <c r="E57" s="4" t="s">
        <v>217</v>
      </c>
      <c r="F57" s="17">
        <v>25</v>
      </c>
      <c r="G57" s="152">
        <v>0</v>
      </c>
      <c r="H57" s="17">
        <f>F57*AO57</f>
        <v>0</v>
      </c>
      <c r="I57" s="17">
        <f>F57*AP57</f>
        <v>0</v>
      </c>
      <c r="J57" s="17">
        <f>F57*G57</f>
        <v>0</v>
      </c>
      <c r="K57" s="17">
        <v>0.00021</v>
      </c>
      <c r="L57" s="17">
        <f>F57*K57</f>
        <v>0.00525</v>
      </c>
      <c r="M57" s="29"/>
      <c r="Z57" s="154">
        <f>IF(AQ57="5",BJ57,0)</f>
        <v>0</v>
      </c>
      <c r="AB57" s="154">
        <f>IF(AQ57="1",BH57,0)</f>
        <v>0</v>
      </c>
      <c r="AC57" s="154">
        <f>IF(AQ57="1",BI57,0)</f>
        <v>0</v>
      </c>
      <c r="AD57" s="154">
        <f>IF(AQ57="7",BH57,0)</f>
        <v>0</v>
      </c>
      <c r="AE57" s="154">
        <f>IF(AQ57="7",BI57,0)</f>
        <v>0</v>
      </c>
      <c r="AF57" s="154">
        <f>IF(AQ57="2",BH57,0)</f>
        <v>0</v>
      </c>
      <c r="AG57" s="154">
        <f>IF(AQ57="2",BI57,0)</f>
        <v>0</v>
      </c>
      <c r="AH57" s="154">
        <f>IF(AQ57="0",BJ57,0)</f>
        <v>0</v>
      </c>
      <c r="AI57" s="149"/>
      <c r="AJ57" s="151">
        <f>IF(AN57=0,J57,0)</f>
        <v>0</v>
      </c>
      <c r="AK57" s="151">
        <f>IF(AN57=15,J57,0)</f>
        <v>0</v>
      </c>
      <c r="AL57" s="151">
        <f>IF(AN57=21,J57,0)</f>
        <v>0</v>
      </c>
      <c r="AN57" s="154">
        <v>21</v>
      </c>
      <c r="AO57" s="154">
        <f>G57*0.476939203354298</f>
        <v>0</v>
      </c>
      <c r="AP57" s="154">
        <f>G57*(1-0.476939203354298)</f>
        <v>0</v>
      </c>
      <c r="AQ57" s="153" t="s">
        <v>12</v>
      </c>
      <c r="AV57" s="154">
        <f>AW57+AX57</f>
        <v>0</v>
      </c>
      <c r="AW57" s="154">
        <f>F57*AO57</f>
        <v>0</v>
      </c>
      <c r="AX57" s="154">
        <f>F57*AP57</f>
        <v>0</v>
      </c>
      <c r="AY57" s="155" t="s">
        <v>255</v>
      </c>
      <c r="AZ57" s="155" t="s">
        <v>269</v>
      </c>
      <c r="BA57" s="149" t="s">
        <v>271</v>
      </c>
      <c r="BC57" s="154">
        <f>AW57+AX57</f>
        <v>0</v>
      </c>
      <c r="BD57" s="154">
        <f>G57/(100-BE57)*100</f>
        <v>0</v>
      </c>
      <c r="BE57" s="154">
        <v>0</v>
      </c>
      <c r="BF57" s="154">
        <f>L57</f>
        <v>0.00525</v>
      </c>
      <c r="BH57" s="151">
        <f>F57*AO57</f>
        <v>0</v>
      </c>
      <c r="BI57" s="151">
        <f>F57*AP57</f>
        <v>0</v>
      </c>
      <c r="BJ57" s="151">
        <f>F57*G57</f>
        <v>0</v>
      </c>
    </row>
    <row r="58" spans="1:62" ht="26.25">
      <c r="A58" s="4" t="s">
        <v>43</v>
      </c>
      <c r="B58" s="4"/>
      <c r="C58" s="4"/>
      <c r="D58" s="67" t="s">
        <v>155</v>
      </c>
      <c r="E58" s="4" t="s">
        <v>217</v>
      </c>
      <c r="F58" s="17">
        <v>25</v>
      </c>
      <c r="G58" s="152">
        <v>0</v>
      </c>
      <c r="H58" s="17">
        <f>F58*AO58</f>
        <v>0</v>
      </c>
      <c r="I58" s="17">
        <f>F58*AP58</f>
        <v>0</v>
      </c>
      <c r="J58" s="17">
        <f>F58*G58</f>
        <v>0</v>
      </c>
      <c r="K58" s="17">
        <v>0.00478</v>
      </c>
      <c r="L58" s="17">
        <f>F58*K58</f>
        <v>0.11950000000000001</v>
      </c>
      <c r="M58" s="29"/>
      <c r="Z58" s="154">
        <f>IF(AQ58="5",BJ58,0)</f>
        <v>0</v>
      </c>
      <c r="AB58" s="154">
        <f>IF(AQ58="1",BH58,0)</f>
        <v>0</v>
      </c>
      <c r="AC58" s="154">
        <f>IF(AQ58="1",BI58,0)</f>
        <v>0</v>
      </c>
      <c r="AD58" s="154">
        <f>IF(AQ58="7",BH58,0)</f>
        <v>0</v>
      </c>
      <c r="AE58" s="154">
        <f>IF(AQ58="7",BI58,0)</f>
        <v>0</v>
      </c>
      <c r="AF58" s="154">
        <f>IF(AQ58="2",BH58,0)</f>
        <v>0</v>
      </c>
      <c r="AG58" s="154">
        <f>IF(AQ58="2",BI58,0)</f>
        <v>0</v>
      </c>
      <c r="AH58" s="154">
        <f>IF(AQ58="0",BJ58,0)</f>
        <v>0</v>
      </c>
      <c r="AI58" s="149"/>
      <c r="AJ58" s="151">
        <f>IF(AN58=0,J58,0)</f>
        <v>0</v>
      </c>
      <c r="AK58" s="151">
        <f>IF(AN58=15,J58,0)</f>
        <v>0</v>
      </c>
      <c r="AL58" s="151">
        <f>IF(AN58=21,J58,0)</f>
        <v>0</v>
      </c>
      <c r="AN58" s="154">
        <v>21</v>
      </c>
      <c r="AO58" s="154">
        <f>G58*0.120795795795796</f>
        <v>0</v>
      </c>
      <c r="AP58" s="154">
        <f>G58*(1-0.120795795795796)</f>
        <v>0</v>
      </c>
      <c r="AQ58" s="153" t="s">
        <v>12</v>
      </c>
      <c r="AV58" s="154">
        <f>AW58+AX58</f>
        <v>0</v>
      </c>
      <c r="AW58" s="154">
        <f>F58*AO58</f>
        <v>0</v>
      </c>
      <c r="AX58" s="154">
        <f>F58*AP58</f>
        <v>0</v>
      </c>
      <c r="AY58" s="155" t="s">
        <v>255</v>
      </c>
      <c r="AZ58" s="155" t="s">
        <v>269</v>
      </c>
      <c r="BA58" s="149" t="s">
        <v>271</v>
      </c>
      <c r="BC58" s="154">
        <f>AW58+AX58</f>
        <v>0</v>
      </c>
      <c r="BD58" s="154">
        <f>G58/(100-BE58)*100</f>
        <v>0</v>
      </c>
      <c r="BE58" s="154">
        <v>0</v>
      </c>
      <c r="BF58" s="154">
        <f>L58</f>
        <v>0.11950000000000001</v>
      </c>
      <c r="BH58" s="151">
        <f>F58*AO58</f>
        <v>0</v>
      </c>
      <c r="BI58" s="151">
        <f>F58*AP58</f>
        <v>0</v>
      </c>
      <c r="BJ58" s="151">
        <f>F58*G58</f>
        <v>0</v>
      </c>
    </row>
    <row r="59" spans="1:62" ht="12.75">
      <c r="A59" s="4" t="s">
        <v>44</v>
      </c>
      <c r="B59" s="4"/>
      <c r="C59" s="4"/>
      <c r="D59" s="67" t="s">
        <v>156</v>
      </c>
      <c r="E59" s="4" t="s">
        <v>217</v>
      </c>
      <c r="F59" s="17">
        <v>25</v>
      </c>
      <c r="G59" s="152">
        <v>0</v>
      </c>
      <c r="H59" s="17">
        <f>F59*AO59</f>
        <v>0</v>
      </c>
      <c r="I59" s="17">
        <f>F59*AP59</f>
        <v>0</v>
      </c>
      <c r="J59" s="17">
        <f>F59*G59</f>
        <v>0</v>
      </c>
      <c r="K59" s="17">
        <v>0.0004</v>
      </c>
      <c r="L59" s="17">
        <f>F59*K59</f>
        <v>0.01</v>
      </c>
      <c r="M59" s="29"/>
      <c r="Z59" s="154">
        <f>IF(AQ59="5",BJ59,0)</f>
        <v>0</v>
      </c>
      <c r="AB59" s="154">
        <f>IF(AQ59="1",BH59,0)</f>
        <v>0</v>
      </c>
      <c r="AC59" s="154">
        <f>IF(AQ59="1",BI59,0)</f>
        <v>0</v>
      </c>
      <c r="AD59" s="154">
        <f>IF(AQ59="7",BH59,0)</f>
        <v>0</v>
      </c>
      <c r="AE59" s="154">
        <f>IF(AQ59="7",BI59,0)</f>
        <v>0</v>
      </c>
      <c r="AF59" s="154">
        <f>IF(AQ59="2",BH59,0)</f>
        <v>0</v>
      </c>
      <c r="AG59" s="154">
        <f>IF(AQ59="2",BI59,0)</f>
        <v>0</v>
      </c>
      <c r="AH59" s="154">
        <f>IF(AQ59="0",BJ59,0)</f>
        <v>0</v>
      </c>
      <c r="AI59" s="149"/>
      <c r="AJ59" s="151">
        <f>IF(AN59=0,J59,0)</f>
        <v>0</v>
      </c>
      <c r="AK59" s="151">
        <f>IF(AN59=15,J59,0)</f>
        <v>0</v>
      </c>
      <c r="AL59" s="151">
        <f>IF(AN59=21,J59,0)</f>
        <v>0</v>
      </c>
      <c r="AN59" s="154">
        <v>21</v>
      </c>
      <c r="AO59" s="154">
        <f>G59*1</f>
        <v>0</v>
      </c>
      <c r="AP59" s="154">
        <f>G59*(1-1)</f>
        <v>0</v>
      </c>
      <c r="AQ59" s="153" t="s">
        <v>12</v>
      </c>
      <c r="AV59" s="154">
        <f>AW59+AX59</f>
        <v>0</v>
      </c>
      <c r="AW59" s="154">
        <f>F59*AO59</f>
        <v>0</v>
      </c>
      <c r="AX59" s="154">
        <f>F59*AP59</f>
        <v>0</v>
      </c>
      <c r="AY59" s="155" t="s">
        <v>255</v>
      </c>
      <c r="AZ59" s="155" t="s">
        <v>269</v>
      </c>
      <c r="BA59" s="149" t="s">
        <v>271</v>
      </c>
      <c r="BC59" s="154">
        <f>AW59+AX59</f>
        <v>0</v>
      </c>
      <c r="BD59" s="154">
        <f>G59/(100-BE59)*100</f>
        <v>0</v>
      </c>
      <c r="BE59" s="154">
        <v>0</v>
      </c>
      <c r="BF59" s="154">
        <f>L59</f>
        <v>0.01</v>
      </c>
      <c r="BH59" s="151">
        <f>F59*AO59</f>
        <v>0</v>
      </c>
      <c r="BI59" s="151">
        <f>F59*AP59</f>
        <v>0</v>
      </c>
      <c r="BJ59" s="151">
        <f>F59*G59</f>
        <v>0</v>
      </c>
    </row>
    <row r="60" spans="1:62" ht="12.75">
      <c r="A60" s="4" t="s">
        <v>45</v>
      </c>
      <c r="B60" s="4"/>
      <c r="C60" s="4"/>
      <c r="D60" s="67" t="s">
        <v>157</v>
      </c>
      <c r="E60" s="4" t="s">
        <v>220</v>
      </c>
      <c r="F60" s="17">
        <v>0.5608</v>
      </c>
      <c r="G60" s="152">
        <v>0</v>
      </c>
      <c r="H60" s="17">
        <f>F60*AO60</f>
        <v>0</v>
      </c>
      <c r="I60" s="17">
        <f>F60*AP60</f>
        <v>0</v>
      </c>
      <c r="J60" s="17">
        <f>F60*G60</f>
        <v>0</v>
      </c>
      <c r="K60" s="17">
        <v>0</v>
      </c>
      <c r="L60" s="17">
        <f>F60*K60</f>
        <v>0</v>
      </c>
      <c r="M60" s="29"/>
      <c r="Z60" s="154">
        <f>IF(AQ60="5",BJ60,0)</f>
        <v>0</v>
      </c>
      <c r="AB60" s="154">
        <f>IF(AQ60="1",BH60,0)</f>
        <v>0</v>
      </c>
      <c r="AC60" s="154">
        <f>IF(AQ60="1",BI60,0)</f>
        <v>0</v>
      </c>
      <c r="AD60" s="154">
        <f>IF(AQ60="7",BH60,0)</f>
        <v>0</v>
      </c>
      <c r="AE60" s="154">
        <f>IF(AQ60="7",BI60,0)</f>
        <v>0</v>
      </c>
      <c r="AF60" s="154">
        <f>IF(AQ60="2",BH60,0)</f>
        <v>0</v>
      </c>
      <c r="AG60" s="154">
        <f>IF(AQ60="2",BI60,0)</f>
        <v>0</v>
      </c>
      <c r="AH60" s="154">
        <f>IF(AQ60="0",BJ60,0)</f>
        <v>0</v>
      </c>
      <c r="AI60" s="149"/>
      <c r="AJ60" s="151">
        <f>IF(AN60=0,J60,0)</f>
        <v>0</v>
      </c>
      <c r="AK60" s="151">
        <f>IF(AN60=15,J60,0)</f>
        <v>0</v>
      </c>
      <c r="AL60" s="151">
        <f>IF(AN60=21,J60,0)</f>
        <v>0</v>
      </c>
      <c r="AN60" s="154">
        <v>21</v>
      </c>
      <c r="AO60" s="154">
        <f>G60*0</f>
        <v>0</v>
      </c>
      <c r="AP60" s="154">
        <f>G60*(1-0)</f>
        <v>0</v>
      </c>
      <c r="AQ60" s="153" t="s">
        <v>10</v>
      </c>
      <c r="AV60" s="154">
        <f>AW60+AX60</f>
        <v>0</v>
      </c>
      <c r="AW60" s="154">
        <f>F60*AO60</f>
        <v>0</v>
      </c>
      <c r="AX60" s="154">
        <f>F60*AP60</f>
        <v>0</v>
      </c>
      <c r="AY60" s="155" t="s">
        <v>255</v>
      </c>
      <c r="AZ60" s="155" t="s">
        <v>269</v>
      </c>
      <c r="BA60" s="149" t="s">
        <v>271</v>
      </c>
      <c r="BC60" s="154">
        <f>AW60+AX60</f>
        <v>0</v>
      </c>
      <c r="BD60" s="154">
        <f>G60/(100-BE60)*100</f>
        <v>0</v>
      </c>
      <c r="BE60" s="154">
        <v>0</v>
      </c>
      <c r="BF60" s="154">
        <f>L60</f>
        <v>0</v>
      </c>
      <c r="BH60" s="151">
        <f>F60*AO60</f>
        <v>0</v>
      </c>
      <c r="BI60" s="151">
        <f>F60*AP60</f>
        <v>0</v>
      </c>
      <c r="BJ60" s="151">
        <f>F60*G60</f>
        <v>0</v>
      </c>
    </row>
    <row r="61" spans="1:47" ht="12.75">
      <c r="A61" s="5"/>
      <c r="B61" s="13"/>
      <c r="C61" s="13" t="s">
        <v>97</v>
      </c>
      <c r="D61" s="13" t="s">
        <v>158</v>
      </c>
      <c r="E61" s="5" t="s">
        <v>5</v>
      </c>
      <c r="F61" s="5" t="s">
        <v>5</v>
      </c>
      <c r="G61" s="5" t="s">
        <v>5</v>
      </c>
      <c r="H61" s="33">
        <f>SUM(H62:H63)</f>
        <v>0</v>
      </c>
      <c r="I61" s="33">
        <f>SUM(I62:I63)</f>
        <v>0</v>
      </c>
      <c r="J61" s="33">
        <f>SUM(J62:J63)</f>
        <v>0</v>
      </c>
      <c r="K61" s="26"/>
      <c r="L61" s="33">
        <f>SUM(L62:L63)</f>
        <v>0.07470555000000001</v>
      </c>
      <c r="M61" s="26"/>
      <c r="AI61" s="149"/>
      <c r="AS61" s="150">
        <f>SUM(AJ62:AJ63)</f>
        <v>0</v>
      </c>
      <c r="AT61" s="150">
        <f>SUM(AK62:AK63)</f>
        <v>0</v>
      </c>
      <c r="AU61" s="150">
        <f>SUM(AL62:AL63)</f>
        <v>0</v>
      </c>
    </row>
    <row r="62" spans="1:62" ht="12.75">
      <c r="A62" s="4" t="s">
        <v>46</v>
      </c>
      <c r="B62" s="4"/>
      <c r="C62" s="4"/>
      <c r="D62" s="67" t="s">
        <v>159</v>
      </c>
      <c r="E62" s="4" t="s">
        <v>217</v>
      </c>
      <c r="F62" s="17">
        <v>135.455</v>
      </c>
      <c r="G62" s="152">
        <v>0</v>
      </c>
      <c r="H62" s="17">
        <f>F62*AO62</f>
        <v>0</v>
      </c>
      <c r="I62" s="17">
        <f>F62*AP62</f>
        <v>0</v>
      </c>
      <c r="J62" s="17">
        <f>F62*G62</f>
        <v>0</v>
      </c>
      <c r="K62" s="17">
        <v>0.00037</v>
      </c>
      <c r="L62" s="17">
        <f>F62*K62</f>
        <v>0.050118350000000006</v>
      </c>
      <c r="M62" s="29"/>
      <c r="Z62" s="154">
        <f>IF(AQ62="5",BJ62,0)</f>
        <v>0</v>
      </c>
      <c r="AB62" s="154">
        <f>IF(AQ62="1",BH62,0)</f>
        <v>0</v>
      </c>
      <c r="AC62" s="154">
        <f>IF(AQ62="1",BI62,0)</f>
        <v>0</v>
      </c>
      <c r="AD62" s="154">
        <f>IF(AQ62="7",BH62,0)</f>
        <v>0</v>
      </c>
      <c r="AE62" s="154">
        <f>IF(AQ62="7",BI62,0)</f>
        <v>0</v>
      </c>
      <c r="AF62" s="154">
        <f>IF(AQ62="2",BH62,0)</f>
        <v>0</v>
      </c>
      <c r="AG62" s="154">
        <f>IF(AQ62="2",BI62,0)</f>
        <v>0</v>
      </c>
      <c r="AH62" s="154">
        <f>IF(AQ62="0",BJ62,0)</f>
        <v>0</v>
      </c>
      <c r="AI62" s="149"/>
      <c r="AJ62" s="151">
        <f>IF(AN62=0,J62,0)</f>
        <v>0</v>
      </c>
      <c r="AK62" s="151">
        <f>IF(AN62=15,J62,0)</f>
        <v>0</v>
      </c>
      <c r="AL62" s="151">
        <f>IF(AN62=21,J62,0)</f>
        <v>0</v>
      </c>
      <c r="AN62" s="154">
        <v>21</v>
      </c>
      <c r="AO62" s="154">
        <f>G62*0.387402504545166</f>
        <v>0</v>
      </c>
      <c r="AP62" s="154">
        <f>G62*(1-0.387402504545166)</f>
        <v>0</v>
      </c>
      <c r="AQ62" s="153" t="s">
        <v>12</v>
      </c>
      <c r="AV62" s="154">
        <f>AW62+AX62</f>
        <v>0</v>
      </c>
      <c r="AW62" s="154">
        <f>F62*AO62</f>
        <v>0</v>
      </c>
      <c r="AX62" s="154">
        <f>F62*AP62</f>
        <v>0</v>
      </c>
      <c r="AY62" s="155" t="s">
        <v>256</v>
      </c>
      <c r="AZ62" s="155" t="s">
        <v>269</v>
      </c>
      <c r="BA62" s="149" t="s">
        <v>271</v>
      </c>
      <c r="BC62" s="154">
        <f>AW62+AX62</f>
        <v>0</v>
      </c>
      <c r="BD62" s="154">
        <f>G62/(100-BE62)*100</f>
        <v>0</v>
      </c>
      <c r="BE62" s="154">
        <v>0</v>
      </c>
      <c r="BF62" s="154">
        <f>L62</f>
        <v>0.050118350000000006</v>
      </c>
      <c r="BH62" s="151">
        <f>F62*AO62</f>
        <v>0</v>
      </c>
      <c r="BI62" s="151">
        <f>F62*AP62</f>
        <v>0</v>
      </c>
      <c r="BJ62" s="151">
        <f>F62*G62</f>
        <v>0</v>
      </c>
    </row>
    <row r="63" spans="1:62" ht="26.25">
      <c r="A63" s="4" t="s">
        <v>47</v>
      </c>
      <c r="B63" s="4"/>
      <c r="C63" s="4"/>
      <c r="D63" s="67" t="s">
        <v>160</v>
      </c>
      <c r="E63" s="4" t="s">
        <v>217</v>
      </c>
      <c r="F63" s="17">
        <v>55.88</v>
      </c>
      <c r="G63" s="152">
        <v>0</v>
      </c>
      <c r="H63" s="17">
        <f>F63*AO63</f>
        <v>0</v>
      </c>
      <c r="I63" s="17">
        <f>F63*AP63</f>
        <v>0</v>
      </c>
      <c r="J63" s="17">
        <f>F63*G63</f>
        <v>0</v>
      </c>
      <c r="K63" s="17">
        <v>0.00044</v>
      </c>
      <c r="L63" s="17">
        <f>F63*K63</f>
        <v>0.024587200000000003</v>
      </c>
      <c r="M63" s="29"/>
      <c r="Z63" s="154">
        <f>IF(AQ63="5",BJ63,0)</f>
        <v>0</v>
      </c>
      <c r="AB63" s="154">
        <f>IF(AQ63="1",BH63,0)</f>
        <v>0</v>
      </c>
      <c r="AC63" s="154">
        <f>IF(AQ63="1",BI63,0)</f>
        <v>0</v>
      </c>
      <c r="AD63" s="154">
        <f>IF(AQ63="7",BH63,0)</f>
        <v>0</v>
      </c>
      <c r="AE63" s="154">
        <f>IF(AQ63="7",BI63,0)</f>
        <v>0</v>
      </c>
      <c r="AF63" s="154">
        <f>IF(AQ63="2",BH63,0)</f>
        <v>0</v>
      </c>
      <c r="AG63" s="154">
        <f>IF(AQ63="2",BI63,0)</f>
        <v>0</v>
      </c>
      <c r="AH63" s="154">
        <f>IF(AQ63="0",BJ63,0)</f>
        <v>0</v>
      </c>
      <c r="AI63" s="149"/>
      <c r="AJ63" s="151">
        <f>IF(AN63=0,J63,0)</f>
        <v>0</v>
      </c>
      <c r="AK63" s="151">
        <f>IF(AN63=15,J63,0)</f>
        <v>0</v>
      </c>
      <c r="AL63" s="151">
        <f>IF(AN63=21,J63,0)</f>
        <v>0</v>
      </c>
      <c r="AN63" s="154">
        <v>21</v>
      </c>
      <c r="AO63" s="154">
        <f>G63*0.418673047589021</f>
        <v>0</v>
      </c>
      <c r="AP63" s="154">
        <f>G63*(1-0.418673047589021)</f>
        <v>0</v>
      </c>
      <c r="AQ63" s="153" t="s">
        <v>12</v>
      </c>
      <c r="AV63" s="154">
        <f>AW63+AX63</f>
        <v>0</v>
      </c>
      <c r="AW63" s="154">
        <f>F63*AO63</f>
        <v>0</v>
      </c>
      <c r="AX63" s="154">
        <f>F63*AP63</f>
        <v>0</v>
      </c>
      <c r="AY63" s="155" t="s">
        <v>256</v>
      </c>
      <c r="AZ63" s="155" t="s">
        <v>269</v>
      </c>
      <c r="BA63" s="149" t="s">
        <v>271</v>
      </c>
      <c r="BC63" s="154">
        <f>AW63+AX63</f>
        <v>0</v>
      </c>
      <c r="BD63" s="154">
        <f>G63/(100-BE63)*100</f>
        <v>0</v>
      </c>
      <c r="BE63" s="154">
        <v>0</v>
      </c>
      <c r="BF63" s="154">
        <f>L63</f>
        <v>0.024587200000000003</v>
      </c>
      <c r="BH63" s="151">
        <f>F63*AO63</f>
        <v>0</v>
      </c>
      <c r="BI63" s="151">
        <f>F63*AP63</f>
        <v>0</v>
      </c>
      <c r="BJ63" s="151">
        <f>F63*G63</f>
        <v>0</v>
      </c>
    </row>
    <row r="64" spans="1:47" ht="12.75">
      <c r="A64" s="5"/>
      <c r="B64" s="13"/>
      <c r="C64" s="13" t="s">
        <v>98</v>
      </c>
      <c r="D64" s="13" t="s">
        <v>161</v>
      </c>
      <c r="E64" s="5" t="s">
        <v>5</v>
      </c>
      <c r="F64" s="5" t="s">
        <v>5</v>
      </c>
      <c r="G64" s="5" t="s">
        <v>5</v>
      </c>
      <c r="H64" s="33">
        <f>SUM(H65:H66)</f>
        <v>0</v>
      </c>
      <c r="I64" s="33">
        <f>SUM(I65:I66)</f>
        <v>0</v>
      </c>
      <c r="J64" s="33">
        <f>SUM(J65:J66)</f>
        <v>0</v>
      </c>
      <c r="K64" s="26"/>
      <c r="L64" s="33">
        <f>SUM(L65:L66)</f>
        <v>0.11851199999999999</v>
      </c>
      <c r="M64" s="26"/>
      <c r="AI64" s="149"/>
      <c r="AS64" s="150">
        <f>SUM(AJ65:AJ66)</f>
        <v>0</v>
      </c>
      <c r="AT64" s="150">
        <f>SUM(AK65:AK66)</f>
        <v>0</v>
      </c>
      <c r="AU64" s="150">
        <f>SUM(AL65:AL66)</f>
        <v>0</v>
      </c>
    </row>
    <row r="65" spans="1:62" ht="26.25">
      <c r="A65" s="4" t="s">
        <v>48</v>
      </c>
      <c r="B65" s="4"/>
      <c r="C65" s="4"/>
      <c r="D65" s="67" t="s">
        <v>162</v>
      </c>
      <c r="E65" s="4" t="s">
        <v>217</v>
      </c>
      <c r="F65" s="17">
        <v>329.2</v>
      </c>
      <c r="G65" s="152">
        <v>0</v>
      </c>
      <c r="H65" s="17">
        <f>F65*AO65</f>
        <v>0</v>
      </c>
      <c r="I65" s="17">
        <f>F65*AP65</f>
        <v>0</v>
      </c>
      <c r="J65" s="17">
        <f>F65*G65</f>
        <v>0</v>
      </c>
      <c r="K65" s="17">
        <v>7E-05</v>
      </c>
      <c r="L65" s="17">
        <f>F65*K65</f>
        <v>0.023044</v>
      </c>
      <c r="M65" s="29"/>
      <c r="Z65" s="154">
        <f>IF(AQ65="5",BJ65,0)</f>
        <v>0</v>
      </c>
      <c r="AB65" s="154">
        <f>IF(AQ65="1",BH65,0)</f>
        <v>0</v>
      </c>
      <c r="AC65" s="154">
        <f>IF(AQ65="1",BI65,0)</f>
        <v>0</v>
      </c>
      <c r="AD65" s="154">
        <f>IF(AQ65="7",BH65,0)</f>
        <v>0</v>
      </c>
      <c r="AE65" s="154">
        <f>IF(AQ65="7",BI65,0)</f>
        <v>0</v>
      </c>
      <c r="AF65" s="154">
        <f>IF(AQ65="2",BH65,0)</f>
        <v>0</v>
      </c>
      <c r="AG65" s="154">
        <f>IF(AQ65="2",BI65,0)</f>
        <v>0</v>
      </c>
      <c r="AH65" s="154">
        <f>IF(AQ65="0",BJ65,0)</f>
        <v>0</v>
      </c>
      <c r="AI65" s="149"/>
      <c r="AJ65" s="151">
        <f>IF(AN65=0,J65,0)</f>
        <v>0</v>
      </c>
      <c r="AK65" s="151">
        <f>IF(AN65=15,J65,0)</f>
        <v>0</v>
      </c>
      <c r="AL65" s="151">
        <f>IF(AN65=21,J65,0)</f>
        <v>0</v>
      </c>
      <c r="AN65" s="154">
        <v>21</v>
      </c>
      <c r="AO65" s="154">
        <f>G65*0.259447095404827</f>
        <v>0</v>
      </c>
      <c r="AP65" s="154">
        <f>G65*(1-0.259447095404827)</f>
        <v>0</v>
      </c>
      <c r="AQ65" s="153" t="s">
        <v>12</v>
      </c>
      <c r="AV65" s="154">
        <f>AW65+AX65</f>
        <v>0</v>
      </c>
      <c r="AW65" s="154">
        <f>F65*AO65</f>
        <v>0</v>
      </c>
      <c r="AX65" s="154">
        <f>F65*AP65</f>
        <v>0</v>
      </c>
      <c r="AY65" s="155" t="s">
        <v>257</v>
      </c>
      <c r="AZ65" s="155" t="s">
        <v>269</v>
      </c>
      <c r="BA65" s="149" t="s">
        <v>271</v>
      </c>
      <c r="BC65" s="154">
        <f>AW65+AX65</f>
        <v>0</v>
      </c>
      <c r="BD65" s="154">
        <f>G65/(100-BE65)*100</f>
        <v>0</v>
      </c>
      <c r="BE65" s="154">
        <v>0</v>
      </c>
      <c r="BF65" s="154">
        <f>L65</f>
        <v>0.023044</v>
      </c>
      <c r="BH65" s="151">
        <f>F65*AO65</f>
        <v>0</v>
      </c>
      <c r="BI65" s="151">
        <f>F65*AP65</f>
        <v>0</v>
      </c>
      <c r="BJ65" s="151">
        <f>F65*G65</f>
        <v>0</v>
      </c>
    </row>
    <row r="66" spans="1:62" ht="26.25">
      <c r="A66" s="4" t="s">
        <v>49</v>
      </c>
      <c r="B66" s="4"/>
      <c r="C66" s="4"/>
      <c r="D66" s="67" t="s">
        <v>163</v>
      </c>
      <c r="E66" s="4" t="s">
        <v>217</v>
      </c>
      <c r="F66" s="17">
        <v>329.2</v>
      </c>
      <c r="G66" s="152">
        <v>0</v>
      </c>
      <c r="H66" s="17">
        <f>F66*AO66</f>
        <v>0</v>
      </c>
      <c r="I66" s="17">
        <f>F66*AP66</f>
        <v>0</v>
      </c>
      <c r="J66" s="17">
        <f>F66*G66</f>
        <v>0</v>
      </c>
      <c r="K66" s="17">
        <v>0.00029</v>
      </c>
      <c r="L66" s="17">
        <f>F66*K66</f>
        <v>0.095468</v>
      </c>
      <c r="M66" s="29"/>
      <c r="Z66" s="154">
        <f>IF(AQ66="5",BJ66,0)</f>
        <v>0</v>
      </c>
      <c r="AB66" s="154">
        <f>IF(AQ66="1",BH66,0)</f>
        <v>0</v>
      </c>
      <c r="AC66" s="154">
        <f>IF(AQ66="1",BI66,0)</f>
        <v>0</v>
      </c>
      <c r="AD66" s="154">
        <f>IF(AQ66="7",BH66,0)</f>
        <v>0</v>
      </c>
      <c r="AE66" s="154">
        <f>IF(AQ66="7",BI66,0)</f>
        <v>0</v>
      </c>
      <c r="AF66" s="154">
        <f>IF(AQ66="2",BH66,0)</f>
        <v>0</v>
      </c>
      <c r="AG66" s="154">
        <f>IF(AQ66="2",BI66,0)</f>
        <v>0</v>
      </c>
      <c r="AH66" s="154">
        <f>IF(AQ66="0",BJ66,0)</f>
        <v>0</v>
      </c>
      <c r="AI66" s="149"/>
      <c r="AJ66" s="151">
        <f>IF(AN66=0,J66,0)</f>
        <v>0</v>
      </c>
      <c r="AK66" s="151">
        <f>IF(AN66=15,J66,0)</f>
        <v>0</v>
      </c>
      <c r="AL66" s="151">
        <f>IF(AN66=21,J66,0)</f>
        <v>0</v>
      </c>
      <c r="AN66" s="154">
        <v>21</v>
      </c>
      <c r="AO66" s="154">
        <f>G66*0.215454100187636</f>
        <v>0</v>
      </c>
      <c r="AP66" s="154">
        <f>G66*(1-0.215454100187636)</f>
        <v>0</v>
      </c>
      <c r="AQ66" s="153" t="s">
        <v>12</v>
      </c>
      <c r="AV66" s="154">
        <f>AW66+AX66</f>
        <v>0</v>
      </c>
      <c r="AW66" s="154">
        <f>F66*AO66</f>
        <v>0</v>
      </c>
      <c r="AX66" s="154">
        <f>F66*AP66</f>
        <v>0</v>
      </c>
      <c r="AY66" s="155" t="s">
        <v>257</v>
      </c>
      <c r="AZ66" s="155" t="s">
        <v>269</v>
      </c>
      <c r="BA66" s="149" t="s">
        <v>271</v>
      </c>
      <c r="BC66" s="154">
        <f>AW66+AX66</f>
        <v>0</v>
      </c>
      <c r="BD66" s="154">
        <f>G66/(100-BE66)*100</f>
        <v>0</v>
      </c>
      <c r="BE66" s="154">
        <v>0</v>
      </c>
      <c r="BF66" s="154">
        <f>L66</f>
        <v>0.095468</v>
      </c>
      <c r="BH66" s="151">
        <f>F66*AO66</f>
        <v>0</v>
      </c>
      <c r="BI66" s="151">
        <f>F66*AP66</f>
        <v>0</v>
      </c>
      <c r="BJ66" s="151">
        <f>F66*G66</f>
        <v>0</v>
      </c>
    </row>
    <row r="67" spans="1:47" ht="12.75">
      <c r="A67" s="5"/>
      <c r="B67" s="13"/>
      <c r="C67" s="13" t="s">
        <v>99</v>
      </c>
      <c r="D67" s="13" t="s">
        <v>164</v>
      </c>
      <c r="E67" s="5" t="s">
        <v>5</v>
      </c>
      <c r="F67" s="5" t="s">
        <v>5</v>
      </c>
      <c r="G67" s="5" t="s">
        <v>5</v>
      </c>
      <c r="H67" s="33">
        <f>SUM(H68:H78)</f>
        <v>0</v>
      </c>
      <c r="I67" s="33">
        <f>SUM(I68:I78)</f>
        <v>0</v>
      </c>
      <c r="J67" s="33">
        <f>SUM(J68:J78)</f>
        <v>0</v>
      </c>
      <c r="K67" s="26"/>
      <c r="L67" s="33">
        <f>SUM(L68:L78)</f>
        <v>0</v>
      </c>
      <c r="M67" s="26"/>
      <c r="AI67" s="149"/>
      <c r="AS67" s="150">
        <f>SUM(AJ68:AJ78)</f>
        <v>0</v>
      </c>
      <c r="AT67" s="150">
        <f>SUM(AK68:AK78)</f>
        <v>0</v>
      </c>
      <c r="AU67" s="150">
        <f>SUM(AL68:AL78)</f>
        <v>0</v>
      </c>
    </row>
    <row r="68" spans="1:62" ht="12.75">
      <c r="A68" s="4" t="s">
        <v>50</v>
      </c>
      <c r="B68" s="4"/>
      <c r="C68" s="4"/>
      <c r="D68" s="67" t="s">
        <v>165</v>
      </c>
      <c r="E68" s="4" t="s">
        <v>221</v>
      </c>
      <c r="F68" s="17">
        <v>1</v>
      </c>
      <c r="G68" s="152">
        <v>0</v>
      </c>
      <c r="H68" s="17">
        <f aca="true" t="shared" si="48" ref="H68:H78">F68*AO68</f>
        <v>0</v>
      </c>
      <c r="I68" s="17">
        <f aca="true" t="shared" si="49" ref="I68:I78">F68*AP68</f>
        <v>0</v>
      </c>
      <c r="J68" s="17">
        <f aca="true" t="shared" si="50" ref="J68:J78">F68*G68</f>
        <v>0</v>
      </c>
      <c r="K68" s="17">
        <v>0</v>
      </c>
      <c r="L68" s="17">
        <f aca="true" t="shared" si="51" ref="L68:L78">F68*K68</f>
        <v>0</v>
      </c>
      <c r="M68" s="29"/>
      <c r="Z68" s="154">
        <f aca="true" t="shared" si="52" ref="Z68:Z78">IF(AQ68="5",BJ68,0)</f>
        <v>0</v>
      </c>
      <c r="AB68" s="154">
        <f aca="true" t="shared" si="53" ref="AB68:AB78">IF(AQ68="1",BH68,0)</f>
        <v>0</v>
      </c>
      <c r="AC68" s="154">
        <f aca="true" t="shared" si="54" ref="AC68:AC78">IF(AQ68="1",BI68,0)</f>
        <v>0</v>
      </c>
      <c r="AD68" s="154">
        <f aca="true" t="shared" si="55" ref="AD68:AD78">IF(AQ68="7",BH68,0)</f>
        <v>0</v>
      </c>
      <c r="AE68" s="154">
        <f aca="true" t="shared" si="56" ref="AE68:AE78">IF(AQ68="7",BI68,0)</f>
        <v>0</v>
      </c>
      <c r="AF68" s="154">
        <f aca="true" t="shared" si="57" ref="AF68:AF78">IF(AQ68="2",BH68,0)</f>
        <v>0</v>
      </c>
      <c r="AG68" s="154">
        <f aca="true" t="shared" si="58" ref="AG68:AG78">IF(AQ68="2",BI68,0)</f>
        <v>0</v>
      </c>
      <c r="AH68" s="154">
        <f aca="true" t="shared" si="59" ref="AH68:AH78">IF(AQ68="0",BJ68,0)</f>
        <v>0</v>
      </c>
      <c r="AI68" s="149"/>
      <c r="AJ68" s="151">
        <f aca="true" t="shared" si="60" ref="AJ68:AJ78">IF(AN68=0,J68,0)</f>
        <v>0</v>
      </c>
      <c r="AK68" s="151">
        <f aca="true" t="shared" si="61" ref="AK68:AK78">IF(AN68=15,J68,0)</f>
        <v>0</v>
      </c>
      <c r="AL68" s="151">
        <f aca="true" t="shared" si="62" ref="AL68:AL78">IF(AN68=21,J68,0)</f>
        <v>0</v>
      </c>
      <c r="AN68" s="154">
        <v>21</v>
      </c>
      <c r="AO68" s="154">
        <f aca="true" t="shared" si="63" ref="AO68:AO78">G68*0</f>
        <v>0</v>
      </c>
      <c r="AP68" s="154">
        <f aca="true" t="shared" si="64" ref="AP68:AP78">G68*(1-0)</f>
        <v>0</v>
      </c>
      <c r="AQ68" s="153" t="s">
        <v>6</v>
      </c>
      <c r="AV68" s="154">
        <f aca="true" t="shared" si="65" ref="AV68:AV78">AW68+AX68</f>
        <v>0</v>
      </c>
      <c r="AW68" s="154">
        <f aca="true" t="shared" si="66" ref="AW68:AW78">F68*AO68</f>
        <v>0</v>
      </c>
      <c r="AX68" s="154">
        <f aca="true" t="shared" si="67" ref="AX68:AX78">F68*AP68</f>
        <v>0</v>
      </c>
      <c r="AY68" s="155" t="s">
        <v>258</v>
      </c>
      <c r="AZ68" s="155" t="s">
        <v>270</v>
      </c>
      <c r="BA68" s="149" t="s">
        <v>271</v>
      </c>
      <c r="BC68" s="154">
        <f aca="true" t="shared" si="68" ref="BC68:BC78">AW68+AX68</f>
        <v>0</v>
      </c>
      <c r="BD68" s="154">
        <f aca="true" t="shared" si="69" ref="BD68:BD78">G68/(100-BE68)*100</f>
        <v>0</v>
      </c>
      <c r="BE68" s="154">
        <v>0</v>
      </c>
      <c r="BF68" s="154">
        <f aca="true" t="shared" si="70" ref="BF68:BF78">L68</f>
        <v>0</v>
      </c>
      <c r="BH68" s="151">
        <f aca="true" t="shared" si="71" ref="BH68:BH78">F68*AO68</f>
        <v>0</v>
      </c>
      <c r="BI68" s="151">
        <f aca="true" t="shared" si="72" ref="BI68:BI78">F68*AP68</f>
        <v>0</v>
      </c>
      <c r="BJ68" s="151">
        <f aca="true" t="shared" si="73" ref="BJ68:BJ78">F68*G68</f>
        <v>0</v>
      </c>
    </row>
    <row r="69" spans="1:62" ht="26.25">
      <c r="A69" s="4" t="s">
        <v>51</v>
      </c>
      <c r="B69" s="4"/>
      <c r="C69" s="4"/>
      <c r="D69" s="67" t="s">
        <v>166</v>
      </c>
      <c r="E69" s="4" t="s">
        <v>221</v>
      </c>
      <c r="F69" s="17">
        <v>1</v>
      </c>
      <c r="G69" s="152">
        <v>0</v>
      </c>
      <c r="H69" s="17">
        <f t="shared" si="48"/>
        <v>0</v>
      </c>
      <c r="I69" s="17">
        <f t="shared" si="49"/>
        <v>0</v>
      </c>
      <c r="J69" s="17">
        <f t="shared" si="50"/>
        <v>0</v>
      </c>
      <c r="K69" s="17">
        <v>0</v>
      </c>
      <c r="L69" s="17">
        <f t="shared" si="51"/>
        <v>0</v>
      </c>
      <c r="M69" s="29"/>
      <c r="Z69" s="154">
        <f t="shared" si="52"/>
        <v>0</v>
      </c>
      <c r="AB69" s="154">
        <f t="shared" si="53"/>
        <v>0</v>
      </c>
      <c r="AC69" s="154">
        <f t="shared" si="54"/>
        <v>0</v>
      </c>
      <c r="AD69" s="154">
        <f t="shared" si="55"/>
        <v>0</v>
      </c>
      <c r="AE69" s="154">
        <f t="shared" si="56"/>
        <v>0</v>
      </c>
      <c r="AF69" s="154">
        <f t="shared" si="57"/>
        <v>0</v>
      </c>
      <c r="AG69" s="154">
        <f t="shared" si="58"/>
        <v>0</v>
      </c>
      <c r="AH69" s="154">
        <f t="shared" si="59"/>
        <v>0</v>
      </c>
      <c r="AI69" s="149"/>
      <c r="AJ69" s="151">
        <f t="shared" si="60"/>
        <v>0</v>
      </c>
      <c r="AK69" s="151">
        <f t="shared" si="61"/>
        <v>0</v>
      </c>
      <c r="AL69" s="151">
        <f t="shared" si="62"/>
        <v>0</v>
      </c>
      <c r="AN69" s="154">
        <v>21</v>
      </c>
      <c r="AO69" s="154">
        <f t="shared" si="63"/>
        <v>0</v>
      </c>
      <c r="AP69" s="154">
        <f t="shared" si="64"/>
        <v>0</v>
      </c>
      <c r="AQ69" s="153" t="s">
        <v>6</v>
      </c>
      <c r="AV69" s="154">
        <f t="shared" si="65"/>
        <v>0</v>
      </c>
      <c r="AW69" s="154">
        <f t="shared" si="66"/>
        <v>0</v>
      </c>
      <c r="AX69" s="154">
        <f t="shared" si="67"/>
        <v>0</v>
      </c>
      <c r="AY69" s="155" t="s">
        <v>258</v>
      </c>
      <c r="AZ69" s="155" t="s">
        <v>270</v>
      </c>
      <c r="BA69" s="149" t="s">
        <v>271</v>
      </c>
      <c r="BC69" s="154">
        <f t="shared" si="68"/>
        <v>0</v>
      </c>
      <c r="BD69" s="154">
        <f t="shared" si="69"/>
        <v>0</v>
      </c>
      <c r="BE69" s="154">
        <v>0</v>
      </c>
      <c r="BF69" s="154">
        <f t="shared" si="70"/>
        <v>0</v>
      </c>
      <c r="BH69" s="151">
        <f t="shared" si="71"/>
        <v>0</v>
      </c>
      <c r="BI69" s="151">
        <f t="shared" si="72"/>
        <v>0</v>
      </c>
      <c r="BJ69" s="151">
        <f t="shared" si="73"/>
        <v>0</v>
      </c>
    </row>
    <row r="70" spans="1:62" ht="26.25">
      <c r="A70" s="4" t="s">
        <v>52</v>
      </c>
      <c r="B70" s="4"/>
      <c r="C70" s="4"/>
      <c r="D70" s="67" t="s">
        <v>167</v>
      </c>
      <c r="E70" s="4" t="s">
        <v>221</v>
      </c>
      <c r="F70" s="17">
        <v>1</v>
      </c>
      <c r="G70" s="152">
        <v>0</v>
      </c>
      <c r="H70" s="17">
        <f t="shared" si="48"/>
        <v>0</v>
      </c>
      <c r="I70" s="17">
        <f t="shared" si="49"/>
        <v>0</v>
      </c>
      <c r="J70" s="17">
        <f t="shared" si="50"/>
        <v>0</v>
      </c>
      <c r="K70" s="17">
        <v>0</v>
      </c>
      <c r="L70" s="17">
        <f t="shared" si="51"/>
        <v>0</v>
      </c>
      <c r="M70" s="29"/>
      <c r="Z70" s="154">
        <f t="shared" si="52"/>
        <v>0</v>
      </c>
      <c r="AB70" s="154">
        <f t="shared" si="53"/>
        <v>0</v>
      </c>
      <c r="AC70" s="154">
        <f t="shared" si="54"/>
        <v>0</v>
      </c>
      <c r="AD70" s="154">
        <f t="shared" si="55"/>
        <v>0</v>
      </c>
      <c r="AE70" s="154">
        <f t="shared" si="56"/>
        <v>0</v>
      </c>
      <c r="AF70" s="154">
        <f t="shared" si="57"/>
        <v>0</v>
      </c>
      <c r="AG70" s="154">
        <f t="shared" si="58"/>
        <v>0</v>
      </c>
      <c r="AH70" s="154">
        <f t="shared" si="59"/>
        <v>0</v>
      </c>
      <c r="AI70" s="149"/>
      <c r="AJ70" s="151">
        <f t="shared" si="60"/>
        <v>0</v>
      </c>
      <c r="AK70" s="151">
        <f t="shared" si="61"/>
        <v>0</v>
      </c>
      <c r="AL70" s="151">
        <f t="shared" si="62"/>
        <v>0</v>
      </c>
      <c r="AN70" s="154">
        <v>21</v>
      </c>
      <c r="AO70" s="154">
        <f t="shared" si="63"/>
        <v>0</v>
      </c>
      <c r="AP70" s="154">
        <f t="shared" si="64"/>
        <v>0</v>
      </c>
      <c r="AQ70" s="153" t="s">
        <v>6</v>
      </c>
      <c r="AV70" s="154">
        <f t="shared" si="65"/>
        <v>0</v>
      </c>
      <c r="AW70" s="154">
        <f t="shared" si="66"/>
        <v>0</v>
      </c>
      <c r="AX70" s="154">
        <f t="shared" si="67"/>
        <v>0</v>
      </c>
      <c r="AY70" s="155" t="s">
        <v>258</v>
      </c>
      <c r="AZ70" s="155" t="s">
        <v>270</v>
      </c>
      <c r="BA70" s="149" t="s">
        <v>271</v>
      </c>
      <c r="BC70" s="154">
        <f t="shared" si="68"/>
        <v>0</v>
      </c>
      <c r="BD70" s="154">
        <f t="shared" si="69"/>
        <v>0</v>
      </c>
      <c r="BE70" s="154">
        <v>0</v>
      </c>
      <c r="BF70" s="154">
        <f t="shared" si="70"/>
        <v>0</v>
      </c>
      <c r="BH70" s="151">
        <f t="shared" si="71"/>
        <v>0</v>
      </c>
      <c r="BI70" s="151">
        <f t="shared" si="72"/>
        <v>0</v>
      </c>
      <c r="BJ70" s="151">
        <f t="shared" si="73"/>
        <v>0</v>
      </c>
    </row>
    <row r="71" spans="1:62" ht="26.25">
      <c r="A71" s="4" t="s">
        <v>53</v>
      </c>
      <c r="B71" s="4"/>
      <c r="C71" s="4"/>
      <c r="D71" s="67" t="s">
        <v>168</v>
      </c>
      <c r="E71" s="4" t="s">
        <v>221</v>
      </c>
      <c r="F71" s="17">
        <v>1</v>
      </c>
      <c r="G71" s="152">
        <v>0</v>
      </c>
      <c r="H71" s="17">
        <f t="shared" si="48"/>
        <v>0</v>
      </c>
      <c r="I71" s="17">
        <f t="shared" si="49"/>
        <v>0</v>
      </c>
      <c r="J71" s="17">
        <f t="shared" si="50"/>
        <v>0</v>
      </c>
      <c r="K71" s="17">
        <v>0</v>
      </c>
      <c r="L71" s="17">
        <f t="shared" si="51"/>
        <v>0</v>
      </c>
      <c r="M71" s="29"/>
      <c r="Z71" s="154">
        <f t="shared" si="52"/>
        <v>0</v>
      </c>
      <c r="AB71" s="154">
        <f t="shared" si="53"/>
        <v>0</v>
      </c>
      <c r="AC71" s="154">
        <f t="shared" si="54"/>
        <v>0</v>
      </c>
      <c r="AD71" s="154">
        <f t="shared" si="55"/>
        <v>0</v>
      </c>
      <c r="AE71" s="154">
        <f t="shared" si="56"/>
        <v>0</v>
      </c>
      <c r="AF71" s="154">
        <f t="shared" si="57"/>
        <v>0</v>
      </c>
      <c r="AG71" s="154">
        <f t="shared" si="58"/>
        <v>0</v>
      </c>
      <c r="AH71" s="154">
        <f t="shared" si="59"/>
        <v>0</v>
      </c>
      <c r="AI71" s="149"/>
      <c r="AJ71" s="151">
        <f t="shared" si="60"/>
        <v>0</v>
      </c>
      <c r="AK71" s="151">
        <f t="shared" si="61"/>
        <v>0</v>
      </c>
      <c r="AL71" s="151">
        <f t="shared" si="62"/>
        <v>0</v>
      </c>
      <c r="AN71" s="154">
        <v>21</v>
      </c>
      <c r="AO71" s="154">
        <f t="shared" si="63"/>
        <v>0</v>
      </c>
      <c r="AP71" s="154">
        <f t="shared" si="64"/>
        <v>0</v>
      </c>
      <c r="AQ71" s="153" t="s">
        <v>6</v>
      </c>
      <c r="AV71" s="154">
        <f t="shared" si="65"/>
        <v>0</v>
      </c>
      <c r="AW71" s="154">
        <f t="shared" si="66"/>
        <v>0</v>
      </c>
      <c r="AX71" s="154">
        <f t="shared" si="67"/>
        <v>0</v>
      </c>
      <c r="AY71" s="155" t="s">
        <v>258</v>
      </c>
      <c r="AZ71" s="155" t="s">
        <v>270</v>
      </c>
      <c r="BA71" s="149" t="s">
        <v>271</v>
      </c>
      <c r="BC71" s="154">
        <f t="shared" si="68"/>
        <v>0</v>
      </c>
      <c r="BD71" s="154">
        <f t="shared" si="69"/>
        <v>0</v>
      </c>
      <c r="BE71" s="154">
        <v>0</v>
      </c>
      <c r="BF71" s="154">
        <f t="shared" si="70"/>
        <v>0</v>
      </c>
      <c r="BH71" s="151">
        <f t="shared" si="71"/>
        <v>0</v>
      </c>
      <c r="BI71" s="151">
        <f t="shared" si="72"/>
        <v>0</v>
      </c>
      <c r="BJ71" s="151">
        <f t="shared" si="73"/>
        <v>0</v>
      </c>
    </row>
    <row r="72" spans="1:62" ht="26.25">
      <c r="A72" s="4" t="s">
        <v>54</v>
      </c>
      <c r="B72" s="4"/>
      <c r="C72" s="4"/>
      <c r="D72" s="67" t="s">
        <v>169</v>
      </c>
      <c r="E72" s="4" t="s">
        <v>221</v>
      </c>
      <c r="F72" s="17">
        <v>1</v>
      </c>
      <c r="G72" s="152">
        <v>0</v>
      </c>
      <c r="H72" s="17">
        <f t="shared" si="48"/>
        <v>0</v>
      </c>
      <c r="I72" s="17">
        <f t="shared" si="49"/>
        <v>0</v>
      </c>
      <c r="J72" s="17">
        <f t="shared" si="50"/>
        <v>0</v>
      </c>
      <c r="K72" s="17">
        <v>0</v>
      </c>
      <c r="L72" s="17">
        <f t="shared" si="51"/>
        <v>0</v>
      </c>
      <c r="M72" s="29"/>
      <c r="Z72" s="154">
        <f t="shared" si="52"/>
        <v>0</v>
      </c>
      <c r="AB72" s="154">
        <f t="shared" si="53"/>
        <v>0</v>
      </c>
      <c r="AC72" s="154">
        <f t="shared" si="54"/>
        <v>0</v>
      </c>
      <c r="AD72" s="154">
        <f t="shared" si="55"/>
        <v>0</v>
      </c>
      <c r="AE72" s="154">
        <f t="shared" si="56"/>
        <v>0</v>
      </c>
      <c r="AF72" s="154">
        <f t="shared" si="57"/>
        <v>0</v>
      </c>
      <c r="AG72" s="154">
        <f t="shared" si="58"/>
        <v>0</v>
      </c>
      <c r="AH72" s="154">
        <f t="shared" si="59"/>
        <v>0</v>
      </c>
      <c r="AI72" s="149"/>
      <c r="AJ72" s="151">
        <f t="shared" si="60"/>
        <v>0</v>
      </c>
      <c r="AK72" s="151">
        <f t="shared" si="61"/>
        <v>0</v>
      </c>
      <c r="AL72" s="151">
        <f t="shared" si="62"/>
        <v>0</v>
      </c>
      <c r="AN72" s="154">
        <v>21</v>
      </c>
      <c r="AO72" s="154">
        <f t="shared" si="63"/>
        <v>0</v>
      </c>
      <c r="AP72" s="154">
        <f t="shared" si="64"/>
        <v>0</v>
      </c>
      <c r="AQ72" s="153" t="s">
        <v>6</v>
      </c>
      <c r="AV72" s="154">
        <f t="shared" si="65"/>
        <v>0</v>
      </c>
      <c r="AW72" s="154">
        <f t="shared" si="66"/>
        <v>0</v>
      </c>
      <c r="AX72" s="154">
        <f t="shared" si="67"/>
        <v>0</v>
      </c>
      <c r="AY72" s="155" t="s">
        <v>258</v>
      </c>
      <c r="AZ72" s="155" t="s">
        <v>270</v>
      </c>
      <c r="BA72" s="149" t="s">
        <v>271</v>
      </c>
      <c r="BC72" s="154">
        <f t="shared" si="68"/>
        <v>0</v>
      </c>
      <c r="BD72" s="154">
        <f t="shared" si="69"/>
        <v>0</v>
      </c>
      <c r="BE72" s="154">
        <v>0</v>
      </c>
      <c r="BF72" s="154">
        <f t="shared" si="70"/>
        <v>0</v>
      </c>
      <c r="BH72" s="151">
        <f t="shared" si="71"/>
        <v>0</v>
      </c>
      <c r="BI72" s="151">
        <f t="shared" si="72"/>
        <v>0</v>
      </c>
      <c r="BJ72" s="151">
        <f t="shared" si="73"/>
        <v>0</v>
      </c>
    </row>
    <row r="73" spans="1:62" ht="26.25">
      <c r="A73" s="4" t="s">
        <v>55</v>
      </c>
      <c r="B73" s="4"/>
      <c r="C73" s="4"/>
      <c r="D73" s="67" t="s">
        <v>170</v>
      </c>
      <c r="E73" s="4" t="s">
        <v>221</v>
      </c>
      <c r="F73" s="17">
        <v>1</v>
      </c>
      <c r="G73" s="152">
        <v>0</v>
      </c>
      <c r="H73" s="17">
        <f t="shared" si="48"/>
        <v>0</v>
      </c>
      <c r="I73" s="17">
        <f t="shared" si="49"/>
        <v>0</v>
      </c>
      <c r="J73" s="17">
        <f t="shared" si="50"/>
        <v>0</v>
      </c>
      <c r="K73" s="17">
        <v>0</v>
      </c>
      <c r="L73" s="17">
        <f t="shared" si="51"/>
        <v>0</v>
      </c>
      <c r="M73" s="29"/>
      <c r="Z73" s="154">
        <f t="shared" si="52"/>
        <v>0</v>
      </c>
      <c r="AB73" s="154">
        <f t="shared" si="53"/>
        <v>0</v>
      </c>
      <c r="AC73" s="154">
        <f t="shared" si="54"/>
        <v>0</v>
      </c>
      <c r="AD73" s="154">
        <f t="shared" si="55"/>
        <v>0</v>
      </c>
      <c r="AE73" s="154">
        <f t="shared" si="56"/>
        <v>0</v>
      </c>
      <c r="AF73" s="154">
        <f t="shared" si="57"/>
        <v>0</v>
      </c>
      <c r="AG73" s="154">
        <f t="shared" si="58"/>
        <v>0</v>
      </c>
      <c r="AH73" s="154">
        <f t="shared" si="59"/>
        <v>0</v>
      </c>
      <c r="AI73" s="149"/>
      <c r="AJ73" s="151">
        <f t="shared" si="60"/>
        <v>0</v>
      </c>
      <c r="AK73" s="151">
        <f t="shared" si="61"/>
        <v>0</v>
      </c>
      <c r="AL73" s="151">
        <f t="shared" si="62"/>
        <v>0</v>
      </c>
      <c r="AN73" s="154">
        <v>21</v>
      </c>
      <c r="AO73" s="154">
        <f t="shared" si="63"/>
        <v>0</v>
      </c>
      <c r="AP73" s="154">
        <f t="shared" si="64"/>
        <v>0</v>
      </c>
      <c r="AQ73" s="153" t="s">
        <v>6</v>
      </c>
      <c r="AV73" s="154">
        <f t="shared" si="65"/>
        <v>0</v>
      </c>
      <c r="AW73" s="154">
        <f t="shared" si="66"/>
        <v>0</v>
      </c>
      <c r="AX73" s="154">
        <f t="shared" si="67"/>
        <v>0</v>
      </c>
      <c r="AY73" s="155" t="s">
        <v>258</v>
      </c>
      <c r="AZ73" s="155" t="s">
        <v>270</v>
      </c>
      <c r="BA73" s="149" t="s">
        <v>271</v>
      </c>
      <c r="BC73" s="154">
        <f t="shared" si="68"/>
        <v>0</v>
      </c>
      <c r="BD73" s="154">
        <f t="shared" si="69"/>
        <v>0</v>
      </c>
      <c r="BE73" s="154">
        <v>0</v>
      </c>
      <c r="BF73" s="154">
        <f t="shared" si="70"/>
        <v>0</v>
      </c>
      <c r="BH73" s="151">
        <f t="shared" si="71"/>
        <v>0</v>
      </c>
      <c r="BI73" s="151">
        <f t="shared" si="72"/>
        <v>0</v>
      </c>
      <c r="BJ73" s="151">
        <f t="shared" si="73"/>
        <v>0</v>
      </c>
    </row>
    <row r="74" spans="1:62" ht="26.25">
      <c r="A74" s="4" t="s">
        <v>56</v>
      </c>
      <c r="B74" s="4"/>
      <c r="C74" s="4"/>
      <c r="D74" s="67" t="s">
        <v>171</v>
      </c>
      <c r="E74" s="4" t="s">
        <v>221</v>
      </c>
      <c r="F74" s="17">
        <v>1</v>
      </c>
      <c r="G74" s="152">
        <v>0</v>
      </c>
      <c r="H74" s="17">
        <f t="shared" si="48"/>
        <v>0</v>
      </c>
      <c r="I74" s="17">
        <f t="shared" si="49"/>
        <v>0</v>
      </c>
      <c r="J74" s="17">
        <f t="shared" si="50"/>
        <v>0</v>
      </c>
      <c r="K74" s="17">
        <v>0</v>
      </c>
      <c r="L74" s="17">
        <f t="shared" si="51"/>
        <v>0</v>
      </c>
      <c r="M74" s="29"/>
      <c r="Z74" s="154">
        <f t="shared" si="52"/>
        <v>0</v>
      </c>
      <c r="AB74" s="154">
        <f t="shared" si="53"/>
        <v>0</v>
      </c>
      <c r="AC74" s="154">
        <f t="shared" si="54"/>
        <v>0</v>
      </c>
      <c r="AD74" s="154">
        <f t="shared" si="55"/>
        <v>0</v>
      </c>
      <c r="AE74" s="154">
        <f t="shared" si="56"/>
        <v>0</v>
      </c>
      <c r="AF74" s="154">
        <f t="shared" si="57"/>
        <v>0</v>
      </c>
      <c r="AG74" s="154">
        <f t="shared" si="58"/>
        <v>0</v>
      </c>
      <c r="AH74" s="154">
        <f t="shared" si="59"/>
        <v>0</v>
      </c>
      <c r="AI74" s="149"/>
      <c r="AJ74" s="151">
        <f t="shared" si="60"/>
        <v>0</v>
      </c>
      <c r="AK74" s="151">
        <f t="shared" si="61"/>
        <v>0</v>
      </c>
      <c r="AL74" s="151">
        <f t="shared" si="62"/>
        <v>0</v>
      </c>
      <c r="AN74" s="154">
        <v>21</v>
      </c>
      <c r="AO74" s="154">
        <f t="shared" si="63"/>
        <v>0</v>
      </c>
      <c r="AP74" s="154">
        <f t="shared" si="64"/>
        <v>0</v>
      </c>
      <c r="AQ74" s="153" t="s">
        <v>6</v>
      </c>
      <c r="AV74" s="154">
        <f t="shared" si="65"/>
        <v>0</v>
      </c>
      <c r="AW74" s="154">
        <f t="shared" si="66"/>
        <v>0</v>
      </c>
      <c r="AX74" s="154">
        <f t="shared" si="67"/>
        <v>0</v>
      </c>
      <c r="AY74" s="155" t="s">
        <v>258</v>
      </c>
      <c r="AZ74" s="155" t="s">
        <v>270</v>
      </c>
      <c r="BA74" s="149" t="s">
        <v>271</v>
      </c>
      <c r="BC74" s="154">
        <f t="shared" si="68"/>
        <v>0</v>
      </c>
      <c r="BD74" s="154">
        <f t="shared" si="69"/>
        <v>0</v>
      </c>
      <c r="BE74" s="154">
        <v>0</v>
      </c>
      <c r="BF74" s="154">
        <f t="shared" si="70"/>
        <v>0</v>
      </c>
      <c r="BH74" s="151">
        <f t="shared" si="71"/>
        <v>0</v>
      </c>
      <c r="BI74" s="151">
        <f t="shared" si="72"/>
        <v>0</v>
      </c>
      <c r="BJ74" s="151">
        <f t="shared" si="73"/>
        <v>0</v>
      </c>
    </row>
    <row r="75" spans="1:62" ht="12.75">
      <c r="A75" s="4" t="s">
        <v>57</v>
      </c>
      <c r="B75" s="4"/>
      <c r="C75" s="4"/>
      <c r="D75" s="67" t="s">
        <v>172</v>
      </c>
      <c r="E75" s="4" t="s">
        <v>221</v>
      </c>
      <c r="F75" s="17">
        <v>1</v>
      </c>
      <c r="G75" s="152">
        <v>0</v>
      </c>
      <c r="H75" s="17">
        <f t="shared" si="48"/>
        <v>0</v>
      </c>
      <c r="I75" s="17">
        <f t="shared" si="49"/>
        <v>0</v>
      </c>
      <c r="J75" s="17">
        <f t="shared" si="50"/>
        <v>0</v>
      </c>
      <c r="K75" s="17">
        <v>0</v>
      </c>
      <c r="L75" s="17">
        <f t="shared" si="51"/>
        <v>0</v>
      </c>
      <c r="M75" s="29"/>
      <c r="Z75" s="154">
        <f t="shared" si="52"/>
        <v>0</v>
      </c>
      <c r="AB75" s="154">
        <f t="shared" si="53"/>
        <v>0</v>
      </c>
      <c r="AC75" s="154">
        <f t="shared" si="54"/>
        <v>0</v>
      </c>
      <c r="AD75" s="154">
        <f t="shared" si="55"/>
        <v>0</v>
      </c>
      <c r="AE75" s="154">
        <f t="shared" si="56"/>
        <v>0</v>
      </c>
      <c r="AF75" s="154">
        <f t="shared" si="57"/>
        <v>0</v>
      </c>
      <c r="AG75" s="154">
        <f t="shared" si="58"/>
        <v>0</v>
      </c>
      <c r="AH75" s="154">
        <f t="shared" si="59"/>
        <v>0</v>
      </c>
      <c r="AI75" s="149"/>
      <c r="AJ75" s="151">
        <f t="shared" si="60"/>
        <v>0</v>
      </c>
      <c r="AK75" s="151">
        <f t="shared" si="61"/>
        <v>0</v>
      </c>
      <c r="AL75" s="151">
        <f t="shared" si="62"/>
        <v>0</v>
      </c>
      <c r="AN75" s="154">
        <v>21</v>
      </c>
      <c r="AO75" s="154">
        <f t="shared" si="63"/>
        <v>0</v>
      </c>
      <c r="AP75" s="154">
        <f t="shared" si="64"/>
        <v>0</v>
      </c>
      <c r="AQ75" s="153" t="s">
        <v>6</v>
      </c>
      <c r="AV75" s="154">
        <f t="shared" si="65"/>
        <v>0</v>
      </c>
      <c r="AW75" s="154">
        <f t="shared" si="66"/>
        <v>0</v>
      </c>
      <c r="AX75" s="154">
        <f t="shared" si="67"/>
        <v>0</v>
      </c>
      <c r="AY75" s="155" t="s">
        <v>258</v>
      </c>
      <c r="AZ75" s="155" t="s">
        <v>270</v>
      </c>
      <c r="BA75" s="149" t="s">
        <v>271</v>
      </c>
      <c r="BC75" s="154">
        <f t="shared" si="68"/>
        <v>0</v>
      </c>
      <c r="BD75" s="154">
        <f t="shared" si="69"/>
        <v>0</v>
      </c>
      <c r="BE75" s="154">
        <v>0</v>
      </c>
      <c r="BF75" s="154">
        <f t="shared" si="70"/>
        <v>0</v>
      </c>
      <c r="BH75" s="151">
        <f t="shared" si="71"/>
        <v>0</v>
      </c>
      <c r="BI75" s="151">
        <f t="shared" si="72"/>
        <v>0</v>
      </c>
      <c r="BJ75" s="151">
        <f t="shared" si="73"/>
        <v>0</v>
      </c>
    </row>
    <row r="76" spans="1:62" ht="12.75">
      <c r="A76" s="4" t="s">
        <v>58</v>
      </c>
      <c r="B76" s="4"/>
      <c r="C76" s="4"/>
      <c r="D76" s="67" t="s">
        <v>173</v>
      </c>
      <c r="E76" s="4" t="s">
        <v>217</v>
      </c>
      <c r="F76" s="17">
        <v>5400</v>
      </c>
      <c r="G76" s="152">
        <v>0</v>
      </c>
      <c r="H76" s="17">
        <f t="shared" si="48"/>
        <v>0</v>
      </c>
      <c r="I76" s="17">
        <f t="shared" si="49"/>
        <v>0</v>
      </c>
      <c r="J76" s="17">
        <f t="shared" si="50"/>
        <v>0</v>
      </c>
      <c r="K76" s="17">
        <v>0</v>
      </c>
      <c r="L76" s="17">
        <f t="shared" si="51"/>
        <v>0</v>
      </c>
      <c r="M76" s="29"/>
      <c r="Z76" s="154">
        <f t="shared" si="52"/>
        <v>0</v>
      </c>
      <c r="AB76" s="154">
        <f t="shared" si="53"/>
        <v>0</v>
      </c>
      <c r="AC76" s="154">
        <f t="shared" si="54"/>
        <v>0</v>
      </c>
      <c r="AD76" s="154">
        <f t="shared" si="55"/>
        <v>0</v>
      </c>
      <c r="AE76" s="154">
        <f t="shared" si="56"/>
        <v>0</v>
      </c>
      <c r="AF76" s="154">
        <f t="shared" si="57"/>
        <v>0</v>
      </c>
      <c r="AG76" s="154">
        <f t="shared" si="58"/>
        <v>0</v>
      </c>
      <c r="AH76" s="154">
        <f t="shared" si="59"/>
        <v>0</v>
      </c>
      <c r="AI76" s="149"/>
      <c r="AJ76" s="151">
        <f t="shared" si="60"/>
        <v>0</v>
      </c>
      <c r="AK76" s="151">
        <f t="shared" si="61"/>
        <v>0</v>
      </c>
      <c r="AL76" s="151">
        <f t="shared" si="62"/>
        <v>0</v>
      </c>
      <c r="AN76" s="154">
        <v>21</v>
      </c>
      <c r="AO76" s="154">
        <f t="shared" si="63"/>
        <v>0</v>
      </c>
      <c r="AP76" s="154">
        <f t="shared" si="64"/>
        <v>0</v>
      </c>
      <c r="AQ76" s="153" t="s">
        <v>6</v>
      </c>
      <c r="AV76" s="154">
        <f t="shared" si="65"/>
        <v>0</v>
      </c>
      <c r="AW76" s="154">
        <f t="shared" si="66"/>
        <v>0</v>
      </c>
      <c r="AX76" s="154">
        <f t="shared" si="67"/>
        <v>0</v>
      </c>
      <c r="AY76" s="155" t="s">
        <v>258</v>
      </c>
      <c r="AZ76" s="155" t="s">
        <v>270</v>
      </c>
      <c r="BA76" s="149" t="s">
        <v>271</v>
      </c>
      <c r="BC76" s="154">
        <f t="shared" si="68"/>
        <v>0</v>
      </c>
      <c r="BD76" s="154">
        <f t="shared" si="69"/>
        <v>0</v>
      </c>
      <c r="BE76" s="154">
        <v>0</v>
      </c>
      <c r="BF76" s="154">
        <f t="shared" si="70"/>
        <v>0</v>
      </c>
      <c r="BH76" s="151">
        <f t="shared" si="71"/>
        <v>0</v>
      </c>
      <c r="BI76" s="151">
        <f t="shared" si="72"/>
        <v>0</v>
      </c>
      <c r="BJ76" s="151">
        <f t="shared" si="73"/>
        <v>0</v>
      </c>
    </row>
    <row r="77" spans="1:62" ht="12.75">
      <c r="A77" s="4" t="s">
        <v>59</v>
      </c>
      <c r="B77" s="4"/>
      <c r="C77" s="4"/>
      <c r="D77" s="67" t="s">
        <v>174</v>
      </c>
      <c r="E77" s="4" t="s">
        <v>221</v>
      </c>
      <c r="F77" s="17">
        <v>1</v>
      </c>
      <c r="G77" s="152">
        <v>0</v>
      </c>
      <c r="H77" s="17">
        <f t="shared" si="48"/>
        <v>0</v>
      </c>
      <c r="I77" s="17">
        <f t="shared" si="49"/>
        <v>0</v>
      </c>
      <c r="J77" s="17">
        <f t="shared" si="50"/>
        <v>0</v>
      </c>
      <c r="K77" s="17">
        <v>0</v>
      </c>
      <c r="L77" s="17">
        <f t="shared" si="51"/>
        <v>0</v>
      </c>
      <c r="M77" s="29"/>
      <c r="Z77" s="154">
        <f t="shared" si="52"/>
        <v>0</v>
      </c>
      <c r="AB77" s="154">
        <f t="shared" si="53"/>
        <v>0</v>
      </c>
      <c r="AC77" s="154">
        <f t="shared" si="54"/>
        <v>0</v>
      </c>
      <c r="AD77" s="154">
        <f t="shared" si="55"/>
        <v>0</v>
      </c>
      <c r="AE77" s="154">
        <f t="shared" si="56"/>
        <v>0</v>
      </c>
      <c r="AF77" s="154">
        <f t="shared" si="57"/>
        <v>0</v>
      </c>
      <c r="AG77" s="154">
        <f t="shared" si="58"/>
        <v>0</v>
      </c>
      <c r="AH77" s="154">
        <f t="shared" si="59"/>
        <v>0</v>
      </c>
      <c r="AI77" s="149"/>
      <c r="AJ77" s="151">
        <f t="shared" si="60"/>
        <v>0</v>
      </c>
      <c r="AK77" s="151">
        <f t="shared" si="61"/>
        <v>0</v>
      </c>
      <c r="AL77" s="151">
        <f t="shared" si="62"/>
        <v>0</v>
      </c>
      <c r="AN77" s="154">
        <v>21</v>
      </c>
      <c r="AO77" s="154">
        <f t="shared" si="63"/>
        <v>0</v>
      </c>
      <c r="AP77" s="154">
        <f t="shared" si="64"/>
        <v>0</v>
      </c>
      <c r="AQ77" s="153" t="s">
        <v>6</v>
      </c>
      <c r="AV77" s="154">
        <f t="shared" si="65"/>
        <v>0</v>
      </c>
      <c r="AW77" s="154">
        <f t="shared" si="66"/>
        <v>0</v>
      </c>
      <c r="AX77" s="154">
        <f t="shared" si="67"/>
        <v>0</v>
      </c>
      <c r="AY77" s="155" t="s">
        <v>258</v>
      </c>
      <c r="AZ77" s="155" t="s">
        <v>270</v>
      </c>
      <c r="BA77" s="149" t="s">
        <v>271</v>
      </c>
      <c r="BC77" s="154">
        <f t="shared" si="68"/>
        <v>0</v>
      </c>
      <c r="BD77" s="154">
        <f t="shared" si="69"/>
        <v>0</v>
      </c>
      <c r="BE77" s="154">
        <v>0</v>
      </c>
      <c r="BF77" s="154">
        <f t="shared" si="70"/>
        <v>0</v>
      </c>
      <c r="BH77" s="151">
        <f t="shared" si="71"/>
        <v>0</v>
      </c>
      <c r="BI77" s="151">
        <f t="shared" si="72"/>
        <v>0</v>
      </c>
      <c r="BJ77" s="151">
        <f t="shared" si="73"/>
        <v>0</v>
      </c>
    </row>
    <row r="78" spans="1:62" ht="26.25">
      <c r="A78" s="4" t="s">
        <v>60</v>
      </c>
      <c r="B78" s="4"/>
      <c r="C78" s="4"/>
      <c r="D78" s="67" t="s">
        <v>175</v>
      </c>
      <c r="E78" s="4" t="s">
        <v>221</v>
      </c>
      <c r="F78" s="17">
        <v>1</v>
      </c>
      <c r="G78" s="152">
        <v>0</v>
      </c>
      <c r="H78" s="17">
        <f t="shared" si="48"/>
        <v>0</v>
      </c>
      <c r="I78" s="17">
        <f t="shared" si="49"/>
        <v>0</v>
      </c>
      <c r="J78" s="17">
        <f t="shared" si="50"/>
        <v>0</v>
      </c>
      <c r="K78" s="17">
        <v>0</v>
      </c>
      <c r="L78" s="17">
        <f t="shared" si="51"/>
        <v>0</v>
      </c>
      <c r="M78" s="29"/>
      <c r="Z78" s="154">
        <f t="shared" si="52"/>
        <v>0</v>
      </c>
      <c r="AB78" s="154">
        <f t="shared" si="53"/>
        <v>0</v>
      </c>
      <c r="AC78" s="154">
        <f t="shared" si="54"/>
        <v>0</v>
      </c>
      <c r="AD78" s="154">
        <f t="shared" si="55"/>
        <v>0</v>
      </c>
      <c r="AE78" s="154">
        <f t="shared" si="56"/>
        <v>0</v>
      </c>
      <c r="AF78" s="154">
        <f t="shared" si="57"/>
        <v>0</v>
      </c>
      <c r="AG78" s="154">
        <f t="shared" si="58"/>
        <v>0</v>
      </c>
      <c r="AH78" s="154">
        <f t="shared" si="59"/>
        <v>0</v>
      </c>
      <c r="AI78" s="149"/>
      <c r="AJ78" s="151">
        <f t="shared" si="60"/>
        <v>0</v>
      </c>
      <c r="AK78" s="151">
        <f t="shared" si="61"/>
        <v>0</v>
      </c>
      <c r="AL78" s="151">
        <f t="shared" si="62"/>
        <v>0</v>
      </c>
      <c r="AN78" s="154">
        <v>21</v>
      </c>
      <c r="AO78" s="154">
        <f t="shared" si="63"/>
        <v>0</v>
      </c>
      <c r="AP78" s="154">
        <f t="shared" si="64"/>
        <v>0</v>
      </c>
      <c r="AQ78" s="153" t="s">
        <v>6</v>
      </c>
      <c r="AV78" s="154">
        <f t="shared" si="65"/>
        <v>0</v>
      </c>
      <c r="AW78" s="154">
        <f t="shared" si="66"/>
        <v>0</v>
      </c>
      <c r="AX78" s="154">
        <f t="shared" si="67"/>
        <v>0</v>
      </c>
      <c r="AY78" s="155" t="s">
        <v>258</v>
      </c>
      <c r="AZ78" s="155" t="s">
        <v>270</v>
      </c>
      <c r="BA78" s="149" t="s">
        <v>271</v>
      </c>
      <c r="BC78" s="154">
        <f t="shared" si="68"/>
        <v>0</v>
      </c>
      <c r="BD78" s="154">
        <f t="shared" si="69"/>
        <v>0</v>
      </c>
      <c r="BE78" s="154">
        <v>0</v>
      </c>
      <c r="BF78" s="154">
        <f t="shared" si="70"/>
        <v>0</v>
      </c>
      <c r="BH78" s="151">
        <f t="shared" si="71"/>
        <v>0</v>
      </c>
      <c r="BI78" s="151">
        <f t="shared" si="72"/>
        <v>0</v>
      </c>
      <c r="BJ78" s="151">
        <f t="shared" si="73"/>
        <v>0</v>
      </c>
    </row>
    <row r="79" spans="1:47" ht="12.75">
      <c r="A79" s="5"/>
      <c r="B79" s="13"/>
      <c r="C79" s="13" t="s">
        <v>100</v>
      </c>
      <c r="D79" s="13" t="s">
        <v>176</v>
      </c>
      <c r="E79" s="5" t="s">
        <v>5</v>
      </c>
      <c r="F79" s="5" t="s">
        <v>5</v>
      </c>
      <c r="G79" s="5" t="s">
        <v>5</v>
      </c>
      <c r="H79" s="33">
        <f>SUM(H80:H88)</f>
        <v>0</v>
      </c>
      <c r="I79" s="33">
        <f>SUM(I80:I88)</f>
        <v>0</v>
      </c>
      <c r="J79" s="33">
        <f>SUM(J80:J88)</f>
        <v>0</v>
      </c>
      <c r="K79" s="26"/>
      <c r="L79" s="33">
        <f>SUM(L80:L88)</f>
        <v>5.1156</v>
      </c>
      <c r="M79" s="26"/>
      <c r="AI79" s="149"/>
      <c r="AS79" s="150">
        <f>SUM(AJ80:AJ88)</f>
        <v>0</v>
      </c>
      <c r="AT79" s="150">
        <f>SUM(AK80:AK88)</f>
        <v>0</v>
      </c>
      <c r="AU79" s="150">
        <f>SUM(AL80:AL88)</f>
        <v>0</v>
      </c>
    </row>
    <row r="80" spans="1:62" ht="26.25">
      <c r="A80" s="4" t="s">
        <v>61</v>
      </c>
      <c r="B80" s="4"/>
      <c r="C80" s="4"/>
      <c r="D80" s="67" t="s">
        <v>177</v>
      </c>
      <c r="E80" s="4" t="s">
        <v>217</v>
      </c>
      <c r="F80" s="17">
        <v>835.5</v>
      </c>
      <c r="G80" s="152">
        <v>0</v>
      </c>
      <c r="H80" s="17">
        <f aca="true" t="shared" si="74" ref="H80:H88">F80*AO80</f>
        <v>0</v>
      </c>
      <c r="I80" s="17">
        <f aca="true" t="shared" si="75" ref="I80:I88">F80*AP80</f>
        <v>0</v>
      </c>
      <c r="J80" s="17">
        <f aca="true" t="shared" si="76" ref="J80:J88">F80*G80</f>
        <v>0</v>
      </c>
      <c r="K80" s="17">
        <v>0</v>
      </c>
      <c r="L80" s="17">
        <f aca="true" t="shared" si="77" ref="L80:L88">F80*K80</f>
        <v>0</v>
      </c>
      <c r="M80" s="29"/>
      <c r="Z80" s="154">
        <f aca="true" t="shared" si="78" ref="Z80:Z88">IF(AQ80="5",BJ80,0)</f>
        <v>0</v>
      </c>
      <c r="AB80" s="154">
        <f aca="true" t="shared" si="79" ref="AB80:AB88">IF(AQ80="1",BH80,0)</f>
        <v>0</v>
      </c>
      <c r="AC80" s="154">
        <f aca="true" t="shared" si="80" ref="AC80:AC88">IF(AQ80="1",BI80,0)</f>
        <v>0</v>
      </c>
      <c r="AD80" s="154">
        <f aca="true" t="shared" si="81" ref="AD80:AD88">IF(AQ80="7",BH80,0)</f>
        <v>0</v>
      </c>
      <c r="AE80" s="154">
        <f aca="true" t="shared" si="82" ref="AE80:AE88">IF(AQ80="7",BI80,0)</f>
        <v>0</v>
      </c>
      <c r="AF80" s="154">
        <f aca="true" t="shared" si="83" ref="AF80:AF88">IF(AQ80="2",BH80,0)</f>
        <v>0</v>
      </c>
      <c r="AG80" s="154">
        <f aca="true" t="shared" si="84" ref="AG80:AG88">IF(AQ80="2",BI80,0)</f>
        <v>0</v>
      </c>
      <c r="AH80" s="154">
        <f aca="true" t="shared" si="85" ref="AH80:AH88">IF(AQ80="0",BJ80,0)</f>
        <v>0</v>
      </c>
      <c r="AI80" s="149"/>
      <c r="AJ80" s="151">
        <f aca="true" t="shared" si="86" ref="AJ80:AJ88">IF(AN80=0,J80,0)</f>
        <v>0</v>
      </c>
      <c r="AK80" s="151">
        <f aca="true" t="shared" si="87" ref="AK80:AK88">IF(AN80=15,J80,0)</f>
        <v>0</v>
      </c>
      <c r="AL80" s="151">
        <f aca="true" t="shared" si="88" ref="AL80:AL88">IF(AN80=21,J80,0)</f>
        <v>0</v>
      </c>
      <c r="AN80" s="154">
        <v>21</v>
      </c>
      <c r="AO80" s="154">
        <f>G80*0</f>
        <v>0</v>
      </c>
      <c r="AP80" s="154">
        <f>G80*(1-0)</f>
        <v>0</v>
      </c>
      <c r="AQ80" s="153" t="s">
        <v>6</v>
      </c>
      <c r="AV80" s="154">
        <f aca="true" t="shared" si="89" ref="AV80:AV88">AW80+AX80</f>
        <v>0</v>
      </c>
      <c r="AW80" s="154">
        <f aca="true" t="shared" si="90" ref="AW80:AW88">F80*AO80</f>
        <v>0</v>
      </c>
      <c r="AX80" s="154">
        <f aca="true" t="shared" si="91" ref="AX80:AX88">F80*AP80</f>
        <v>0</v>
      </c>
      <c r="AY80" s="155" t="s">
        <v>259</v>
      </c>
      <c r="AZ80" s="155" t="s">
        <v>270</v>
      </c>
      <c r="BA80" s="149" t="s">
        <v>271</v>
      </c>
      <c r="BC80" s="154">
        <f aca="true" t="shared" si="92" ref="BC80:BC88">AW80+AX80</f>
        <v>0</v>
      </c>
      <c r="BD80" s="154">
        <f aca="true" t="shared" si="93" ref="BD80:BD88">G80/(100-BE80)*100</f>
        <v>0</v>
      </c>
      <c r="BE80" s="154">
        <v>0</v>
      </c>
      <c r="BF80" s="154">
        <f aca="true" t="shared" si="94" ref="BF80:BF88">L80</f>
        <v>0</v>
      </c>
      <c r="BH80" s="151">
        <f aca="true" t="shared" si="95" ref="BH80:BH88">F80*AO80</f>
        <v>0</v>
      </c>
      <c r="BI80" s="151">
        <f aca="true" t="shared" si="96" ref="BI80:BI88">F80*AP80</f>
        <v>0</v>
      </c>
      <c r="BJ80" s="151">
        <f aca="true" t="shared" si="97" ref="BJ80:BJ88">F80*G80</f>
        <v>0</v>
      </c>
    </row>
    <row r="81" spans="1:62" ht="12.75">
      <c r="A81" s="4" t="s">
        <v>62</v>
      </c>
      <c r="B81" s="4"/>
      <c r="C81" s="4"/>
      <c r="D81" s="67" t="s">
        <v>178</v>
      </c>
      <c r="E81" s="4" t="s">
        <v>217</v>
      </c>
      <c r="F81" s="17">
        <v>2088.75</v>
      </c>
      <c r="G81" s="152">
        <v>0</v>
      </c>
      <c r="H81" s="17">
        <f t="shared" si="74"/>
        <v>0</v>
      </c>
      <c r="I81" s="17">
        <f t="shared" si="75"/>
        <v>0</v>
      </c>
      <c r="J81" s="17">
        <f t="shared" si="76"/>
        <v>0</v>
      </c>
      <c r="K81" s="17">
        <v>0</v>
      </c>
      <c r="L81" s="17">
        <f t="shared" si="77"/>
        <v>0</v>
      </c>
      <c r="M81" s="29"/>
      <c r="Z81" s="154">
        <f t="shared" si="78"/>
        <v>0</v>
      </c>
      <c r="AB81" s="154">
        <f t="shared" si="79"/>
        <v>0</v>
      </c>
      <c r="AC81" s="154">
        <f t="shared" si="80"/>
        <v>0</v>
      </c>
      <c r="AD81" s="154">
        <f t="shared" si="81"/>
        <v>0</v>
      </c>
      <c r="AE81" s="154">
        <f t="shared" si="82"/>
        <v>0</v>
      </c>
      <c r="AF81" s="154">
        <f t="shared" si="83"/>
        <v>0</v>
      </c>
      <c r="AG81" s="154">
        <f t="shared" si="84"/>
        <v>0</v>
      </c>
      <c r="AH81" s="154">
        <f t="shared" si="85"/>
        <v>0</v>
      </c>
      <c r="AI81" s="149"/>
      <c r="AJ81" s="151">
        <f t="shared" si="86"/>
        <v>0</v>
      </c>
      <c r="AK81" s="151">
        <f t="shared" si="87"/>
        <v>0</v>
      </c>
      <c r="AL81" s="151">
        <f t="shared" si="88"/>
        <v>0</v>
      </c>
      <c r="AN81" s="154">
        <v>21</v>
      </c>
      <c r="AO81" s="154">
        <f>G81*0</f>
        <v>0</v>
      </c>
      <c r="AP81" s="154">
        <f>G81*(1-0)</f>
        <v>0</v>
      </c>
      <c r="AQ81" s="153" t="s">
        <v>6</v>
      </c>
      <c r="AV81" s="154">
        <f t="shared" si="89"/>
        <v>0</v>
      </c>
      <c r="AW81" s="154">
        <f t="shared" si="90"/>
        <v>0</v>
      </c>
      <c r="AX81" s="154">
        <f t="shared" si="91"/>
        <v>0</v>
      </c>
      <c r="AY81" s="155" t="s">
        <v>259</v>
      </c>
      <c r="AZ81" s="155" t="s">
        <v>270</v>
      </c>
      <c r="BA81" s="149" t="s">
        <v>271</v>
      </c>
      <c r="BC81" s="154">
        <f t="shared" si="92"/>
        <v>0</v>
      </c>
      <c r="BD81" s="154">
        <f t="shared" si="93"/>
        <v>0</v>
      </c>
      <c r="BE81" s="154">
        <v>0</v>
      </c>
      <c r="BF81" s="154">
        <f t="shared" si="94"/>
        <v>0</v>
      </c>
      <c r="BH81" s="151">
        <f t="shared" si="95"/>
        <v>0</v>
      </c>
      <c r="BI81" s="151">
        <f t="shared" si="96"/>
        <v>0</v>
      </c>
      <c r="BJ81" s="151">
        <f t="shared" si="97"/>
        <v>0</v>
      </c>
    </row>
    <row r="82" spans="1:62" ht="12.75">
      <c r="A82" s="4" t="s">
        <v>63</v>
      </c>
      <c r="B82" s="4"/>
      <c r="C82" s="4"/>
      <c r="D82" s="67" t="s">
        <v>179</v>
      </c>
      <c r="E82" s="4" t="s">
        <v>217</v>
      </c>
      <c r="F82" s="17">
        <v>835.5</v>
      </c>
      <c r="G82" s="152">
        <v>0</v>
      </c>
      <c r="H82" s="17">
        <f t="shared" si="74"/>
        <v>0</v>
      </c>
      <c r="I82" s="17">
        <f t="shared" si="75"/>
        <v>0</v>
      </c>
      <c r="J82" s="17">
        <f t="shared" si="76"/>
        <v>0</v>
      </c>
      <c r="K82" s="17">
        <v>0</v>
      </c>
      <c r="L82" s="17">
        <f t="shared" si="77"/>
        <v>0</v>
      </c>
      <c r="M82" s="29"/>
      <c r="Z82" s="154">
        <f t="shared" si="78"/>
        <v>0</v>
      </c>
      <c r="AB82" s="154">
        <f t="shared" si="79"/>
        <v>0</v>
      </c>
      <c r="AC82" s="154">
        <f t="shared" si="80"/>
        <v>0</v>
      </c>
      <c r="AD82" s="154">
        <f t="shared" si="81"/>
        <v>0</v>
      </c>
      <c r="AE82" s="154">
        <f t="shared" si="82"/>
        <v>0</v>
      </c>
      <c r="AF82" s="154">
        <f t="shared" si="83"/>
        <v>0</v>
      </c>
      <c r="AG82" s="154">
        <f t="shared" si="84"/>
        <v>0</v>
      </c>
      <c r="AH82" s="154">
        <f t="shared" si="85"/>
        <v>0</v>
      </c>
      <c r="AI82" s="149"/>
      <c r="AJ82" s="151">
        <f t="shared" si="86"/>
        <v>0</v>
      </c>
      <c r="AK82" s="151">
        <f t="shared" si="87"/>
        <v>0</v>
      </c>
      <c r="AL82" s="151">
        <f t="shared" si="88"/>
        <v>0</v>
      </c>
      <c r="AN82" s="154">
        <v>21</v>
      </c>
      <c r="AO82" s="154">
        <f>G82*0</f>
        <v>0</v>
      </c>
      <c r="AP82" s="154">
        <f>G82*(1-0)</f>
        <v>0</v>
      </c>
      <c r="AQ82" s="153" t="s">
        <v>6</v>
      </c>
      <c r="AV82" s="154">
        <f t="shared" si="89"/>
        <v>0</v>
      </c>
      <c r="AW82" s="154">
        <f t="shared" si="90"/>
        <v>0</v>
      </c>
      <c r="AX82" s="154">
        <f t="shared" si="91"/>
        <v>0</v>
      </c>
      <c r="AY82" s="155" t="s">
        <v>259</v>
      </c>
      <c r="AZ82" s="155" t="s">
        <v>270</v>
      </c>
      <c r="BA82" s="149" t="s">
        <v>271</v>
      </c>
      <c r="BC82" s="154">
        <f t="shared" si="92"/>
        <v>0</v>
      </c>
      <c r="BD82" s="154">
        <f t="shared" si="93"/>
        <v>0</v>
      </c>
      <c r="BE82" s="154">
        <v>0</v>
      </c>
      <c r="BF82" s="154">
        <f t="shared" si="94"/>
        <v>0</v>
      </c>
      <c r="BH82" s="151">
        <f t="shared" si="95"/>
        <v>0</v>
      </c>
      <c r="BI82" s="151">
        <f t="shared" si="96"/>
        <v>0</v>
      </c>
      <c r="BJ82" s="151">
        <f t="shared" si="97"/>
        <v>0</v>
      </c>
    </row>
    <row r="83" spans="1:62" ht="26.25">
      <c r="A83" s="4" t="s">
        <v>64</v>
      </c>
      <c r="B83" s="4"/>
      <c r="C83" s="4"/>
      <c r="D83" s="67" t="s">
        <v>180</v>
      </c>
      <c r="E83" s="4" t="s">
        <v>217</v>
      </c>
      <c r="F83" s="17">
        <v>36</v>
      </c>
      <c r="G83" s="152">
        <v>0</v>
      </c>
      <c r="H83" s="17">
        <f t="shared" si="74"/>
        <v>0</v>
      </c>
      <c r="I83" s="17">
        <f t="shared" si="75"/>
        <v>0</v>
      </c>
      <c r="J83" s="17">
        <f t="shared" si="76"/>
        <v>0</v>
      </c>
      <c r="K83" s="17">
        <v>0.00592</v>
      </c>
      <c r="L83" s="17">
        <f t="shared" si="77"/>
        <v>0.21312</v>
      </c>
      <c r="M83" s="29"/>
      <c r="Z83" s="154">
        <f t="shared" si="78"/>
        <v>0</v>
      </c>
      <c r="AB83" s="154">
        <f t="shared" si="79"/>
        <v>0</v>
      </c>
      <c r="AC83" s="154">
        <f t="shared" si="80"/>
        <v>0</v>
      </c>
      <c r="AD83" s="154">
        <f t="shared" si="81"/>
        <v>0</v>
      </c>
      <c r="AE83" s="154">
        <f t="shared" si="82"/>
        <v>0</v>
      </c>
      <c r="AF83" s="154">
        <f t="shared" si="83"/>
        <v>0</v>
      </c>
      <c r="AG83" s="154">
        <f t="shared" si="84"/>
        <v>0</v>
      </c>
      <c r="AH83" s="154">
        <f t="shared" si="85"/>
        <v>0</v>
      </c>
      <c r="AI83" s="149"/>
      <c r="AJ83" s="151">
        <f t="shared" si="86"/>
        <v>0</v>
      </c>
      <c r="AK83" s="151">
        <f t="shared" si="87"/>
        <v>0</v>
      </c>
      <c r="AL83" s="151">
        <f t="shared" si="88"/>
        <v>0</v>
      </c>
      <c r="AN83" s="154">
        <v>21</v>
      </c>
      <c r="AO83" s="154">
        <f>G83*0.414582154703137</f>
        <v>0</v>
      </c>
      <c r="AP83" s="154">
        <f>G83*(1-0.414582154703137)</f>
        <v>0</v>
      </c>
      <c r="AQ83" s="153" t="s">
        <v>6</v>
      </c>
      <c r="AV83" s="154">
        <f t="shared" si="89"/>
        <v>0</v>
      </c>
      <c r="AW83" s="154">
        <f t="shared" si="90"/>
        <v>0</v>
      </c>
      <c r="AX83" s="154">
        <f t="shared" si="91"/>
        <v>0</v>
      </c>
      <c r="AY83" s="155" t="s">
        <v>259</v>
      </c>
      <c r="AZ83" s="155" t="s">
        <v>270</v>
      </c>
      <c r="BA83" s="149" t="s">
        <v>271</v>
      </c>
      <c r="BC83" s="154">
        <f t="shared" si="92"/>
        <v>0</v>
      </c>
      <c r="BD83" s="154">
        <f t="shared" si="93"/>
        <v>0</v>
      </c>
      <c r="BE83" s="154">
        <v>0</v>
      </c>
      <c r="BF83" s="154">
        <f t="shared" si="94"/>
        <v>0.21312</v>
      </c>
      <c r="BH83" s="151">
        <f t="shared" si="95"/>
        <v>0</v>
      </c>
      <c r="BI83" s="151">
        <f t="shared" si="96"/>
        <v>0</v>
      </c>
      <c r="BJ83" s="151">
        <f t="shared" si="97"/>
        <v>0</v>
      </c>
    </row>
    <row r="84" spans="1:62" ht="26.25">
      <c r="A84" s="4" t="s">
        <v>65</v>
      </c>
      <c r="B84" s="4"/>
      <c r="C84" s="4"/>
      <c r="D84" s="67" t="s">
        <v>181</v>
      </c>
      <c r="E84" s="4" t="s">
        <v>217</v>
      </c>
      <c r="F84" s="17">
        <v>144</v>
      </c>
      <c r="G84" s="152">
        <v>0</v>
      </c>
      <c r="H84" s="17">
        <f t="shared" si="74"/>
        <v>0</v>
      </c>
      <c r="I84" s="17">
        <f t="shared" si="75"/>
        <v>0</v>
      </c>
      <c r="J84" s="17">
        <f t="shared" si="76"/>
        <v>0</v>
      </c>
      <c r="K84" s="17">
        <v>0.00592</v>
      </c>
      <c r="L84" s="17">
        <f t="shared" si="77"/>
        <v>0.85248</v>
      </c>
      <c r="M84" s="29"/>
      <c r="Z84" s="154">
        <f t="shared" si="78"/>
        <v>0</v>
      </c>
      <c r="AB84" s="154">
        <f t="shared" si="79"/>
        <v>0</v>
      </c>
      <c r="AC84" s="154">
        <f t="shared" si="80"/>
        <v>0</v>
      </c>
      <c r="AD84" s="154">
        <f t="shared" si="81"/>
        <v>0</v>
      </c>
      <c r="AE84" s="154">
        <f t="shared" si="82"/>
        <v>0</v>
      </c>
      <c r="AF84" s="154">
        <f t="shared" si="83"/>
        <v>0</v>
      </c>
      <c r="AG84" s="154">
        <f t="shared" si="84"/>
        <v>0</v>
      </c>
      <c r="AH84" s="154">
        <f t="shared" si="85"/>
        <v>0</v>
      </c>
      <c r="AI84" s="149"/>
      <c r="AJ84" s="151">
        <f t="shared" si="86"/>
        <v>0</v>
      </c>
      <c r="AK84" s="151">
        <f t="shared" si="87"/>
        <v>0</v>
      </c>
      <c r="AL84" s="151">
        <f t="shared" si="88"/>
        <v>0</v>
      </c>
      <c r="AN84" s="154">
        <v>21</v>
      </c>
      <c r="AO84" s="154">
        <f>G84*0.414582350812546</f>
        <v>0</v>
      </c>
      <c r="AP84" s="154">
        <f>G84*(1-0.414582350812546)</f>
        <v>0</v>
      </c>
      <c r="AQ84" s="153" t="s">
        <v>6</v>
      </c>
      <c r="AV84" s="154">
        <f t="shared" si="89"/>
        <v>0</v>
      </c>
      <c r="AW84" s="154">
        <f t="shared" si="90"/>
        <v>0</v>
      </c>
      <c r="AX84" s="154">
        <f t="shared" si="91"/>
        <v>0</v>
      </c>
      <c r="AY84" s="155" t="s">
        <v>259</v>
      </c>
      <c r="AZ84" s="155" t="s">
        <v>270</v>
      </c>
      <c r="BA84" s="149" t="s">
        <v>271</v>
      </c>
      <c r="BC84" s="154">
        <f t="shared" si="92"/>
        <v>0</v>
      </c>
      <c r="BD84" s="154">
        <f t="shared" si="93"/>
        <v>0</v>
      </c>
      <c r="BE84" s="154">
        <v>0</v>
      </c>
      <c r="BF84" s="154">
        <f t="shared" si="94"/>
        <v>0.85248</v>
      </c>
      <c r="BH84" s="151">
        <f t="shared" si="95"/>
        <v>0</v>
      </c>
      <c r="BI84" s="151">
        <f t="shared" si="96"/>
        <v>0</v>
      </c>
      <c r="BJ84" s="151">
        <f t="shared" si="97"/>
        <v>0</v>
      </c>
    </row>
    <row r="85" spans="1:62" ht="12.75">
      <c r="A85" s="4" t="s">
        <v>66</v>
      </c>
      <c r="B85" s="4"/>
      <c r="C85" s="4"/>
      <c r="D85" s="67" t="s">
        <v>182</v>
      </c>
      <c r="E85" s="4" t="s">
        <v>217</v>
      </c>
      <c r="F85" s="17">
        <v>865.5</v>
      </c>
      <c r="G85" s="152">
        <v>0</v>
      </c>
      <c r="H85" s="17">
        <f t="shared" si="74"/>
        <v>0</v>
      </c>
      <c r="I85" s="17">
        <f t="shared" si="75"/>
        <v>0</v>
      </c>
      <c r="J85" s="17">
        <f t="shared" si="76"/>
        <v>0</v>
      </c>
      <c r="K85" s="17">
        <v>0</v>
      </c>
      <c r="L85" s="17">
        <f t="shared" si="77"/>
        <v>0</v>
      </c>
      <c r="M85" s="29"/>
      <c r="Z85" s="154">
        <f t="shared" si="78"/>
        <v>0</v>
      </c>
      <c r="AB85" s="154">
        <f t="shared" si="79"/>
        <v>0</v>
      </c>
      <c r="AC85" s="154">
        <f t="shared" si="80"/>
        <v>0</v>
      </c>
      <c r="AD85" s="154">
        <f t="shared" si="81"/>
        <v>0</v>
      </c>
      <c r="AE85" s="154">
        <f t="shared" si="82"/>
        <v>0</v>
      </c>
      <c r="AF85" s="154">
        <f t="shared" si="83"/>
        <v>0</v>
      </c>
      <c r="AG85" s="154">
        <f t="shared" si="84"/>
        <v>0</v>
      </c>
      <c r="AH85" s="154">
        <f t="shared" si="85"/>
        <v>0</v>
      </c>
      <c r="AI85" s="149"/>
      <c r="AJ85" s="151">
        <f t="shared" si="86"/>
        <v>0</v>
      </c>
      <c r="AK85" s="151">
        <f t="shared" si="87"/>
        <v>0</v>
      </c>
      <c r="AL85" s="151">
        <f t="shared" si="88"/>
        <v>0</v>
      </c>
      <c r="AN85" s="154">
        <v>21</v>
      </c>
      <c r="AO85" s="154">
        <f>G85*0</f>
        <v>0</v>
      </c>
      <c r="AP85" s="154">
        <f>G85*(1-0)</f>
        <v>0</v>
      </c>
      <c r="AQ85" s="153" t="s">
        <v>6</v>
      </c>
      <c r="AV85" s="154">
        <f t="shared" si="89"/>
        <v>0</v>
      </c>
      <c r="AW85" s="154">
        <f t="shared" si="90"/>
        <v>0</v>
      </c>
      <c r="AX85" s="154">
        <f t="shared" si="91"/>
        <v>0</v>
      </c>
      <c r="AY85" s="155" t="s">
        <v>259</v>
      </c>
      <c r="AZ85" s="155" t="s">
        <v>270</v>
      </c>
      <c r="BA85" s="149" t="s">
        <v>271</v>
      </c>
      <c r="BC85" s="154">
        <f t="shared" si="92"/>
        <v>0</v>
      </c>
      <c r="BD85" s="154">
        <f t="shared" si="93"/>
        <v>0</v>
      </c>
      <c r="BE85" s="154">
        <v>0</v>
      </c>
      <c r="BF85" s="154">
        <f t="shared" si="94"/>
        <v>0</v>
      </c>
      <c r="BH85" s="151">
        <f t="shared" si="95"/>
        <v>0</v>
      </c>
      <c r="BI85" s="151">
        <f t="shared" si="96"/>
        <v>0</v>
      </c>
      <c r="BJ85" s="151">
        <f t="shared" si="97"/>
        <v>0</v>
      </c>
    </row>
    <row r="86" spans="1:62" ht="12.75">
      <c r="A86" s="4" t="s">
        <v>67</v>
      </c>
      <c r="B86" s="4"/>
      <c r="C86" s="4"/>
      <c r="D86" s="67" t="s">
        <v>183</v>
      </c>
      <c r="E86" s="4" t="s">
        <v>217</v>
      </c>
      <c r="F86" s="17">
        <v>2163.75</v>
      </c>
      <c r="G86" s="152">
        <v>0</v>
      </c>
      <c r="H86" s="17">
        <f t="shared" si="74"/>
        <v>0</v>
      </c>
      <c r="I86" s="17">
        <f t="shared" si="75"/>
        <v>0</v>
      </c>
      <c r="J86" s="17">
        <f t="shared" si="76"/>
        <v>0</v>
      </c>
      <c r="K86" s="17">
        <v>0</v>
      </c>
      <c r="L86" s="17">
        <f t="shared" si="77"/>
        <v>0</v>
      </c>
      <c r="M86" s="29"/>
      <c r="Z86" s="154">
        <f t="shared" si="78"/>
        <v>0</v>
      </c>
      <c r="AB86" s="154">
        <f t="shared" si="79"/>
        <v>0</v>
      </c>
      <c r="AC86" s="154">
        <f t="shared" si="80"/>
        <v>0</v>
      </c>
      <c r="AD86" s="154">
        <f t="shared" si="81"/>
        <v>0</v>
      </c>
      <c r="AE86" s="154">
        <f t="shared" si="82"/>
        <v>0</v>
      </c>
      <c r="AF86" s="154">
        <f t="shared" si="83"/>
        <v>0</v>
      </c>
      <c r="AG86" s="154">
        <f t="shared" si="84"/>
        <v>0</v>
      </c>
      <c r="AH86" s="154">
        <f t="shared" si="85"/>
        <v>0</v>
      </c>
      <c r="AI86" s="149"/>
      <c r="AJ86" s="151">
        <f t="shared" si="86"/>
        <v>0</v>
      </c>
      <c r="AK86" s="151">
        <f t="shared" si="87"/>
        <v>0</v>
      </c>
      <c r="AL86" s="151">
        <f t="shared" si="88"/>
        <v>0</v>
      </c>
      <c r="AN86" s="154">
        <v>21</v>
      </c>
      <c r="AO86" s="154">
        <f>G86*1</f>
        <v>0</v>
      </c>
      <c r="AP86" s="154">
        <f>G86*(1-1)</f>
        <v>0</v>
      </c>
      <c r="AQ86" s="153" t="s">
        <v>6</v>
      </c>
      <c r="AV86" s="154">
        <f t="shared" si="89"/>
        <v>0</v>
      </c>
      <c r="AW86" s="154">
        <f t="shared" si="90"/>
        <v>0</v>
      </c>
      <c r="AX86" s="154">
        <f t="shared" si="91"/>
        <v>0</v>
      </c>
      <c r="AY86" s="155" t="s">
        <v>259</v>
      </c>
      <c r="AZ86" s="155" t="s">
        <v>270</v>
      </c>
      <c r="BA86" s="149" t="s">
        <v>271</v>
      </c>
      <c r="BC86" s="154">
        <f t="shared" si="92"/>
        <v>0</v>
      </c>
      <c r="BD86" s="154">
        <f t="shared" si="93"/>
        <v>0</v>
      </c>
      <c r="BE86" s="154">
        <v>0</v>
      </c>
      <c r="BF86" s="154">
        <f t="shared" si="94"/>
        <v>0</v>
      </c>
      <c r="BH86" s="151">
        <f t="shared" si="95"/>
        <v>0</v>
      </c>
      <c r="BI86" s="151">
        <f t="shared" si="96"/>
        <v>0</v>
      </c>
      <c r="BJ86" s="151">
        <f t="shared" si="97"/>
        <v>0</v>
      </c>
    </row>
    <row r="87" spans="1:62" ht="12.75">
      <c r="A87" s="4" t="s">
        <v>68</v>
      </c>
      <c r="B87" s="4"/>
      <c r="C87" s="4"/>
      <c r="D87" s="67" t="s">
        <v>184</v>
      </c>
      <c r="E87" s="4" t="s">
        <v>217</v>
      </c>
      <c r="F87" s="17">
        <v>865.5</v>
      </c>
      <c r="G87" s="152">
        <v>0</v>
      </c>
      <c r="H87" s="17">
        <f t="shared" si="74"/>
        <v>0</v>
      </c>
      <c r="I87" s="17">
        <f t="shared" si="75"/>
        <v>0</v>
      </c>
      <c r="J87" s="17">
        <f t="shared" si="76"/>
        <v>0</v>
      </c>
      <c r="K87" s="17">
        <v>0</v>
      </c>
      <c r="L87" s="17">
        <f t="shared" si="77"/>
        <v>0</v>
      </c>
      <c r="M87" s="29"/>
      <c r="Z87" s="154">
        <f t="shared" si="78"/>
        <v>0</v>
      </c>
      <c r="AB87" s="154">
        <f t="shared" si="79"/>
        <v>0</v>
      </c>
      <c r="AC87" s="154">
        <f t="shared" si="80"/>
        <v>0</v>
      </c>
      <c r="AD87" s="154">
        <f t="shared" si="81"/>
        <v>0</v>
      </c>
      <c r="AE87" s="154">
        <f t="shared" si="82"/>
        <v>0</v>
      </c>
      <c r="AF87" s="154">
        <f t="shared" si="83"/>
        <v>0</v>
      </c>
      <c r="AG87" s="154">
        <f t="shared" si="84"/>
        <v>0</v>
      </c>
      <c r="AH87" s="154">
        <f t="shared" si="85"/>
        <v>0</v>
      </c>
      <c r="AI87" s="149"/>
      <c r="AJ87" s="151">
        <f t="shared" si="86"/>
        <v>0</v>
      </c>
      <c r="AK87" s="151">
        <f t="shared" si="87"/>
        <v>0</v>
      </c>
      <c r="AL87" s="151">
        <f t="shared" si="88"/>
        <v>0</v>
      </c>
      <c r="AN87" s="154">
        <v>21</v>
      </c>
      <c r="AO87" s="154">
        <f>G87*0</f>
        <v>0</v>
      </c>
      <c r="AP87" s="154">
        <f>G87*(1-0)</f>
        <v>0</v>
      </c>
      <c r="AQ87" s="153" t="s">
        <v>6</v>
      </c>
      <c r="AV87" s="154">
        <f t="shared" si="89"/>
        <v>0</v>
      </c>
      <c r="AW87" s="154">
        <f t="shared" si="90"/>
        <v>0</v>
      </c>
      <c r="AX87" s="154">
        <f t="shared" si="91"/>
        <v>0</v>
      </c>
      <c r="AY87" s="155" t="s">
        <v>259</v>
      </c>
      <c r="AZ87" s="155" t="s">
        <v>270</v>
      </c>
      <c r="BA87" s="149" t="s">
        <v>271</v>
      </c>
      <c r="BC87" s="154">
        <f t="shared" si="92"/>
        <v>0</v>
      </c>
      <c r="BD87" s="154">
        <f t="shared" si="93"/>
        <v>0</v>
      </c>
      <c r="BE87" s="154">
        <v>0</v>
      </c>
      <c r="BF87" s="154">
        <f t="shared" si="94"/>
        <v>0</v>
      </c>
      <c r="BH87" s="151">
        <f t="shared" si="95"/>
        <v>0</v>
      </c>
      <c r="BI87" s="151">
        <f t="shared" si="96"/>
        <v>0</v>
      </c>
      <c r="BJ87" s="151">
        <f t="shared" si="97"/>
        <v>0</v>
      </c>
    </row>
    <row r="88" spans="1:62" ht="26.25">
      <c r="A88" s="4" t="s">
        <v>69</v>
      </c>
      <c r="B88" s="4"/>
      <c r="C88" s="4"/>
      <c r="D88" s="67" t="s">
        <v>185</v>
      </c>
      <c r="E88" s="4" t="s">
        <v>217</v>
      </c>
      <c r="F88" s="17">
        <v>27</v>
      </c>
      <c r="G88" s="152">
        <v>0</v>
      </c>
      <c r="H88" s="17">
        <f t="shared" si="74"/>
        <v>0</v>
      </c>
      <c r="I88" s="17">
        <f t="shared" si="75"/>
        <v>0</v>
      </c>
      <c r="J88" s="17">
        <f t="shared" si="76"/>
        <v>0</v>
      </c>
      <c r="K88" s="17">
        <v>0.15</v>
      </c>
      <c r="L88" s="17">
        <f t="shared" si="77"/>
        <v>4.05</v>
      </c>
      <c r="M88" s="29"/>
      <c r="Z88" s="154">
        <f t="shared" si="78"/>
        <v>0</v>
      </c>
      <c r="AB88" s="154">
        <f t="shared" si="79"/>
        <v>0</v>
      </c>
      <c r="AC88" s="154">
        <f t="shared" si="80"/>
        <v>0</v>
      </c>
      <c r="AD88" s="154">
        <f t="shared" si="81"/>
        <v>0</v>
      </c>
      <c r="AE88" s="154">
        <f t="shared" si="82"/>
        <v>0</v>
      </c>
      <c r="AF88" s="154">
        <f t="shared" si="83"/>
        <v>0</v>
      </c>
      <c r="AG88" s="154">
        <f t="shared" si="84"/>
        <v>0</v>
      </c>
      <c r="AH88" s="154">
        <f t="shared" si="85"/>
        <v>0</v>
      </c>
      <c r="AI88" s="149"/>
      <c r="AJ88" s="151">
        <f t="shared" si="86"/>
        <v>0</v>
      </c>
      <c r="AK88" s="151">
        <f t="shared" si="87"/>
        <v>0</v>
      </c>
      <c r="AL88" s="151">
        <f t="shared" si="88"/>
        <v>0</v>
      </c>
      <c r="AN88" s="154">
        <v>21</v>
      </c>
      <c r="AO88" s="154">
        <f>G88*0.262593868190035</f>
        <v>0</v>
      </c>
      <c r="AP88" s="154">
        <f>G88*(1-0.262593868190035)</f>
        <v>0</v>
      </c>
      <c r="AQ88" s="153" t="s">
        <v>6</v>
      </c>
      <c r="AV88" s="154">
        <f t="shared" si="89"/>
        <v>0</v>
      </c>
      <c r="AW88" s="154">
        <f t="shared" si="90"/>
        <v>0</v>
      </c>
      <c r="AX88" s="154">
        <f t="shared" si="91"/>
        <v>0</v>
      </c>
      <c r="AY88" s="155" t="s">
        <v>259</v>
      </c>
      <c r="AZ88" s="155" t="s">
        <v>270</v>
      </c>
      <c r="BA88" s="149" t="s">
        <v>271</v>
      </c>
      <c r="BC88" s="154">
        <f t="shared" si="92"/>
        <v>0</v>
      </c>
      <c r="BD88" s="154">
        <f t="shared" si="93"/>
        <v>0</v>
      </c>
      <c r="BE88" s="154">
        <v>0</v>
      </c>
      <c r="BF88" s="154">
        <f t="shared" si="94"/>
        <v>4.05</v>
      </c>
      <c r="BH88" s="151">
        <f t="shared" si="95"/>
        <v>0</v>
      </c>
      <c r="BI88" s="151">
        <f t="shared" si="96"/>
        <v>0</v>
      </c>
      <c r="BJ88" s="151">
        <f t="shared" si="97"/>
        <v>0</v>
      </c>
    </row>
    <row r="89" spans="1:47" ht="12.75">
      <c r="A89" s="5"/>
      <c r="B89" s="13"/>
      <c r="C89" s="13" t="s">
        <v>101</v>
      </c>
      <c r="D89" s="13" t="s">
        <v>186</v>
      </c>
      <c r="E89" s="5" t="s">
        <v>5</v>
      </c>
      <c r="F89" s="5" t="s">
        <v>5</v>
      </c>
      <c r="G89" s="5" t="s">
        <v>5</v>
      </c>
      <c r="H89" s="33">
        <f>SUM(H90:H92)</f>
        <v>0</v>
      </c>
      <c r="I89" s="33">
        <f>SUM(I90:I92)</f>
        <v>0</v>
      </c>
      <c r="J89" s="33">
        <f>SUM(J90:J92)</f>
        <v>0</v>
      </c>
      <c r="K89" s="26"/>
      <c r="L89" s="33">
        <f>SUM(L90:L92)</f>
        <v>0.039355</v>
      </c>
      <c r="M89" s="26"/>
      <c r="AI89" s="149"/>
      <c r="AS89" s="150">
        <f>SUM(AJ90:AJ92)</f>
        <v>0</v>
      </c>
      <c r="AT89" s="150">
        <f>SUM(AK90:AK92)</f>
        <v>0</v>
      </c>
      <c r="AU89" s="150">
        <f>SUM(AL90:AL92)</f>
        <v>0</v>
      </c>
    </row>
    <row r="90" spans="1:62" ht="12.75">
      <c r="A90" s="4" t="s">
        <v>70</v>
      </c>
      <c r="B90" s="4"/>
      <c r="C90" s="4"/>
      <c r="D90" s="67" t="s">
        <v>187</v>
      </c>
      <c r="E90" s="4" t="s">
        <v>217</v>
      </c>
      <c r="F90" s="17">
        <v>614.38</v>
      </c>
      <c r="G90" s="152">
        <v>0</v>
      </c>
      <c r="H90" s="17">
        <f>F90*AO90</f>
        <v>0</v>
      </c>
      <c r="I90" s="17">
        <f>F90*AP90</f>
        <v>0</v>
      </c>
      <c r="J90" s="17">
        <f>F90*G90</f>
        <v>0</v>
      </c>
      <c r="K90" s="17">
        <v>1E-05</v>
      </c>
      <c r="L90" s="17">
        <f>F90*K90</f>
        <v>0.0061438000000000005</v>
      </c>
      <c r="M90" s="29"/>
      <c r="Z90" s="154">
        <f>IF(AQ90="5",BJ90,0)</f>
        <v>0</v>
      </c>
      <c r="AB90" s="154">
        <f>IF(AQ90="1",BH90,0)</f>
        <v>0</v>
      </c>
      <c r="AC90" s="154">
        <f>IF(AQ90="1",BI90,0)</f>
        <v>0</v>
      </c>
      <c r="AD90" s="154">
        <f>IF(AQ90="7",BH90,0)</f>
        <v>0</v>
      </c>
      <c r="AE90" s="154">
        <f>IF(AQ90="7",BI90,0)</f>
        <v>0</v>
      </c>
      <c r="AF90" s="154">
        <f>IF(AQ90="2",BH90,0)</f>
        <v>0</v>
      </c>
      <c r="AG90" s="154">
        <f>IF(AQ90="2",BI90,0)</f>
        <v>0</v>
      </c>
      <c r="AH90" s="154">
        <f>IF(AQ90="0",BJ90,0)</f>
        <v>0</v>
      </c>
      <c r="AI90" s="149"/>
      <c r="AJ90" s="151">
        <f>IF(AN90=0,J90,0)</f>
        <v>0</v>
      </c>
      <c r="AK90" s="151">
        <f>IF(AN90=15,J90,0)</f>
        <v>0</v>
      </c>
      <c r="AL90" s="151">
        <f>IF(AN90=21,J90,0)</f>
        <v>0</v>
      </c>
      <c r="AN90" s="154">
        <v>21</v>
      </c>
      <c r="AO90" s="154">
        <f>G90*0.0189490183193617</f>
        <v>0</v>
      </c>
      <c r="AP90" s="154">
        <f>G90*(1-0.0189490183193617)</f>
        <v>0</v>
      </c>
      <c r="AQ90" s="153" t="s">
        <v>6</v>
      </c>
      <c r="AV90" s="154">
        <f>AW90+AX90</f>
        <v>0</v>
      </c>
      <c r="AW90" s="154">
        <f>F90*AO90</f>
        <v>0</v>
      </c>
      <c r="AX90" s="154">
        <f>F90*AP90</f>
        <v>0</v>
      </c>
      <c r="AY90" s="155" t="s">
        <v>260</v>
      </c>
      <c r="AZ90" s="155" t="s">
        <v>270</v>
      </c>
      <c r="BA90" s="149" t="s">
        <v>271</v>
      </c>
      <c r="BC90" s="154">
        <f>AW90+AX90</f>
        <v>0</v>
      </c>
      <c r="BD90" s="154">
        <f>G90/(100-BE90)*100</f>
        <v>0</v>
      </c>
      <c r="BE90" s="154">
        <v>0</v>
      </c>
      <c r="BF90" s="154">
        <f>L90</f>
        <v>0.0061438000000000005</v>
      </c>
      <c r="BH90" s="151">
        <f>F90*AO90</f>
        <v>0</v>
      </c>
      <c r="BI90" s="151">
        <f>F90*AP90</f>
        <v>0</v>
      </c>
      <c r="BJ90" s="151">
        <f>F90*G90</f>
        <v>0</v>
      </c>
    </row>
    <row r="91" spans="1:62" ht="12.75">
      <c r="A91" s="4" t="s">
        <v>71</v>
      </c>
      <c r="B91" s="4"/>
      <c r="C91" s="4"/>
      <c r="D91" s="67" t="s">
        <v>188</v>
      </c>
      <c r="E91" s="4" t="s">
        <v>217</v>
      </c>
      <c r="F91" s="17">
        <v>321.12</v>
      </c>
      <c r="G91" s="152">
        <v>0</v>
      </c>
      <c r="H91" s="17">
        <f>F91*AO91</f>
        <v>0</v>
      </c>
      <c r="I91" s="17">
        <f>F91*AP91</f>
        <v>0</v>
      </c>
      <c r="J91" s="17">
        <f>F91*G91</f>
        <v>0</v>
      </c>
      <c r="K91" s="17">
        <v>1E-05</v>
      </c>
      <c r="L91" s="17">
        <f>F91*K91</f>
        <v>0.0032112000000000004</v>
      </c>
      <c r="M91" s="29"/>
      <c r="Z91" s="154">
        <f>IF(AQ91="5",BJ91,0)</f>
        <v>0</v>
      </c>
      <c r="AB91" s="154">
        <f>IF(AQ91="1",BH91,0)</f>
        <v>0</v>
      </c>
      <c r="AC91" s="154">
        <f>IF(AQ91="1",BI91,0)</f>
        <v>0</v>
      </c>
      <c r="AD91" s="154">
        <f>IF(AQ91="7",BH91,0)</f>
        <v>0</v>
      </c>
      <c r="AE91" s="154">
        <f>IF(AQ91="7",BI91,0)</f>
        <v>0</v>
      </c>
      <c r="AF91" s="154">
        <f>IF(AQ91="2",BH91,0)</f>
        <v>0</v>
      </c>
      <c r="AG91" s="154">
        <f>IF(AQ91="2",BI91,0)</f>
        <v>0</v>
      </c>
      <c r="AH91" s="154">
        <f>IF(AQ91="0",BJ91,0)</f>
        <v>0</v>
      </c>
      <c r="AI91" s="149"/>
      <c r="AJ91" s="151">
        <f>IF(AN91=0,J91,0)</f>
        <v>0</v>
      </c>
      <c r="AK91" s="151">
        <f>IF(AN91=15,J91,0)</f>
        <v>0</v>
      </c>
      <c r="AL91" s="151">
        <f>IF(AN91=21,J91,0)</f>
        <v>0</v>
      </c>
      <c r="AN91" s="154">
        <v>21</v>
      </c>
      <c r="AO91" s="154">
        <f>G91*0.311890681333834</f>
        <v>0</v>
      </c>
      <c r="AP91" s="154">
        <f>G91*(1-0.311890681333834)</f>
        <v>0</v>
      </c>
      <c r="AQ91" s="153" t="s">
        <v>6</v>
      </c>
      <c r="AV91" s="154">
        <f>AW91+AX91</f>
        <v>0</v>
      </c>
      <c r="AW91" s="154">
        <f>F91*AO91</f>
        <v>0</v>
      </c>
      <c r="AX91" s="154">
        <f>F91*AP91</f>
        <v>0</v>
      </c>
      <c r="AY91" s="155" t="s">
        <v>260</v>
      </c>
      <c r="AZ91" s="155" t="s">
        <v>270</v>
      </c>
      <c r="BA91" s="149" t="s">
        <v>271</v>
      </c>
      <c r="BC91" s="154">
        <f>AW91+AX91</f>
        <v>0</v>
      </c>
      <c r="BD91" s="154">
        <f>G91/(100-BE91)*100</f>
        <v>0</v>
      </c>
      <c r="BE91" s="154">
        <v>0</v>
      </c>
      <c r="BF91" s="154">
        <f>L91</f>
        <v>0.0032112000000000004</v>
      </c>
      <c r="BH91" s="151">
        <f>F91*AO91</f>
        <v>0</v>
      </c>
      <c r="BI91" s="151">
        <f>F91*AP91</f>
        <v>0</v>
      </c>
      <c r="BJ91" s="151">
        <f>F91*G91</f>
        <v>0</v>
      </c>
    </row>
    <row r="92" spans="1:62" ht="26.25">
      <c r="A92" s="4" t="s">
        <v>72</v>
      </c>
      <c r="B92" s="4"/>
      <c r="C92" s="4"/>
      <c r="D92" s="67" t="s">
        <v>189</v>
      </c>
      <c r="E92" s="4" t="s">
        <v>217</v>
      </c>
      <c r="F92" s="17">
        <v>750</v>
      </c>
      <c r="G92" s="152">
        <v>0</v>
      </c>
      <c r="H92" s="17">
        <f>F92*AO92</f>
        <v>0</v>
      </c>
      <c r="I92" s="17">
        <f>F92*AP92</f>
        <v>0</v>
      </c>
      <c r="J92" s="17">
        <f>F92*G92</f>
        <v>0</v>
      </c>
      <c r="K92" s="17">
        <v>4E-05</v>
      </c>
      <c r="L92" s="17">
        <f>F92*K92</f>
        <v>0.030000000000000002</v>
      </c>
      <c r="M92" s="29"/>
      <c r="Z92" s="154">
        <f>IF(AQ92="5",BJ92,0)</f>
        <v>0</v>
      </c>
      <c r="AB92" s="154">
        <f>IF(AQ92="1",BH92,0)</f>
        <v>0</v>
      </c>
      <c r="AC92" s="154">
        <f>IF(AQ92="1",BI92,0)</f>
        <v>0</v>
      </c>
      <c r="AD92" s="154">
        <f>IF(AQ92="7",BH92,0)</f>
        <v>0</v>
      </c>
      <c r="AE92" s="154">
        <f>IF(AQ92="7",BI92,0)</f>
        <v>0</v>
      </c>
      <c r="AF92" s="154">
        <f>IF(AQ92="2",BH92,0)</f>
        <v>0</v>
      </c>
      <c r="AG92" s="154">
        <f>IF(AQ92="2",BI92,0)</f>
        <v>0</v>
      </c>
      <c r="AH92" s="154">
        <f>IF(AQ92="0",BJ92,0)</f>
        <v>0</v>
      </c>
      <c r="AI92" s="149"/>
      <c r="AJ92" s="151">
        <f>IF(AN92=0,J92,0)</f>
        <v>0</v>
      </c>
      <c r="AK92" s="151">
        <f>IF(AN92=15,J92,0)</f>
        <v>0</v>
      </c>
      <c r="AL92" s="151">
        <f>IF(AN92=21,J92,0)</f>
        <v>0</v>
      </c>
      <c r="AN92" s="154">
        <v>21</v>
      </c>
      <c r="AO92" s="154">
        <f>G92*0.0118672199170124</f>
        <v>0</v>
      </c>
      <c r="AP92" s="154">
        <f>G92*(1-0.0118672199170124)</f>
        <v>0</v>
      </c>
      <c r="AQ92" s="153" t="s">
        <v>6</v>
      </c>
      <c r="AV92" s="154">
        <f>AW92+AX92</f>
        <v>0</v>
      </c>
      <c r="AW92" s="154">
        <f>F92*AO92</f>
        <v>0</v>
      </c>
      <c r="AX92" s="154">
        <f>F92*AP92</f>
        <v>0</v>
      </c>
      <c r="AY92" s="155" t="s">
        <v>260</v>
      </c>
      <c r="AZ92" s="155" t="s">
        <v>270</v>
      </c>
      <c r="BA92" s="149" t="s">
        <v>271</v>
      </c>
      <c r="BC92" s="154">
        <f>AW92+AX92</f>
        <v>0</v>
      </c>
      <c r="BD92" s="154">
        <f>G92/(100-BE92)*100</f>
        <v>0</v>
      </c>
      <c r="BE92" s="154">
        <v>0</v>
      </c>
      <c r="BF92" s="154">
        <f>L92</f>
        <v>0.030000000000000002</v>
      </c>
      <c r="BH92" s="151">
        <f>F92*AO92</f>
        <v>0</v>
      </c>
      <c r="BI92" s="151">
        <f>F92*AP92</f>
        <v>0</v>
      </c>
      <c r="BJ92" s="151">
        <f>F92*G92</f>
        <v>0</v>
      </c>
    </row>
    <row r="93" spans="1:47" ht="12.75">
      <c r="A93" s="5"/>
      <c r="B93" s="13"/>
      <c r="C93" s="13" t="s">
        <v>102</v>
      </c>
      <c r="D93" s="13" t="s">
        <v>190</v>
      </c>
      <c r="E93" s="5" t="s">
        <v>5</v>
      </c>
      <c r="F93" s="5" t="s">
        <v>5</v>
      </c>
      <c r="G93" s="5" t="s">
        <v>5</v>
      </c>
      <c r="H93" s="33">
        <f>SUM(H94:H97)</f>
        <v>0</v>
      </c>
      <c r="I93" s="33">
        <f>SUM(I94:I97)</f>
        <v>0</v>
      </c>
      <c r="J93" s="33">
        <f>SUM(J94:J97)</f>
        <v>0</v>
      </c>
      <c r="K93" s="26"/>
      <c r="L93" s="33">
        <f>SUM(L94:L97)</f>
        <v>15.043054000000001</v>
      </c>
      <c r="M93" s="26"/>
      <c r="AI93" s="149"/>
      <c r="AS93" s="150">
        <f>SUM(AJ94:AJ97)</f>
        <v>0</v>
      </c>
      <c r="AT93" s="150">
        <f>SUM(AK94:AK97)</f>
        <v>0</v>
      </c>
      <c r="AU93" s="150">
        <f>SUM(AL94:AL97)</f>
        <v>0</v>
      </c>
    </row>
    <row r="94" spans="1:62" ht="26.25">
      <c r="A94" s="4" t="s">
        <v>73</v>
      </c>
      <c r="B94" s="4"/>
      <c r="C94" s="4"/>
      <c r="D94" s="67" t="s">
        <v>191</v>
      </c>
      <c r="E94" s="4" t="s">
        <v>217</v>
      </c>
      <c r="F94" s="17">
        <v>52</v>
      </c>
      <c r="G94" s="152">
        <v>0</v>
      </c>
      <c r="H94" s="17">
        <f>F94*AO94</f>
        <v>0</v>
      </c>
      <c r="I94" s="17">
        <f>F94*AP94</f>
        <v>0</v>
      </c>
      <c r="J94" s="17">
        <f>F94*G94</f>
        <v>0</v>
      </c>
      <c r="K94" s="17">
        <v>0.075</v>
      </c>
      <c r="L94" s="17">
        <f>F94*K94</f>
        <v>3.9</v>
      </c>
      <c r="M94" s="29"/>
      <c r="Z94" s="154">
        <f>IF(AQ94="5",BJ94,0)</f>
        <v>0</v>
      </c>
      <c r="AB94" s="154">
        <f>IF(AQ94="1",BH94,0)</f>
        <v>0</v>
      </c>
      <c r="AC94" s="154">
        <f>IF(AQ94="1",BI94,0)</f>
        <v>0</v>
      </c>
      <c r="AD94" s="154">
        <f>IF(AQ94="7",BH94,0)</f>
        <v>0</v>
      </c>
      <c r="AE94" s="154">
        <f>IF(AQ94="7",BI94,0)</f>
        <v>0</v>
      </c>
      <c r="AF94" s="154">
        <f>IF(AQ94="2",BH94,0)</f>
        <v>0</v>
      </c>
      <c r="AG94" s="154">
        <f>IF(AQ94="2",BI94,0)</f>
        <v>0</v>
      </c>
      <c r="AH94" s="154">
        <f>IF(AQ94="0",BJ94,0)</f>
        <v>0</v>
      </c>
      <c r="AI94" s="149"/>
      <c r="AJ94" s="151">
        <f>IF(AN94=0,J94,0)</f>
        <v>0</v>
      </c>
      <c r="AK94" s="151">
        <f>IF(AN94=15,J94,0)</f>
        <v>0</v>
      </c>
      <c r="AL94" s="151">
        <f>IF(AN94=21,J94,0)</f>
        <v>0</v>
      </c>
      <c r="AN94" s="154">
        <v>21</v>
      </c>
      <c r="AO94" s="154">
        <f>G94*0</f>
        <v>0</v>
      </c>
      <c r="AP94" s="154">
        <f>G94*(1-0)</f>
        <v>0</v>
      </c>
      <c r="AQ94" s="153" t="s">
        <v>6</v>
      </c>
      <c r="AV94" s="154">
        <f>AW94+AX94</f>
        <v>0</v>
      </c>
      <c r="AW94" s="154">
        <f>F94*AO94</f>
        <v>0</v>
      </c>
      <c r="AX94" s="154">
        <f>F94*AP94</f>
        <v>0</v>
      </c>
      <c r="AY94" s="155" t="s">
        <v>261</v>
      </c>
      <c r="AZ94" s="155" t="s">
        <v>270</v>
      </c>
      <c r="BA94" s="149" t="s">
        <v>271</v>
      </c>
      <c r="BC94" s="154">
        <f>AW94+AX94</f>
        <v>0</v>
      </c>
      <c r="BD94" s="154">
        <f>G94/(100-BE94)*100</f>
        <v>0</v>
      </c>
      <c r="BE94" s="154">
        <v>0</v>
      </c>
      <c r="BF94" s="154">
        <f>L94</f>
        <v>3.9</v>
      </c>
      <c r="BH94" s="151">
        <f>F94*AO94</f>
        <v>0</v>
      </c>
      <c r="BI94" s="151">
        <f>F94*AP94</f>
        <v>0</v>
      </c>
      <c r="BJ94" s="151">
        <f>F94*G94</f>
        <v>0</v>
      </c>
    </row>
    <row r="95" spans="1:62" ht="12.75">
      <c r="A95" s="4" t="s">
        <v>74</v>
      </c>
      <c r="B95" s="4"/>
      <c r="C95" s="4"/>
      <c r="D95" s="67" t="s">
        <v>192</v>
      </c>
      <c r="E95" s="4" t="s">
        <v>218</v>
      </c>
      <c r="F95" s="17">
        <v>268</v>
      </c>
      <c r="G95" s="152">
        <v>0</v>
      </c>
      <c r="H95" s="17">
        <f>F95*AO95</f>
        <v>0</v>
      </c>
      <c r="I95" s="17">
        <f>F95*AP95</f>
        <v>0</v>
      </c>
      <c r="J95" s="17">
        <f>F95*G95</f>
        <v>0</v>
      </c>
      <c r="K95" s="17">
        <v>0</v>
      </c>
      <c r="L95" s="17">
        <f>F95*K95</f>
        <v>0</v>
      </c>
      <c r="M95" s="29"/>
      <c r="Z95" s="154">
        <f>IF(AQ95="5",BJ95,0)</f>
        <v>0</v>
      </c>
      <c r="AB95" s="154">
        <f>IF(AQ95="1",BH95,0)</f>
        <v>0</v>
      </c>
      <c r="AC95" s="154">
        <f>IF(AQ95="1",BI95,0)</f>
        <v>0</v>
      </c>
      <c r="AD95" s="154">
        <f>IF(AQ95="7",BH95,0)</f>
        <v>0</v>
      </c>
      <c r="AE95" s="154">
        <f>IF(AQ95="7",BI95,0)</f>
        <v>0</v>
      </c>
      <c r="AF95" s="154">
        <f>IF(AQ95="2",BH95,0)</f>
        <v>0</v>
      </c>
      <c r="AG95" s="154">
        <f>IF(AQ95="2",BI95,0)</f>
        <v>0</v>
      </c>
      <c r="AH95" s="154">
        <f>IF(AQ95="0",BJ95,0)</f>
        <v>0</v>
      </c>
      <c r="AI95" s="149"/>
      <c r="AJ95" s="151">
        <f>IF(AN95=0,J95,0)</f>
        <v>0</v>
      </c>
      <c r="AK95" s="151">
        <f>IF(AN95=15,J95,0)</f>
        <v>0</v>
      </c>
      <c r="AL95" s="151">
        <f>IF(AN95=21,J95,0)</f>
        <v>0</v>
      </c>
      <c r="AN95" s="154">
        <v>21</v>
      </c>
      <c r="AO95" s="154">
        <f>G95*0</f>
        <v>0</v>
      </c>
      <c r="AP95" s="154">
        <f>G95*(1-0)</f>
        <v>0</v>
      </c>
      <c r="AQ95" s="153" t="s">
        <v>6</v>
      </c>
      <c r="AV95" s="154">
        <f>AW95+AX95</f>
        <v>0</v>
      </c>
      <c r="AW95" s="154">
        <f>F95*AO95</f>
        <v>0</v>
      </c>
      <c r="AX95" s="154">
        <f>F95*AP95</f>
        <v>0</v>
      </c>
      <c r="AY95" s="155" t="s">
        <v>261</v>
      </c>
      <c r="AZ95" s="155" t="s">
        <v>270</v>
      </c>
      <c r="BA95" s="149" t="s">
        <v>271</v>
      </c>
      <c r="BC95" s="154">
        <f>AW95+AX95</f>
        <v>0</v>
      </c>
      <c r="BD95" s="154">
        <f>G95/(100-BE95)*100</f>
        <v>0</v>
      </c>
      <c r="BE95" s="154">
        <v>0</v>
      </c>
      <c r="BF95" s="154">
        <f>L95</f>
        <v>0</v>
      </c>
      <c r="BH95" s="151">
        <f>F95*AO95</f>
        <v>0</v>
      </c>
      <c r="BI95" s="151">
        <f>F95*AP95</f>
        <v>0</v>
      </c>
      <c r="BJ95" s="151">
        <f>F95*G95</f>
        <v>0</v>
      </c>
    </row>
    <row r="96" spans="1:62" ht="26.25">
      <c r="A96" s="4" t="s">
        <v>75</v>
      </c>
      <c r="B96" s="4"/>
      <c r="C96" s="4"/>
      <c r="D96" s="67" t="s">
        <v>193</v>
      </c>
      <c r="E96" s="4" t="s">
        <v>217</v>
      </c>
      <c r="F96" s="17">
        <v>160.56</v>
      </c>
      <c r="G96" s="152">
        <v>0</v>
      </c>
      <c r="H96" s="17">
        <f>F96*AO96</f>
        <v>0</v>
      </c>
      <c r="I96" s="17">
        <f>F96*AP96</f>
        <v>0</v>
      </c>
      <c r="J96" s="17">
        <f>F96*G96</f>
        <v>0</v>
      </c>
      <c r="K96" s="17">
        <v>0.063</v>
      </c>
      <c r="L96" s="17">
        <f>F96*K96</f>
        <v>10.11528</v>
      </c>
      <c r="M96" s="29"/>
      <c r="Z96" s="154">
        <f>IF(AQ96="5",BJ96,0)</f>
        <v>0</v>
      </c>
      <c r="AB96" s="154">
        <f>IF(AQ96="1",BH96,0)</f>
        <v>0</v>
      </c>
      <c r="AC96" s="154">
        <f>IF(AQ96="1",BI96,0)</f>
        <v>0</v>
      </c>
      <c r="AD96" s="154">
        <f>IF(AQ96="7",BH96,0)</f>
        <v>0</v>
      </c>
      <c r="AE96" s="154">
        <f>IF(AQ96="7",BI96,0)</f>
        <v>0</v>
      </c>
      <c r="AF96" s="154">
        <f>IF(AQ96="2",BH96,0)</f>
        <v>0</v>
      </c>
      <c r="AG96" s="154">
        <f>IF(AQ96="2",BI96,0)</f>
        <v>0</v>
      </c>
      <c r="AH96" s="154">
        <f>IF(AQ96="0",BJ96,0)</f>
        <v>0</v>
      </c>
      <c r="AI96" s="149"/>
      <c r="AJ96" s="151">
        <f>IF(AN96=0,J96,0)</f>
        <v>0</v>
      </c>
      <c r="AK96" s="151">
        <f>IF(AN96=15,J96,0)</f>
        <v>0</v>
      </c>
      <c r="AL96" s="151">
        <f>IF(AN96=21,J96,0)</f>
        <v>0</v>
      </c>
      <c r="AN96" s="154">
        <v>21</v>
      </c>
      <c r="AO96" s="154">
        <f>G96*0.0905511866532581</f>
        <v>0</v>
      </c>
      <c r="AP96" s="154">
        <f>G96*(1-0.0905511866532581)</f>
        <v>0</v>
      </c>
      <c r="AQ96" s="153" t="s">
        <v>6</v>
      </c>
      <c r="AV96" s="154">
        <f>AW96+AX96</f>
        <v>0</v>
      </c>
      <c r="AW96" s="154">
        <f>F96*AO96</f>
        <v>0</v>
      </c>
      <c r="AX96" s="154">
        <f>F96*AP96</f>
        <v>0</v>
      </c>
      <c r="AY96" s="155" t="s">
        <v>261</v>
      </c>
      <c r="AZ96" s="155" t="s">
        <v>270</v>
      </c>
      <c r="BA96" s="149" t="s">
        <v>271</v>
      </c>
      <c r="BC96" s="154">
        <f>AW96+AX96</f>
        <v>0</v>
      </c>
      <c r="BD96" s="154">
        <f>G96/(100-BE96)*100</f>
        <v>0</v>
      </c>
      <c r="BE96" s="154">
        <v>0</v>
      </c>
      <c r="BF96" s="154">
        <f>L96</f>
        <v>10.11528</v>
      </c>
      <c r="BH96" s="151">
        <f>F96*AO96</f>
        <v>0</v>
      </c>
      <c r="BI96" s="151">
        <f>F96*AP96</f>
        <v>0</v>
      </c>
      <c r="BJ96" s="151">
        <f>F96*G96</f>
        <v>0</v>
      </c>
    </row>
    <row r="97" spans="1:62" ht="12.75">
      <c r="A97" s="4" t="s">
        <v>76</v>
      </c>
      <c r="B97" s="4"/>
      <c r="C97" s="4"/>
      <c r="D97" s="67" t="s">
        <v>194</v>
      </c>
      <c r="E97" s="4" t="s">
        <v>219</v>
      </c>
      <c r="F97" s="17">
        <v>68.2</v>
      </c>
      <c r="G97" s="152">
        <v>0</v>
      </c>
      <c r="H97" s="17">
        <f>F97*AO97</f>
        <v>0</v>
      </c>
      <c r="I97" s="17">
        <f>F97*AP97</f>
        <v>0</v>
      </c>
      <c r="J97" s="17">
        <f>F97*G97</f>
        <v>0</v>
      </c>
      <c r="K97" s="17">
        <v>0.01507</v>
      </c>
      <c r="L97" s="17">
        <f>F97*K97</f>
        <v>1.027774</v>
      </c>
      <c r="M97" s="29"/>
      <c r="Z97" s="154">
        <f>IF(AQ97="5",BJ97,0)</f>
        <v>0</v>
      </c>
      <c r="AB97" s="154">
        <f>IF(AQ97="1",BH97,0)</f>
        <v>0</v>
      </c>
      <c r="AC97" s="154">
        <f>IF(AQ97="1",BI97,0)</f>
        <v>0</v>
      </c>
      <c r="AD97" s="154">
        <f>IF(AQ97="7",BH97,0)</f>
        <v>0</v>
      </c>
      <c r="AE97" s="154">
        <f>IF(AQ97="7",BI97,0)</f>
        <v>0</v>
      </c>
      <c r="AF97" s="154">
        <f>IF(AQ97="2",BH97,0)</f>
        <v>0</v>
      </c>
      <c r="AG97" s="154">
        <f>IF(AQ97="2",BI97,0)</f>
        <v>0</v>
      </c>
      <c r="AH97" s="154">
        <f>IF(AQ97="0",BJ97,0)</f>
        <v>0</v>
      </c>
      <c r="AI97" s="149"/>
      <c r="AJ97" s="151">
        <f>IF(AN97=0,J97,0)</f>
        <v>0</v>
      </c>
      <c r="AK97" s="151">
        <f>IF(AN97=15,J97,0)</f>
        <v>0</v>
      </c>
      <c r="AL97" s="151">
        <f>IF(AN97=21,J97,0)</f>
        <v>0</v>
      </c>
      <c r="AN97" s="154">
        <v>21</v>
      </c>
      <c r="AO97" s="154">
        <f>G97*0</f>
        <v>0</v>
      </c>
      <c r="AP97" s="154">
        <f>G97*(1-0)</f>
        <v>0</v>
      </c>
      <c r="AQ97" s="153" t="s">
        <v>6</v>
      </c>
      <c r="AV97" s="154">
        <f>AW97+AX97</f>
        <v>0</v>
      </c>
      <c r="AW97" s="154">
        <f>F97*AO97</f>
        <v>0</v>
      </c>
      <c r="AX97" s="154">
        <f>F97*AP97</f>
        <v>0</v>
      </c>
      <c r="AY97" s="155" t="s">
        <v>261</v>
      </c>
      <c r="AZ97" s="155" t="s">
        <v>270</v>
      </c>
      <c r="BA97" s="149" t="s">
        <v>271</v>
      </c>
      <c r="BC97" s="154">
        <f>AW97+AX97</f>
        <v>0</v>
      </c>
      <c r="BD97" s="154">
        <f>G97/(100-BE97)*100</f>
        <v>0</v>
      </c>
      <c r="BE97" s="154">
        <v>0</v>
      </c>
      <c r="BF97" s="154">
        <f>L97</f>
        <v>1.027774</v>
      </c>
      <c r="BH97" s="151">
        <f>F97*AO97</f>
        <v>0</v>
      </c>
      <c r="BI97" s="151">
        <f>F97*AP97</f>
        <v>0</v>
      </c>
      <c r="BJ97" s="151">
        <f>F97*G97</f>
        <v>0</v>
      </c>
    </row>
    <row r="98" spans="1:47" ht="12.75">
      <c r="A98" s="5"/>
      <c r="B98" s="13"/>
      <c r="C98" s="13" t="s">
        <v>103</v>
      </c>
      <c r="D98" s="13" t="s">
        <v>195</v>
      </c>
      <c r="E98" s="5" t="s">
        <v>5</v>
      </c>
      <c r="F98" s="5" t="s">
        <v>5</v>
      </c>
      <c r="G98" s="5" t="s">
        <v>5</v>
      </c>
      <c r="H98" s="33">
        <f>SUM(H99:H102)</f>
        <v>0</v>
      </c>
      <c r="I98" s="33">
        <f>SUM(I99:I102)</f>
        <v>0</v>
      </c>
      <c r="J98" s="33">
        <f>SUM(J99:J102)</f>
        <v>0</v>
      </c>
      <c r="K98" s="26"/>
      <c r="L98" s="33">
        <f>SUM(L99:L102)</f>
        <v>38.800866000000006</v>
      </c>
      <c r="M98" s="26"/>
      <c r="AI98" s="149"/>
      <c r="AS98" s="150">
        <f>SUM(AJ99:AJ102)</f>
        <v>0</v>
      </c>
      <c r="AT98" s="150">
        <f>SUM(AK99:AK102)</f>
        <v>0</v>
      </c>
      <c r="AU98" s="150">
        <f>SUM(AL99:AL102)</f>
        <v>0</v>
      </c>
    </row>
    <row r="99" spans="1:62" ht="26.25">
      <c r="A99" s="4" t="s">
        <v>77</v>
      </c>
      <c r="B99" s="4"/>
      <c r="C99" s="4"/>
      <c r="D99" s="67" t="s">
        <v>196</v>
      </c>
      <c r="E99" s="4" t="s">
        <v>217</v>
      </c>
      <c r="F99" s="17">
        <v>149.2</v>
      </c>
      <c r="G99" s="152">
        <v>0</v>
      </c>
      <c r="H99" s="17">
        <f>F99*AO99</f>
        <v>0</v>
      </c>
      <c r="I99" s="17">
        <f>F99*AP99</f>
        <v>0</v>
      </c>
      <c r="J99" s="17">
        <f>F99*G99</f>
        <v>0</v>
      </c>
      <c r="K99" s="17">
        <v>0.046</v>
      </c>
      <c r="L99" s="17">
        <f>F99*K99</f>
        <v>6.863199999999999</v>
      </c>
      <c r="M99" s="29"/>
      <c r="Z99" s="154">
        <f>IF(AQ99="5",BJ99,0)</f>
        <v>0</v>
      </c>
      <c r="AB99" s="154">
        <f>IF(AQ99="1",BH99,0)</f>
        <v>0</v>
      </c>
      <c r="AC99" s="154">
        <f>IF(AQ99="1",BI99,0)</f>
        <v>0</v>
      </c>
      <c r="AD99" s="154">
        <f>IF(AQ99="7",BH99,0)</f>
        <v>0</v>
      </c>
      <c r="AE99" s="154">
        <f>IF(AQ99="7",BI99,0)</f>
        <v>0</v>
      </c>
      <c r="AF99" s="154">
        <f>IF(AQ99="2",BH99,0)</f>
        <v>0</v>
      </c>
      <c r="AG99" s="154">
        <f>IF(AQ99="2",BI99,0)</f>
        <v>0</v>
      </c>
      <c r="AH99" s="154">
        <f>IF(AQ99="0",BJ99,0)</f>
        <v>0</v>
      </c>
      <c r="AI99" s="149"/>
      <c r="AJ99" s="151">
        <f>IF(AN99=0,J99,0)</f>
        <v>0</v>
      </c>
      <c r="AK99" s="151">
        <f>IF(AN99=15,J99,0)</f>
        <v>0</v>
      </c>
      <c r="AL99" s="151">
        <f>IF(AN99=21,J99,0)</f>
        <v>0</v>
      </c>
      <c r="AN99" s="154">
        <v>21</v>
      </c>
      <c r="AO99" s="154">
        <f>G99*0</f>
        <v>0</v>
      </c>
      <c r="AP99" s="154">
        <f>G99*(1-0)</f>
        <v>0</v>
      </c>
      <c r="AQ99" s="153" t="s">
        <v>6</v>
      </c>
      <c r="AV99" s="154">
        <f>AW99+AX99</f>
        <v>0</v>
      </c>
      <c r="AW99" s="154">
        <f>F99*AO99</f>
        <v>0</v>
      </c>
      <c r="AX99" s="154">
        <f>F99*AP99</f>
        <v>0</v>
      </c>
      <c r="AY99" s="155" t="s">
        <v>262</v>
      </c>
      <c r="AZ99" s="155" t="s">
        <v>270</v>
      </c>
      <c r="BA99" s="149" t="s">
        <v>271</v>
      </c>
      <c r="BC99" s="154">
        <f>AW99+AX99</f>
        <v>0</v>
      </c>
      <c r="BD99" s="154">
        <f>G99/(100-BE99)*100</f>
        <v>0</v>
      </c>
      <c r="BE99" s="154">
        <v>0</v>
      </c>
      <c r="BF99" s="154">
        <f>L99</f>
        <v>6.863199999999999</v>
      </c>
      <c r="BH99" s="151">
        <f>F99*AO99</f>
        <v>0</v>
      </c>
      <c r="BI99" s="151">
        <f>F99*AP99</f>
        <v>0</v>
      </c>
      <c r="BJ99" s="151">
        <f>F99*G99</f>
        <v>0</v>
      </c>
    </row>
    <row r="100" spans="1:62" ht="12.75">
      <c r="A100" s="4" t="s">
        <v>78</v>
      </c>
      <c r="B100" s="4"/>
      <c r="C100" s="4"/>
      <c r="D100" s="67" t="s">
        <v>197</v>
      </c>
      <c r="E100" s="4" t="s">
        <v>217</v>
      </c>
      <c r="F100" s="17">
        <v>427.473</v>
      </c>
      <c r="G100" s="152">
        <v>0</v>
      </c>
      <c r="H100" s="17">
        <f>F100*AO100</f>
        <v>0</v>
      </c>
      <c r="I100" s="17">
        <f>F100*AP100</f>
        <v>0</v>
      </c>
      <c r="J100" s="17">
        <f>F100*G100</f>
        <v>0</v>
      </c>
      <c r="K100" s="17">
        <v>0.036</v>
      </c>
      <c r="L100" s="17">
        <f>F100*K100</f>
        <v>15.389028</v>
      </c>
      <c r="M100" s="29"/>
      <c r="Z100" s="154">
        <f>IF(AQ100="5",BJ100,0)</f>
        <v>0</v>
      </c>
      <c r="AB100" s="154">
        <f>IF(AQ100="1",BH100,0)</f>
        <v>0</v>
      </c>
      <c r="AC100" s="154">
        <f>IF(AQ100="1",BI100,0)</f>
        <v>0</v>
      </c>
      <c r="AD100" s="154">
        <f>IF(AQ100="7",BH100,0)</f>
        <v>0</v>
      </c>
      <c r="AE100" s="154">
        <f>IF(AQ100="7",BI100,0)</f>
        <v>0</v>
      </c>
      <c r="AF100" s="154">
        <f>IF(AQ100="2",BH100,0)</f>
        <v>0</v>
      </c>
      <c r="AG100" s="154">
        <f>IF(AQ100="2",BI100,0)</f>
        <v>0</v>
      </c>
      <c r="AH100" s="154">
        <f>IF(AQ100="0",BJ100,0)</f>
        <v>0</v>
      </c>
      <c r="AI100" s="149"/>
      <c r="AJ100" s="151">
        <f>IF(AN100=0,J100,0)</f>
        <v>0</v>
      </c>
      <c r="AK100" s="151">
        <f>IF(AN100=15,J100,0)</f>
        <v>0</v>
      </c>
      <c r="AL100" s="151">
        <f>IF(AN100=21,J100,0)</f>
        <v>0</v>
      </c>
      <c r="AN100" s="154">
        <v>21</v>
      </c>
      <c r="AO100" s="154">
        <f>G100*0</f>
        <v>0</v>
      </c>
      <c r="AP100" s="154">
        <f>G100*(1-0)</f>
        <v>0</v>
      </c>
      <c r="AQ100" s="153" t="s">
        <v>6</v>
      </c>
      <c r="AV100" s="154">
        <f>AW100+AX100</f>
        <v>0</v>
      </c>
      <c r="AW100" s="154">
        <f>F100*AO100</f>
        <v>0</v>
      </c>
      <c r="AX100" s="154">
        <f>F100*AP100</f>
        <v>0</v>
      </c>
      <c r="AY100" s="155" t="s">
        <v>262</v>
      </c>
      <c r="AZ100" s="155" t="s">
        <v>270</v>
      </c>
      <c r="BA100" s="149" t="s">
        <v>271</v>
      </c>
      <c r="BC100" s="154">
        <f>AW100+AX100</f>
        <v>0</v>
      </c>
      <c r="BD100" s="154">
        <f>G100/(100-BE100)*100</f>
        <v>0</v>
      </c>
      <c r="BE100" s="154">
        <v>0</v>
      </c>
      <c r="BF100" s="154">
        <f>L100</f>
        <v>15.389028</v>
      </c>
      <c r="BH100" s="151">
        <f>F100*AO100</f>
        <v>0</v>
      </c>
      <c r="BI100" s="151">
        <f>F100*AP100</f>
        <v>0</v>
      </c>
      <c r="BJ100" s="151">
        <f>F100*G100</f>
        <v>0</v>
      </c>
    </row>
    <row r="101" spans="1:62" ht="12.75">
      <c r="A101" s="4" t="s">
        <v>79</v>
      </c>
      <c r="B101" s="4"/>
      <c r="C101" s="4"/>
      <c r="D101" s="67" t="s">
        <v>198</v>
      </c>
      <c r="E101" s="4" t="s">
        <v>217</v>
      </c>
      <c r="F101" s="17">
        <v>256.011</v>
      </c>
      <c r="G101" s="152">
        <v>0</v>
      </c>
      <c r="H101" s="17">
        <f>F101*AO101</f>
        <v>0</v>
      </c>
      <c r="I101" s="17">
        <f>F101*AP101</f>
        <v>0</v>
      </c>
      <c r="J101" s="17">
        <f>F101*G101</f>
        <v>0</v>
      </c>
      <c r="K101" s="17">
        <v>0.058</v>
      </c>
      <c r="L101" s="17">
        <f>F101*K101</f>
        <v>14.848638000000003</v>
      </c>
      <c r="M101" s="29"/>
      <c r="Z101" s="154">
        <f>IF(AQ101="5",BJ101,0)</f>
        <v>0</v>
      </c>
      <c r="AB101" s="154">
        <f>IF(AQ101="1",BH101,0)</f>
        <v>0</v>
      </c>
      <c r="AC101" s="154">
        <f>IF(AQ101="1",BI101,0)</f>
        <v>0</v>
      </c>
      <c r="AD101" s="154">
        <f>IF(AQ101="7",BH101,0)</f>
        <v>0</v>
      </c>
      <c r="AE101" s="154">
        <f>IF(AQ101="7",BI101,0)</f>
        <v>0</v>
      </c>
      <c r="AF101" s="154">
        <f>IF(AQ101="2",BH101,0)</f>
        <v>0</v>
      </c>
      <c r="AG101" s="154">
        <f>IF(AQ101="2",BI101,0)</f>
        <v>0</v>
      </c>
      <c r="AH101" s="154">
        <f>IF(AQ101="0",BJ101,0)</f>
        <v>0</v>
      </c>
      <c r="AI101" s="149"/>
      <c r="AJ101" s="151">
        <f>IF(AN101=0,J101,0)</f>
        <v>0</v>
      </c>
      <c r="AK101" s="151">
        <f>IF(AN101=15,J101,0)</f>
        <v>0</v>
      </c>
      <c r="AL101" s="151">
        <f>IF(AN101=21,J101,0)</f>
        <v>0</v>
      </c>
      <c r="AN101" s="154">
        <v>21</v>
      </c>
      <c r="AO101" s="154">
        <f>G101*0</f>
        <v>0</v>
      </c>
      <c r="AP101" s="154">
        <f>G101*(1-0)</f>
        <v>0</v>
      </c>
      <c r="AQ101" s="153" t="s">
        <v>6</v>
      </c>
      <c r="AV101" s="154">
        <f>AW101+AX101</f>
        <v>0</v>
      </c>
      <c r="AW101" s="154">
        <f>F101*AO101</f>
        <v>0</v>
      </c>
      <c r="AX101" s="154">
        <f>F101*AP101</f>
        <v>0</v>
      </c>
      <c r="AY101" s="155" t="s">
        <v>262</v>
      </c>
      <c r="AZ101" s="155" t="s">
        <v>270</v>
      </c>
      <c r="BA101" s="149" t="s">
        <v>271</v>
      </c>
      <c r="BC101" s="154">
        <f>AW101+AX101</f>
        <v>0</v>
      </c>
      <c r="BD101" s="154">
        <f>G101/(100-BE101)*100</f>
        <v>0</v>
      </c>
      <c r="BE101" s="154">
        <v>0</v>
      </c>
      <c r="BF101" s="154">
        <f>L101</f>
        <v>14.848638000000003</v>
      </c>
      <c r="BH101" s="151">
        <f>F101*AO101</f>
        <v>0</v>
      </c>
      <c r="BI101" s="151">
        <f>F101*AP101</f>
        <v>0</v>
      </c>
      <c r="BJ101" s="151">
        <f>F101*G101</f>
        <v>0</v>
      </c>
    </row>
    <row r="102" spans="1:62" ht="26.25">
      <c r="A102" s="4" t="s">
        <v>80</v>
      </c>
      <c r="B102" s="4"/>
      <c r="C102" s="4"/>
      <c r="D102" s="67" t="s">
        <v>199</v>
      </c>
      <c r="E102" s="4" t="s">
        <v>217</v>
      </c>
      <c r="F102" s="17">
        <v>25</v>
      </c>
      <c r="G102" s="152">
        <v>0</v>
      </c>
      <c r="H102" s="17">
        <f>F102*AO102</f>
        <v>0</v>
      </c>
      <c r="I102" s="17">
        <f>F102*AP102</f>
        <v>0</v>
      </c>
      <c r="J102" s="17">
        <f>F102*G102</f>
        <v>0</v>
      </c>
      <c r="K102" s="17">
        <v>0.068</v>
      </c>
      <c r="L102" s="17">
        <f>F102*K102</f>
        <v>1.7000000000000002</v>
      </c>
      <c r="M102" s="29"/>
      <c r="Z102" s="154">
        <f>IF(AQ102="5",BJ102,0)</f>
        <v>0</v>
      </c>
      <c r="AB102" s="154">
        <f>IF(AQ102="1",BH102,0)</f>
        <v>0</v>
      </c>
      <c r="AC102" s="154">
        <f>IF(AQ102="1",BI102,0)</f>
        <v>0</v>
      </c>
      <c r="AD102" s="154">
        <f>IF(AQ102="7",BH102,0)</f>
        <v>0</v>
      </c>
      <c r="AE102" s="154">
        <f>IF(AQ102="7",BI102,0)</f>
        <v>0</v>
      </c>
      <c r="AF102" s="154">
        <f>IF(AQ102="2",BH102,0)</f>
        <v>0</v>
      </c>
      <c r="AG102" s="154">
        <f>IF(AQ102="2",BI102,0)</f>
        <v>0</v>
      </c>
      <c r="AH102" s="154">
        <f>IF(AQ102="0",BJ102,0)</f>
        <v>0</v>
      </c>
      <c r="AI102" s="149"/>
      <c r="AJ102" s="151">
        <f>IF(AN102=0,J102,0)</f>
        <v>0</v>
      </c>
      <c r="AK102" s="151">
        <f>IF(AN102=15,J102,0)</f>
        <v>0</v>
      </c>
      <c r="AL102" s="151">
        <f>IF(AN102=21,J102,0)</f>
        <v>0</v>
      </c>
      <c r="AN102" s="154">
        <v>21</v>
      </c>
      <c r="AO102" s="154">
        <f>G102*0</f>
        <v>0</v>
      </c>
      <c r="AP102" s="154">
        <f>G102*(1-0)</f>
        <v>0</v>
      </c>
      <c r="AQ102" s="153" t="s">
        <v>6</v>
      </c>
      <c r="AV102" s="154">
        <f>AW102+AX102</f>
        <v>0</v>
      </c>
      <c r="AW102" s="154">
        <f>F102*AO102</f>
        <v>0</v>
      </c>
      <c r="AX102" s="154">
        <f>F102*AP102</f>
        <v>0</v>
      </c>
      <c r="AY102" s="155" t="s">
        <v>262</v>
      </c>
      <c r="AZ102" s="155" t="s">
        <v>270</v>
      </c>
      <c r="BA102" s="149" t="s">
        <v>271</v>
      </c>
      <c r="BC102" s="154">
        <f>AW102+AX102</f>
        <v>0</v>
      </c>
      <c r="BD102" s="154">
        <f>G102/(100-BE102)*100</f>
        <v>0</v>
      </c>
      <c r="BE102" s="154">
        <v>0</v>
      </c>
      <c r="BF102" s="154">
        <f>L102</f>
        <v>1.7000000000000002</v>
      </c>
      <c r="BH102" s="151">
        <f>F102*AO102</f>
        <v>0</v>
      </c>
      <c r="BI102" s="151">
        <f>F102*AP102</f>
        <v>0</v>
      </c>
      <c r="BJ102" s="151">
        <f>F102*G102</f>
        <v>0</v>
      </c>
    </row>
    <row r="103" spans="1:47" ht="12.75">
      <c r="A103" s="5"/>
      <c r="B103" s="13"/>
      <c r="C103" s="13" t="s">
        <v>104</v>
      </c>
      <c r="D103" s="13" t="s">
        <v>200</v>
      </c>
      <c r="E103" s="5" t="s">
        <v>5</v>
      </c>
      <c r="F103" s="5" t="s">
        <v>5</v>
      </c>
      <c r="G103" s="5" t="s">
        <v>5</v>
      </c>
      <c r="H103" s="33">
        <f>SUM(H104:H104)</f>
        <v>0</v>
      </c>
      <c r="I103" s="33">
        <f>SUM(I104:I104)</f>
        <v>0</v>
      </c>
      <c r="J103" s="33">
        <f>SUM(J104:J104)</f>
        <v>0</v>
      </c>
      <c r="K103" s="26"/>
      <c r="L103" s="33">
        <f>SUM(L104:L104)</f>
        <v>0</v>
      </c>
      <c r="M103" s="26"/>
      <c r="AI103" s="149"/>
      <c r="AS103" s="150">
        <f>SUM(AJ104:AJ104)</f>
        <v>0</v>
      </c>
      <c r="AT103" s="150">
        <f>SUM(AK104:AK104)</f>
        <v>0</v>
      </c>
      <c r="AU103" s="150">
        <f>SUM(AL104:AL104)</f>
        <v>0</v>
      </c>
    </row>
    <row r="104" spans="1:62" ht="12.75">
      <c r="A104" s="4" t="s">
        <v>81</v>
      </c>
      <c r="B104" s="4"/>
      <c r="C104" s="4"/>
      <c r="D104" s="67" t="s">
        <v>201</v>
      </c>
      <c r="E104" s="4" t="s">
        <v>220</v>
      </c>
      <c r="F104" s="17">
        <v>58.615</v>
      </c>
      <c r="G104" s="152">
        <v>0</v>
      </c>
      <c r="H104" s="17">
        <f>F104*AO104</f>
        <v>0</v>
      </c>
      <c r="I104" s="17">
        <f>F104*AP104</f>
        <v>0</v>
      </c>
      <c r="J104" s="17">
        <f>F104*G104</f>
        <v>0</v>
      </c>
      <c r="K104" s="17">
        <v>0</v>
      </c>
      <c r="L104" s="17">
        <f>F104*K104</f>
        <v>0</v>
      </c>
      <c r="M104" s="29"/>
      <c r="Z104" s="154">
        <f>IF(AQ104="5",BJ104,0)</f>
        <v>0</v>
      </c>
      <c r="AB104" s="154">
        <f>IF(AQ104="1",BH104,0)</f>
        <v>0</v>
      </c>
      <c r="AC104" s="154">
        <f>IF(AQ104="1",BI104,0)</f>
        <v>0</v>
      </c>
      <c r="AD104" s="154">
        <f>IF(AQ104="7",BH104,0)</f>
        <v>0</v>
      </c>
      <c r="AE104" s="154">
        <f>IF(AQ104="7",BI104,0)</f>
        <v>0</v>
      </c>
      <c r="AF104" s="154">
        <f>IF(AQ104="2",BH104,0)</f>
        <v>0</v>
      </c>
      <c r="AG104" s="154">
        <f>IF(AQ104="2",BI104,0)</f>
        <v>0</v>
      </c>
      <c r="AH104" s="154">
        <f>IF(AQ104="0",BJ104,0)</f>
        <v>0</v>
      </c>
      <c r="AI104" s="149"/>
      <c r="AJ104" s="151">
        <f>IF(AN104=0,J104,0)</f>
        <v>0</v>
      </c>
      <c r="AK104" s="151">
        <f>IF(AN104=15,J104,0)</f>
        <v>0</v>
      </c>
      <c r="AL104" s="151">
        <f>IF(AN104=21,J104,0)</f>
        <v>0</v>
      </c>
      <c r="AN104" s="154">
        <v>21</v>
      </c>
      <c r="AO104" s="154">
        <f>G104*0</f>
        <v>0</v>
      </c>
      <c r="AP104" s="154">
        <f>G104*(1-0)</f>
        <v>0</v>
      </c>
      <c r="AQ104" s="153" t="s">
        <v>10</v>
      </c>
      <c r="AV104" s="154">
        <f>AW104+AX104</f>
        <v>0</v>
      </c>
      <c r="AW104" s="154">
        <f>F104*AO104</f>
        <v>0</v>
      </c>
      <c r="AX104" s="154">
        <f>F104*AP104</f>
        <v>0</v>
      </c>
      <c r="AY104" s="155" t="s">
        <v>263</v>
      </c>
      <c r="AZ104" s="155" t="s">
        <v>270</v>
      </c>
      <c r="BA104" s="149" t="s">
        <v>271</v>
      </c>
      <c r="BC104" s="154">
        <f>AW104+AX104</f>
        <v>0</v>
      </c>
      <c r="BD104" s="154">
        <f>G104/(100-BE104)*100</f>
        <v>0</v>
      </c>
      <c r="BE104" s="154">
        <v>0</v>
      </c>
      <c r="BF104" s="154">
        <f>L104</f>
        <v>0</v>
      </c>
      <c r="BH104" s="151">
        <f>F104*AO104</f>
        <v>0</v>
      </c>
      <c r="BI104" s="151">
        <f>F104*AP104</f>
        <v>0</v>
      </c>
      <c r="BJ104" s="151">
        <f>F104*G104</f>
        <v>0</v>
      </c>
    </row>
    <row r="105" spans="1:47" ht="12.75">
      <c r="A105" s="5"/>
      <c r="B105" s="13"/>
      <c r="C105" s="13" t="s">
        <v>105</v>
      </c>
      <c r="D105" s="13" t="s">
        <v>202</v>
      </c>
      <c r="E105" s="5" t="s">
        <v>5</v>
      </c>
      <c r="F105" s="5" t="s">
        <v>5</v>
      </c>
      <c r="G105" s="5" t="s">
        <v>5</v>
      </c>
      <c r="H105" s="33">
        <f>SUM(H106:H106)</f>
        <v>0</v>
      </c>
      <c r="I105" s="33">
        <f>SUM(I106:I106)</f>
        <v>0</v>
      </c>
      <c r="J105" s="33">
        <f>SUM(J106:J106)</f>
        <v>0</v>
      </c>
      <c r="K105" s="26"/>
      <c r="L105" s="33">
        <f>SUM(L106:L106)</f>
        <v>0</v>
      </c>
      <c r="M105" s="26"/>
      <c r="AI105" s="149"/>
      <c r="AS105" s="150">
        <f>SUM(AJ106:AJ106)</f>
        <v>0</v>
      </c>
      <c r="AT105" s="150">
        <f>SUM(AK106:AK106)</f>
        <v>0</v>
      </c>
      <c r="AU105" s="150">
        <f>SUM(AL106:AL106)</f>
        <v>0</v>
      </c>
    </row>
    <row r="106" spans="1:62" ht="26.25">
      <c r="A106" s="4" t="s">
        <v>82</v>
      </c>
      <c r="B106" s="4"/>
      <c r="C106" s="4"/>
      <c r="D106" s="67" t="s">
        <v>203</v>
      </c>
      <c r="E106" s="4" t="s">
        <v>219</v>
      </c>
      <c r="F106" s="17">
        <v>30</v>
      </c>
      <c r="G106" s="152">
        <v>0</v>
      </c>
      <c r="H106" s="17">
        <f>F106*AO106</f>
        <v>0</v>
      </c>
      <c r="I106" s="17">
        <f>F106*AP106</f>
        <v>0</v>
      </c>
      <c r="J106" s="17">
        <f>F106*G106</f>
        <v>0</v>
      </c>
      <c r="K106" s="17">
        <v>0</v>
      </c>
      <c r="L106" s="17">
        <f>F106*K106</f>
        <v>0</v>
      </c>
      <c r="M106" s="29"/>
      <c r="Z106" s="154">
        <f>IF(AQ106="5",BJ106,0)</f>
        <v>0</v>
      </c>
      <c r="AB106" s="154">
        <f>IF(AQ106="1",BH106,0)</f>
        <v>0</v>
      </c>
      <c r="AC106" s="154">
        <f>IF(AQ106="1",BI106,0)</f>
        <v>0</v>
      </c>
      <c r="AD106" s="154">
        <f>IF(AQ106="7",BH106,0)</f>
        <v>0</v>
      </c>
      <c r="AE106" s="154">
        <f>IF(AQ106="7",BI106,0)</f>
        <v>0</v>
      </c>
      <c r="AF106" s="154">
        <f>IF(AQ106="2",BH106,0)</f>
        <v>0</v>
      </c>
      <c r="AG106" s="154">
        <f>IF(AQ106="2",BI106,0)</f>
        <v>0</v>
      </c>
      <c r="AH106" s="154">
        <f>IF(AQ106="0",BJ106,0)</f>
        <v>0</v>
      </c>
      <c r="AI106" s="149"/>
      <c r="AJ106" s="151">
        <f>IF(AN106=0,J106,0)</f>
        <v>0</v>
      </c>
      <c r="AK106" s="151">
        <f>IF(AN106=15,J106,0)</f>
        <v>0</v>
      </c>
      <c r="AL106" s="151">
        <f>IF(AN106=21,J106,0)</f>
        <v>0</v>
      </c>
      <c r="AN106" s="154">
        <v>21</v>
      </c>
      <c r="AO106" s="154">
        <f>G106*0</f>
        <v>0</v>
      </c>
      <c r="AP106" s="154">
        <f>G106*(1-0)</f>
        <v>0</v>
      </c>
      <c r="AQ106" s="153" t="s">
        <v>7</v>
      </c>
      <c r="AV106" s="154">
        <f>AW106+AX106</f>
        <v>0</v>
      </c>
      <c r="AW106" s="154">
        <f>F106*AO106</f>
        <v>0</v>
      </c>
      <c r="AX106" s="154">
        <f>F106*AP106</f>
        <v>0</v>
      </c>
      <c r="AY106" s="155" t="s">
        <v>264</v>
      </c>
      <c r="AZ106" s="155" t="s">
        <v>270</v>
      </c>
      <c r="BA106" s="149" t="s">
        <v>271</v>
      </c>
      <c r="BC106" s="154">
        <f>AW106+AX106</f>
        <v>0</v>
      </c>
      <c r="BD106" s="154">
        <f>G106/(100-BE106)*100</f>
        <v>0</v>
      </c>
      <c r="BE106" s="154">
        <v>0</v>
      </c>
      <c r="BF106" s="154">
        <f>L106</f>
        <v>0</v>
      </c>
      <c r="BH106" s="151">
        <f>F106*AO106</f>
        <v>0</v>
      </c>
      <c r="BI106" s="151">
        <f>F106*AP106</f>
        <v>0</v>
      </c>
      <c r="BJ106" s="151">
        <f>F106*G106</f>
        <v>0</v>
      </c>
    </row>
    <row r="107" spans="1:47" ht="12.75">
      <c r="A107" s="5"/>
      <c r="B107" s="13"/>
      <c r="C107" s="13" t="s">
        <v>106</v>
      </c>
      <c r="D107" s="13" t="s">
        <v>204</v>
      </c>
      <c r="E107" s="5" t="s">
        <v>5</v>
      </c>
      <c r="F107" s="5" t="s">
        <v>5</v>
      </c>
      <c r="G107" s="5" t="s">
        <v>5</v>
      </c>
      <c r="H107" s="33">
        <f>SUM(H108:H114)</f>
        <v>0</v>
      </c>
      <c r="I107" s="33">
        <f>SUM(I108:I114)</f>
        <v>0</v>
      </c>
      <c r="J107" s="33">
        <f>SUM(J108:J114)</f>
        <v>0</v>
      </c>
      <c r="K107" s="26"/>
      <c r="L107" s="33">
        <f>SUM(L108:L114)</f>
        <v>0</v>
      </c>
      <c r="M107" s="26"/>
      <c r="AI107" s="149"/>
      <c r="AS107" s="150">
        <f>SUM(AJ108:AJ114)</f>
        <v>0</v>
      </c>
      <c r="AT107" s="150">
        <f>SUM(AK108:AK114)</f>
        <v>0</v>
      </c>
      <c r="AU107" s="150">
        <f>SUM(AL108:AL114)</f>
        <v>0</v>
      </c>
    </row>
    <row r="108" spans="1:62" ht="12.75">
      <c r="A108" s="4" t="s">
        <v>83</v>
      </c>
      <c r="B108" s="4"/>
      <c r="C108" s="4"/>
      <c r="D108" s="67" t="s">
        <v>205</v>
      </c>
      <c r="E108" s="4" t="s">
        <v>220</v>
      </c>
      <c r="F108" s="17">
        <v>54.5</v>
      </c>
      <c r="G108" s="152">
        <v>0</v>
      </c>
      <c r="H108" s="17">
        <f aca="true" t="shared" si="98" ref="H108:H114">F108*AO108</f>
        <v>0</v>
      </c>
      <c r="I108" s="17">
        <f aca="true" t="shared" si="99" ref="I108:I114">F108*AP108</f>
        <v>0</v>
      </c>
      <c r="J108" s="17">
        <f aca="true" t="shared" si="100" ref="J108:J114">F108*G108</f>
        <v>0</v>
      </c>
      <c r="K108" s="17">
        <v>0</v>
      </c>
      <c r="L108" s="17">
        <f aca="true" t="shared" si="101" ref="L108:L114">F108*K108</f>
        <v>0</v>
      </c>
      <c r="M108" s="29"/>
      <c r="Z108" s="154">
        <f aca="true" t="shared" si="102" ref="Z108:Z114">IF(AQ108="5",BJ108,0)</f>
        <v>0</v>
      </c>
      <c r="AB108" s="154">
        <f aca="true" t="shared" si="103" ref="AB108:AB114">IF(AQ108="1",BH108,0)</f>
        <v>0</v>
      </c>
      <c r="AC108" s="154">
        <f aca="true" t="shared" si="104" ref="AC108:AC114">IF(AQ108="1",BI108,0)</f>
        <v>0</v>
      </c>
      <c r="AD108" s="154">
        <f aca="true" t="shared" si="105" ref="AD108:AD114">IF(AQ108="7",BH108,0)</f>
        <v>0</v>
      </c>
      <c r="AE108" s="154">
        <f aca="true" t="shared" si="106" ref="AE108:AE114">IF(AQ108="7",BI108,0)</f>
        <v>0</v>
      </c>
      <c r="AF108" s="154">
        <f aca="true" t="shared" si="107" ref="AF108:AF114">IF(AQ108="2",BH108,0)</f>
        <v>0</v>
      </c>
      <c r="AG108" s="154">
        <f aca="true" t="shared" si="108" ref="AG108:AG114">IF(AQ108="2",BI108,0)</f>
        <v>0</v>
      </c>
      <c r="AH108" s="154">
        <f aca="true" t="shared" si="109" ref="AH108:AH114">IF(AQ108="0",BJ108,0)</f>
        <v>0</v>
      </c>
      <c r="AI108" s="149"/>
      <c r="AJ108" s="151">
        <f aca="true" t="shared" si="110" ref="AJ108:AJ114">IF(AN108=0,J108,0)</f>
        <v>0</v>
      </c>
      <c r="AK108" s="151">
        <f aca="true" t="shared" si="111" ref="AK108:AK114">IF(AN108=15,J108,0)</f>
        <v>0</v>
      </c>
      <c r="AL108" s="151">
        <f aca="true" t="shared" si="112" ref="AL108:AL114">IF(AN108=21,J108,0)</f>
        <v>0</v>
      </c>
      <c r="AN108" s="154">
        <v>21</v>
      </c>
      <c r="AO108" s="154">
        <f aca="true" t="shared" si="113" ref="AO108:AO114">G108*0</f>
        <v>0</v>
      </c>
      <c r="AP108" s="154">
        <f aca="true" t="shared" si="114" ref="AP108:AP114">G108*(1-0)</f>
        <v>0</v>
      </c>
      <c r="AQ108" s="153" t="s">
        <v>10</v>
      </c>
      <c r="AV108" s="154">
        <f aca="true" t="shared" si="115" ref="AV108:AV114">AW108+AX108</f>
        <v>0</v>
      </c>
      <c r="AW108" s="154">
        <f aca="true" t="shared" si="116" ref="AW108:AW114">F108*AO108</f>
        <v>0</v>
      </c>
      <c r="AX108" s="154">
        <f aca="true" t="shared" si="117" ref="AX108:AX114">F108*AP108</f>
        <v>0</v>
      </c>
      <c r="AY108" s="155" t="s">
        <v>265</v>
      </c>
      <c r="AZ108" s="155" t="s">
        <v>270</v>
      </c>
      <c r="BA108" s="149" t="s">
        <v>271</v>
      </c>
      <c r="BC108" s="154">
        <f aca="true" t="shared" si="118" ref="BC108:BC114">AW108+AX108</f>
        <v>0</v>
      </c>
      <c r="BD108" s="154">
        <f aca="true" t="shared" si="119" ref="BD108:BD114">G108/(100-BE108)*100</f>
        <v>0</v>
      </c>
      <c r="BE108" s="154">
        <v>0</v>
      </c>
      <c r="BF108" s="154">
        <f aca="true" t="shared" si="120" ref="BF108:BF114">L108</f>
        <v>0</v>
      </c>
      <c r="BH108" s="151">
        <f aca="true" t="shared" si="121" ref="BH108:BH114">F108*AO108</f>
        <v>0</v>
      </c>
      <c r="BI108" s="151">
        <f aca="true" t="shared" si="122" ref="BI108:BI114">F108*AP108</f>
        <v>0</v>
      </c>
      <c r="BJ108" s="151">
        <f aca="true" t="shared" si="123" ref="BJ108:BJ114">F108*G108</f>
        <v>0</v>
      </c>
    </row>
    <row r="109" spans="1:62" ht="12.75">
      <c r="A109" s="4" t="s">
        <v>84</v>
      </c>
      <c r="B109" s="4"/>
      <c r="C109" s="4"/>
      <c r="D109" s="67" t="s">
        <v>206</v>
      </c>
      <c r="E109" s="4" t="s">
        <v>220</v>
      </c>
      <c r="F109" s="17">
        <v>54.5</v>
      </c>
      <c r="G109" s="152">
        <v>0</v>
      </c>
      <c r="H109" s="17">
        <f t="shared" si="98"/>
        <v>0</v>
      </c>
      <c r="I109" s="17">
        <f t="shared" si="99"/>
        <v>0</v>
      </c>
      <c r="J109" s="17">
        <f t="shared" si="100"/>
        <v>0</v>
      </c>
      <c r="K109" s="17">
        <v>0</v>
      </c>
      <c r="L109" s="17">
        <f t="shared" si="101"/>
        <v>0</v>
      </c>
      <c r="M109" s="29"/>
      <c r="Z109" s="154">
        <f t="shared" si="102"/>
        <v>0</v>
      </c>
      <c r="AB109" s="154">
        <f t="shared" si="103"/>
        <v>0</v>
      </c>
      <c r="AC109" s="154">
        <f t="shared" si="104"/>
        <v>0</v>
      </c>
      <c r="AD109" s="154">
        <f t="shared" si="105"/>
        <v>0</v>
      </c>
      <c r="AE109" s="154">
        <f t="shared" si="106"/>
        <v>0</v>
      </c>
      <c r="AF109" s="154">
        <f t="shared" si="107"/>
        <v>0</v>
      </c>
      <c r="AG109" s="154">
        <f t="shared" si="108"/>
        <v>0</v>
      </c>
      <c r="AH109" s="154">
        <f t="shared" si="109"/>
        <v>0</v>
      </c>
      <c r="AI109" s="149"/>
      <c r="AJ109" s="151">
        <f t="shared" si="110"/>
        <v>0</v>
      </c>
      <c r="AK109" s="151">
        <f t="shared" si="111"/>
        <v>0</v>
      </c>
      <c r="AL109" s="151">
        <f t="shared" si="112"/>
        <v>0</v>
      </c>
      <c r="AN109" s="154">
        <v>21</v>
      </c>
      <c r="AO109" s="154">
        <f t="shared" si="113"/>
        <v>0</v>
      </c>
      <c r="AP109" s="154">
        <f t="shared" si="114"/>
        <v>0</v>
      </c>
      <c r="AQ109" s="153" t="s">
        <v>10</v>
      </c>
      <c r="AV109" s="154">
        <f t="shared" si="115"/>
        <v>0</v>
      </c>
      <c r="AW109" s="154">
        <f t="shared" si="116"/>
        <v>0</v>
      </c>
      <c r="AX109" s="154">
        <f t="shared" si="117"/>
        <v>0</v>
      </c>
      <c r="AY109" s="155" t="s">
        <v>265</v>
      </c>
      <c r="AZ109" s="155" t="s">
        <v>270</v>
      </c>
      <c r="BA109" s="149" t="s">
        <v>271</v>
      </c>
      <c r="BC109" s="154">
        <f t="shared" si="118"/>
        <v>0</v>
      </c>
      <c r="BD109" s="154">
        <f t="shared" si="119"/>
        <v>0</v>
      </c>
      <c r="BE109" s="154">
        <v>0</v>
      </c>
      <c r="BF109" s="154">
        <f t="shared" si="120"/>
        <v>0</v>
      </c>
      <c r="BH109" s="151">
        <f t="shared" si="121"/>
        <v>0</v>
      </c>
      <c r="BI109" s="151">
        <f t="shared" si="122"/>
        <v>0</v>
      </c>
      <c r="BJ109" s="151">
        <f t="shared" si="123"/>
        <v>0</v>
      </c>
    </row>
    <row r="110" spans="1:62" ht="12.75">
      <c r="A110" s="4" t="s">
        <v>85</v>
      </c>
      <c r="B110" s="4"/>
      <c r="C110" s="4"/>
      <c r="D110" s="67" t="s">
        <v>207</v>
      </c>
      <c r="E110" s="4" t="s">
        <v>220</v>
      </c>
      <c r="F110" s="17">
        <v>163.5</v>
      </c>
      <c r="G110" s="152">
        <v>0</v>
      </c>
      <c r="H110" s="17">
        <f t="shared" si="98"/>
        <v>0</v>
      </c>
      <c r="I110" s="17">
        <f t="shared" si="99"/>
        <v>0</v>
      </c>
      <c r="J110" s="17">
        <f t="shared" si="100"/>
        <v>0</v>
      </c>
      <c r="K110" s="17">
        <v>0</v>
      </c>
      <c r="L110" s="17">
        <f t="shared" si="101"/>
        <v>0</v>
      </c>
      <c r="M110" s="29"/>
      <c r="Z110" s="154">
        <f t="shared" si="102"/>
        <v>0</v>
      </c>
      <c r="AB110" s="154">
        <f t="shared" si="103"/>
        <v>0</v>
      </c>
      <c r="AC110" s="154">
        <f t="shared" si="104"/>
        <v>0</v>
      </c>
      <c r="AD110" s="154">
        <f t="shared" si="105"/>
        <v>0</v>
      </c>
      <c r="AE110" s="154">
        <f t="shared" si="106"/>
        <v>0</v>
      </c>
      <c r="AF110" s="154">
        <f t="shared" si="107"/>
        <v>0</v>
      </c>
      <c r="AG110" s="154">
        <f t="shared" si="108"/>
        <v>0</v>
      </c>
      <c r="AH110" s="154">
        <f t="shared" si="109"/>
        <v>0</v>
      </c>
      <c r="AI110" s="149"/>
      <c r="AJ110" s="151">
        <f t="shared" si="110"/>
        <v>0</v>
      </c>
      <c r="AK110" s="151">
        <f t="shared" si="111"/>
        <v>0</v>
      </c>
      <c r="AL110" s="151">
        <f t="shared" si="112"/>
        <v>0</v>
      </c>
      <c r="AN110" s="154">
        <v>21</v>
      </c>
      <c r="AO110" s="154">
        <f t="shared" si="113"/>
        <v>0</v>
      </c>
      <c r="AP110" s="154">
        <f t="shared" si="114"/>
        <v>0</v>
      </c>
      <c r="AQ110" s="153" t="s">
        <v>10</v>
      </c>
      <c r="AV110" s="154">
        <f t="shared" si="115"/>
        <v>0</v>
      </c>
      <c r="AW110" s="154">
        <f t="shared" si="116"/>
        <v>0</v>
      </c>
      <c r="AX110" s="154">
        <f t="shared" si="117"/>
        <v>0</v>
      </c>
      <c r="AY110" s="155" t="s">
        <v>265</v>
      </c>
      <c r="AZ110" s="155" t="s">
        <v>270</v>
      </c>
      <c r="BA110" s="149" t="s">
        <v>271</v>
      </c>
      <c r="BC110" s="154">
        <f t="shared" si="118"/>
        <v>0</v>
      </c>
      <c r="BD110" s="154">
        <f t="shared" si="119"/>
        <v>0</v>
      </c>
      <c r="BE110" s="154">
        <v>0</v>
      </c>
      <c r="BF110" s="154">
        <f t="shared" si="120"/>
        <v>0</v>
      </c>
      <c r="BH110" s="151">
        <f t="shared" si="121"/>
        <v>0</v>
      </c>
      <c r="BI110" s="151">
        <f t="shared" si="122"/>
        <v>0</v>
      </c>
      <c r="BJ110" s="151">
        <f t="shared" si="123"/>
        <v>0</v>
      </c>
    </row>
    <row r="111" spans="1:62" ht="12.75">
      <c r="A111" s="4" t="s">
        <v>86</v>
      </c>
      <c r="B111" s="4"/>
      <c r="C111" s="4"/>
      <c r="D111" s="67" t="s">
        <v>208</v>
      </c>
      <c r="E111" s="4" t="s">
        <v>220</v>
      </c>
      <c r="F111" s="17">
        <v>54.5</v>
      </c>
      <c r="G111" s="152">
        <v>0</v>
      </c>
      <c r="H111" s="17">
        <f t="shared" si="98"/>
        <v>0</v>
      </c>
      <c r="I111" s="17">
        <f t="shared" si="99"/>
        <v>0</v>
      </c>
      <c r="J111" s="17">
        <f t="shared" si="100"/>
        <v>0</v>
      </c>
      <c r="K111" s="17">
        <v>0</v>
      </c>
      <c r="L111" s="17">
        <f t="shared" si="101"/>
        <v>0</v>
      </c>
      <c r="M111" s="29"/>
      <c r="Z111" s="154">
        <f t="shared" si="102"/>
        <v>0</v>
      </c>
      <c r="AB111" s="154">
        <f t="shared" si="103"/>
        <v>0</v>
      </c>
      <c r="AC111" s="154">
        <f t="shared" si="104"/>
        <v>0</v>
      </c>
      <c r="AD111" s="154">
        <f t="shared" si="105"/>
        <v>0</v>
      </c>
      <c r="AE111" s="154">
        <f t="shared" si="106"/>
        <v>0</v>
      </c>
      <c r="AF111" s="154">
        <f t="shared" si="107"/>
        <v>0</v>
      </c>
      <c r="AG111" s="154">
        <f t="shared" si="108"/>
        <v>0</v>
      </c>
      <c r="AH111" s="154">
        <f t="shared" si="109"/>
        <v>0</v>
      </c>
      <c r="AI111" s="149"/>
      <c r="AJ111" s="151">
        <f t="shared" si="110"/>
        <v>0</v>
      </c>
      <c r="AK111" s="151">
        <f t="shared" si="111"/>
        <v>0</v>
      </c>
      <c r="AL111" s="151">
        <f t="shared" si="112"/>
        <v>0</v>
      </c>
      <c r="AN111" s="154">
        <v>21</v>
      </c>
      <c r="AO111" s="154">
        <f t="shared" si="113"/>
        <v>0</v>
      </c>
      <c r="AP111" s="154">
        <f t="shared" si="114"/>
        <v>0</v>
      </c>
      <c r="AQ111" s="153" t="s">
        <v>10</v>
      </c>
      <c r="AV111" s="154">
        <f t="shared" si="115"/>
        <v>0</v>
      </c>
      <c r="AW111" s="154">
        <f t="shared" si="116"/>
        <v>0</v>
      </c>
      <c r="AX111" s="154">
        <f t="shared" si="117"/>
        <v>0</v>
      </c>
      <c r="AY111" s="155" t="s">
        <v>265</v>
      </c>
      <c r="AZ111" s="155" t="s">
        <v>270</v>
      </c>
      <c r="BA111" s="149" t="s">
        <v>271</v>
      </c>
      <c r="BC111" s="154">
        <f t="shared" si="118"/>
        <v>0</v>
      </c>
      <c r="BD111" s="154">
        <f t="shared" si="119"/>
        <v>0</v>
      </c>
      <c r="BE111" s="154">
        <v>0</v>
      </c>
      <c r="BF111" s="154">
        <f t="shared" si="120"/>
        <v>0</v>
      </c>
      <c r="BH111" s="151">
        <f t="shared" si="121"/>
        <v>0</v>
      </c>
      <c r="BI111" s="151">
        <f t="shared" si="122"/>
        <v>0</v>
      </c>
      <c r="BJ111" s="151">
        <f t="shared" si="123"/>
        <v>0</v>
      </c>
    </row>
    <row r="112" spans="1:62" ht="12.75">
      <c r="A112" s="4" t="s">
        <v>87</v>
      </c>
      <c r="B112" s="4"/>
      <c r="C112" s="4"/>
      <c r="D112" s="67" t="s">
        <v>209</v>
      </c>
      <c r="E112" s="4" t="s">
        <v>220</v>
      </c>
      <c r="F112" s="17">
        <v>54.5</v>
      </c>
      <c r="G112" s="152">
        <v>0</v>
      </c>
      <c r="H112" s="17">
        <f t="shared" si="98"/>
        <v>0</v>
      </c>
      <c r="I112" s="17">
        <f t="shared" si="99"/>
        <v>0</v>
      </c>
      <c r="J112" s="17">
        <f t="shared" si="100"/>
        <v>0</v>
      </c>
      <c r="K112" s="17">
        <v>0</v>
      </c>
      <c r="L112" s="17">
        <f t="shared" si="101"/>
        <v>0</v>
      </c>
      <c r="M112" s="29"/>
      <c r="Z112" s="154">
        <f t="shared" si="102"/>
        <v>0</v>
      </c>
      <c r="AB112" s="154">
        <f t="shared" si="103"/>
        <v>0</v>
      </c>
      <c r="AC112" s="154">
        <f t="shared" si="104"/>
        <v>0</v>
      </c>
      <c r="AD112" s="154">
        <f t="shared" si="105"/>
        <v>0</v>
      </c>
      <c r="AE112" s="154">
        <f t="shared" si="106"/>
        <v>0</v>
      </c>
      <c r="AF112" s="154">
        <f t="shared" si="107"/>
        <v>0</v>
      </c>
      <c r="AG112" s="154">
        <f t="shared" si="108"/>
        <v>0</v>
      </c>
      <c r="AH112" s="154">
        <f t="shared" si="109"/>
        <v>0</v>
      </c>
      <c r="AI112" s="149"/>
      <c r="AJ112" s="151">
        <f t="shared" si="110"/>
        <v>0</v>
      </c>
      <c r="AK112" s="151">
        <f t="shared" si="111"/>
        <v>0</v>
      </c>
      <c r="AL112" s="151">
        <f t="shared" si="112"/>
        <v>0</v>
      </c>
      <c r="AN112" s="154">
        <v>21</v>
      </c>
      <c r="AO112" s="154">
        <f t="shared" si="113"/>
        <v>0</v>
      </c>
      <c r="AP112" s="154">
        <f t="shared" si="114"/>
        <v>0</v>
      </c>
      <c r="AQ112" s="153" t="s">
        <v>10</v>
      </c>
      <c r="AV112" s="154">
        <f t="shared" si="115"/>
        <v>0</v>
      </c>
      <c r="AW112" s="154">
        <f t="shared" si="116"/>
        <v>0</v>
      </c>
      <c r="AX112" s="154">
        <f t="shared" si="117"/>
        <v>0</v>
      </c>
      <c r="AY112" s="155" t="s">
        <v>265</v>
      </c>
      <c r="AZ112" s="155" t="s">
        <v>270</v>
      </c>
      <c r="BA112" s="149" t="s">
        <v>271</v>
      </c>
      <c r="BC112" s="154">
        <f t="shared" si="118"/>
        <v>0</v>
      </c>
      <c r="BD112" s="154">
        <f t="shared" si="119"/>
        <v>0</v>
      </c>
      <c r="BE112" s="154">
        <v>0</v>
      </c>
      <c r="BF112" s="154">
        <f t="shared" si="120"/>
        <v>0</v>
      </c>
      <c r="BH112" s="151">
        <f t="shared" si="121"/>
        <v>0</v>
      </c>
      <c r="BI112" s="151">
        <f t="shared" si="122"/>
        <v>0</v>
      </c>
      <c r="BJ112" s="151">
        <f t="shared" si="123"/>
        <v>0</v>
      </c>
    </row>
    <row r="113" spans="1:62" ht="12.75">
      <c r="A113" s="4" t="s">
        <v>88</v>
      </c>
      <c r="B113" s="4"/>
      <c r="C113" s="4"/>
      <c r="D113" s="67" t="s">
        <v>210</v>
      </c>
      <c r="E113" s="4" t="s">
        <v>220</v>
      </c>
      <c r="F113" s="17">
        <v>54.5</v>
      </c>
      <c r="G113" s="152">
        <v>0</v>
      </c>
      <c r="H113" s="17">
        <f t="shared" si="98"/>
        <v>0</v>
      </c>
      <c r="I113" s="17">
        <f t="shared" si="99"/>
        <v>0</v>
      </c>
      <c r="J113" s="17">
        <f t="shared" si="100"/>
        <v>0</v>
      </c>
      <c r="K113" s="17">
        <v>0</v>
      </c>
      <c r="L113" s="17">
        <f t="shared" si="101"/>
        <v>0</v>
      </c>
      <c r="M113" s="29"/>
      <c r="Z113" s="154">
        <f t="shared" si="102"/>
        <v>0</v>
      </c>
      <c r="AB113" s="154">
        <f t="shared" si="103"/>
        <v>0</v>
      </c>
      <c r="AC113" s="154">
        <f t="shared" si="104"/>
        <v>0</v>
      </c>
      <c r="AD113" s="154">
        <f t="shared" si="105"/>
        <v>0</v>
      </c>
      <c r="AE113" s="154">
        <f t="shared" si="106"/>
        <v>0</v>
      </c>
      <c r="AF113" s="154">
        <f t="shared" si="107"/>
        <v>0</v>
      </c>
      <c r="AG113" s="154">
        <f t="shared" si="108"/>
        <v>0</v>
      </c>
      <c r="AH113" s="154">
        <f t="shared" si="109"/>
        <v>0</v>
      </c>
      <c r="AI113" s="149"/>
      <c r="AJ113" s="151">
        <f t="shared" si="110"/>
        <v>0</v>
      </c>
      <c r="AK113" s="151">
        <f t="shared" si="111"/>
        <v>0</v>
      </c>
      <c r="AL113" s="151">
        <f t="shared" si="112"/>
        <v>0</v>
      </c>
      <c r="AN113" s="154">
        <v>21</v>
      </c>
      <c r="AO113" s="154">
        <f t="shared" si="113"/>
        <v>0</v>
      </c>
      <c r="AP113" s="154">
        <f t="shared" si="114"/>
        <v>0</v>
      </c>
      <c r="AQ113" s="153" t="s">
        <v>10</v>
      </c>
      <c r="AV113" s="154">
        <f t="shared" si="115"/>
        <v>0</v>
      </c>
      <c r="AW113" s="154">
        <f t="shared" si="116"/>
        <v>0</v>
      </c>
      <c r="AX113" s="154">
        <f t="shared" si="117"/>
        <v>0</v>
      </c>
      <c r="AY113" s="155" t="s">
        <v>265</v>
      </c>
      <c r="AZ113" s="155" t="s">
        <v>270</v>
      </c>
      <c r="BA113" s="149" t="s">
        <v>271</v>
      </c>
      <c r="BC113" s="154">
        <f t="shared" si="118"/>
        <v>0</v>
      </c>
      <c r="BD113" s="154">
        <f t="shared" si="119"/>
        <v>0</v>
      </c>
      <c r="BE113" s="154">
        <v>0</v>
      </c>
      <c r="BF113" s="154">
        <f t="shared" si="120"/>
        <v>0</v>
      </c>
      <c r="BH113" s="151">
        <f t="shared" si="121"/>
        <v>0</v>
      </c>
      <c r="BI113" s="151">
        <f t="shared" si="122"/>
        <v>0</v>
      </c>
      <c r="BJ113" s="151">
        <f t="shared" si="123"/>
        <v>0</v>
      </c>
    </row>
    <row r="114" spans="1:62" ht="12.75">
      <c r="A114" s="7" t="s">
        <v>89</v>
      </c>
      <c r="B114" s="7"/>
      <c r="C114" s="7"/>
      <c r="D114" s="69" t="s">
        <v>211</v>
      </c>
      <c r="E114" s="7" t="s">
        <v>220</v>
      </c>
      <c r="F114" s="19">
        <v>54.5</v>
      </c>
      <c r="G114" s="152">
        <v>0</v>
      </c>
      <c r="H114" s="19">
        <f t="shared" si="98"/>
        <v>0</v>
      </c>
      <c r="I114" s="19">
        <f t="shared" si="99"/>
        <v>0</v>
      </c>
      <c r="J114" s="19">
        <f t="shared" si="100"/>
        <v>0</v>
      </c>
      <c r="K114" s="19">
        <v>0</v>
      </c>
      <c r="L114" s="19">
        <f t="shared" si="101"/>
        <v>0</v>
      </c>
      <c r="M114" s="29"/>
      <c r="Z114" s="154">
        <f t="shared" si="102"/>
        <v>0</v>
      </c>
      <c r="AB114" s="154">
        <f t="shared" si="103"/>
        <v>0</v>
      </c>
      <c r="AC114" s="154">
        <f t="shared" si="104"/>
        <v>0</v>
      </c>
      <c r="AD114" s="154">
        <f t="shared" si="105"/>
        <v>0</v>
      </c>
      <c r="AE114" s="154">
        <f t="shared" si="106"/>
        <v>0</v>
      </c>
      <c r="AF114" s="154">
        <f t="shared" si="107"/>
        <v>0</v>
      </c>
      <c r="AG114" s="154">
        <f t="shared" si="108"/>
        <v>0</v>
      </c>
      <c r="AH114" s="154">
        <f t="shared" si="109"/>
        <v>0</v>
      </c>
      <c r="AI114" s="149"/>
      <c r="AJ114" s="151">
        <f t="shared" si="110"/>
        <v>0</v>
      </c>
      <c r="AK114" s="151">
        <f t="shared" si="111"/>
        <v>0</v>
      </c>
      <c r="AL114" s="151">
        <f t="shared" si="112"/>
        <v>0</v>
      </c>
      <c r="AN114" s="154">
        <v>21</v>
      </c>
      <c r="AO114" s="154">
        <f t="shared" si="113"/>
        <v>0</v>
      </c>
      <c r="AP114" s="154">
        <f t="shared" si="114"/>
        <v>0</v>
      </c>
      <c r="AQ114" s="153" t="s">
        <v>10</v>
      </c>
      <c r="AV114" s="154">
        <f t="shared" si="115"/>
        <v>0</v>
      </c>
      <c r="AW114" s="154">
        <f t="shared" si="116"/>
        <v>0</v>
      </c>
      <c r="AX114" s="154">
        <f t="shared" si="117"/>
        <v>0</v>
      </c>
      <c r="AY114" s="155" t="s">
        <v>265</v>
      </c>
      <c r="AZ114" s="155" t="s">
        <v>270</v>
      </c>
      <c r="BA114" s="149" t="s">
        <v>271</v>
      </c>
      <c r="BC114" s="154">
        <f t="shared" si="118"/>
        <v>0</v>
      </c>
      <c r="BD114" s="154">
        <f t="shared" si="119"/>
        <v>0</v>
      </c>
      <c r="BE114" s="154">
        <v>0</v>
      </c>
      <c r="BF114" s="154">
        <f t="shared" si="120"/>
        <v>0</v>
      </c>
      <c r="BH114" s="151">
        <f t="shared" si="121"/>
        <v>0</v>
      </c>
      <c r="BI114" s="151">
        <f t="shared" si="122"/>
        <v>0</v>
      </c>
      <c r="BJ114" s="151">
        <f t="shared" si="123"/>
        <v>0</v>
      </c>
    </row>
    <row r="115" spans="1:13" ht="12.75">
      <c r="A115" s="8"/>
      <c r="B115" s="8"/>
      <c r="C115" s="8"/>
      <c r="D115" s="8"/>
      <c r="E115" s="8"/>
      <c r="F115" s="8"/>
      <c r="G115" s="8"/>
      <c r="H115" s="73" t="s">
        <v>231</v>
      </c>
      <c r="I115" s="74"/>
      <c r="J115" s="34">
        <f>J12+J14+J16+J22+J24+J32+J48+J52+J55+J61+J64+J67+J79+J89+J93+J98+J103+J105+J107</f>
        <v>0</v>
      </c>
      <c r="K115" s="8"/>
      <c r="L115" s="8"/>
      <c r="M115" s="8"/>
    </row>
    <row r="116" spans="1:13" ht="11.25" customHeight="1">
      <c r="A116" s="9" t="s">
        <v>90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</row>
    <row r="117" spans="1:13" ht="12.75">
      <c r="A117" s="75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</row>
    <row r="118" spans="1:13" ht="12.75">
      <c r="A118" s="159" t="s">
        <v>465</v>
      </c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</row>
    <row r="119" spans="1:13" ht="12.75">
      <c r="A119" s="159" t="s">
        <v>466</v>
      </c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</row>
    <row r="120" spans="1:13" ht="12.75">
      <c r="A120" s="159" t="s">
        <v>467</v>
      </c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</row>
    <row r="121" spans="1:13" ht="12.75">
      <c r="A121" s="159" t="s">
        <v>468</v>
      </c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</row>
    <row r="122" spans="1:13" ht="12.75">
      <c r="A122" s="159" t="s">
        <v>469</v>
      </c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</row>
    <row r="123" spans="1:13" ht="12.75">
      <c r="A123" s="159" t="s">
        <v>470</v>
      </c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</row>
    <row r="124" spans="1:13" ht="12.75">
      <c r="A124" s="159" t="s">
        <v>471</v>
      </c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</row>
    <row r="125" spans="1:13" ht="12.75">
      <c r="A125" s="159" t="s">
        <v>472</v>
      </c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</row>
    <row r="126" spans="1:13" ht="12.75">
      <c r="A126" s="159" t="s">
        <v>473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</row>
    <row r="127" spans="1:13" ht="12.75">
      <c r="A127" s="159" t="s">
        <v>474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</row>
    <row r="128" spans="1:13" ht="12.75">
      <c r="A128" s="159" t="s">
        <v>475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</row>
    <row r="129" spans="1:13" ht="12.75">
      <c r="A129" s="159" t="s">
        <v>476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</row>
    <row r="130" spans="1:13" ht="12.75">
      <c r="A130" s="160" t="s">
        <v>477</v>
      </c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</row>
    <row r="131" spans="1:13" ht="12.75">
      <c r="A131" s="158"/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</row>
  </sheetData>
  <sheetProtection password="CC2B" sheet="1"/>
  <mergeCells count="2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H10:J10"/>
    <mergeCell ref="K10:L10"/>
    <mergeCell ref="H115:I115"/>
    <mergeCell ref="A117:M117"/>
    <mergeCell ref="A8:C9"/>
    <mergeCell ref="D8:D9"/>
    <mergeCell ref="E8:F9"/>
    <mergeCell ref="G8:H9"/>
    <mergeCell ref="I8:I9"/>
    <mergeCell ref="J8:M9"/>
  </mergeCells>
  <printOptions/>
  <pageMargins left="0.394" right="0.394" top="0.591" bottom="0.591" header="0.5" footer="0.5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pane ySplit="10" topLeftCell="A23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138" customWidth="1"/>
    <col min="3" max="3" width="41.7109375" style="138" customWidth="1"/>
    <col min="4" max="4" width="22.140625" style="138" customWidth="1"/>
    <col min="5" max="5" width="21.00390625" style="138" customWidth="1"/>
    <col min="6" max="6" width="20.8515625" style="138" customWidth="1"/>
    <col min="7" max="7" width="19.7109375" style="138" customWidth="1"/>
    <col min="8" max="9" width="0" style="138" hidden="1" customWidth="1"/>
    <col min="10" max="16384" width="11.57421875" style="138" customWidth="1"/>
  </cols>
  <sheetData>
    <row r="1" spans="1:7" ht="30.75" customHeight="1">
      <c r="A1" s="89" t="s">
        <v>454</v>
      </c>
      <c r="B1" s="90"/>
      <c r="C1" s="90"/>
      <c r="D1" s="90"/>
      <c r="E1" s="90"/>
      <c r="F1" s="90"/>
      <c r="G1" s="90"/>
    </row>
    <row r="2" spans="1:8" ht="12.75" customHeight="1">
      <c r="A2" s="91" t="s">
        <v>0</v>
      </c>
      <c r="B2" s="97" t="s">
        <v>448</v>
      </c>
      <c r="C2" s="100"/>
      <c r="D2" s="96" t="s">
        <v>225</v>
      </c>
      <c r="E2" s="96" t="s">
        <v>455</v>
      </c>
      <c r="F2" s="92"/>
      <c r="G2" s="98"/>
      <c r="H2" s="141"/>
    </row>
    <row r="3" spans="1:8" ht="18" customHeight="1">
      <c r="A3" s="83"/>
      <c r="B3" s="101"/>
      <c r="C3" s="101"/>
      <c r="D3" s="78"/>
      <c r="E3" s="78"/>
      <c r="F3" s="78"/>
      <c r="G3" s="84"/>
      <c r="H3" s="141"/>
    </row>
    <row r="4" spans="1:8" ht="12.75">
      <c r="A4" s="77" t="s">
        <v>1</v>
      </c>
      <c r="B4" s="88"/>
      <c r="C4" s="78"/>
      <c r="D4" s="81" t="s">
        <v>226</v>
      </c>
      <c r="E4" s="88" t="s">
        <v>479</v>
      </c>
      <c r="F4" s="78"/>
      <c r="G4" s="84"/>
      <c r="H4" s="141"/>
    </row>
    <row r="5" spans="1:8" ht="12.75">
      <c r="A5" s="83"/>
      <c r="B5" s="78"/>
      <c r="C5" s="78"/>
      <c r="D5" s="78"/>
      <c r="E5" s="78"/>
      <c r="F5" s="78"/>
      <c r="G5" s="84"/>
      <c r="H5" s="141"/>
    </row>
    <row r="6" spans="1:8" ht="12.75">
      <c r="A6" s="77" t="s">
        <v>2</v>
      </c>
      <c r="B6" s="81" t="s">
        <v>453</v>
      </c>
      <c r="C6" s="78"/>
      <c r="D6" s="81" t="s">
        <v>227</v>
      </c>
      <c r="E6" s="144"/>
      <c r="F6" s="142"/>
      <c r="G6" s="145"/>
      <c r="H6" s="141"/>
    </row>
    <row r="7" spans="1:8" ht="12.75">
      <c r="A7" s="83"/>
      <c r="B7" s="78"/>
      <c r="C7" s="78"/>
      <c r="D7" s="78"/>
      <c r="E7" s="142"/>
      <c r="F7" s="142"/>
      <c r="G7" s="145"/>
      <c r="H7" s="141"/>
    </row>
    <row r="8" spans="1:8" ht="12.75">
      <c r="A8" s="77" t="s">
        <v>228</v>
      </c>
      <c r="B8" s="146"/>
      <c r="C8" s="142"/>
      <c r="D8" s="82" t="s">
        <v>215</v>
      </c>
      <c r="E8" s="143"/>
      <c r="F8" s="142"/>
      <c r="G8" s="145"/>
      <c r="H8" s="141"/>
    </row>
    <row r="9" spans="1:8" ht="12.75">
      <c r="A9" s="79"/>
      <c r="B9" s="147"/>
      <c r="C9" s="147"/>
      <c r="D9" s="80"/>
      <c r="E9" s="147"/>
      <c r="F9" s="147"/>
      <c r="G9" s="161"/>
      <c r="H9" s="141"/>
    </row>
    <row r="10" spans="1:8" ht="12.75">
      <c r="A10" s="35" t="s">
        <v>91</v>
      </c>
      <c r="B10" s="37" t="s">
        <v>92</v>
      </c>
      <c r="C10" s="38" t="s">
        <v>107</v>
      </c>
      <c r="D10" s="39" t="s">
        <v>275</v>
      </c>
      <c r="E10" s="39" t="s">
        <v>276</v>
      </c>
      <c r="F10" s="39" t="s">
        <v>277</v>
      </c>
      <c r="G10" s="41" t="s">
        <v>278</v>
      </c>
      <c r="H10" s="148"/>
    </row>
    <row r="11" spans="1:9" ht="12.75">
      <c r="A11" s="36"/>
      <c r="B11" s="36" t="s">
        <v>39</v>
      </c>
      <c r="C11" s="36" t="s">
        <v>109</v>
      </c>
      <c r="D11" s="42">
        <f>'Stavební rozpočet'!H12</f>
        <v>0</v>
      </c>
      <c r="E11" s="42">
        <f>'Stavební rozpočet'!I12</f>
        <v>0</v>
      </c>
      <c r="F11" s="42">
        <f>'Stavební rozpočet'!J12</f>
        <v>0</v>
      </c>
      <c r="G11" s="42">
        <f>'Stavební rozpočet'!L12</f>
        <v>9.150699999999999</v>
      </c>
      <c r="H11" s="154" t="s">
        <v>279</v>
      </c>
      <c r="I11" s="154">
        <f aca="true" t="shared" si="0" ref="I11:I29">IF(H11="F",0,F11)</f>
        <v>0</v>
      </c>
    </row>
    <row r="12" spans="1:9" ht="12.75">
      <c r="A12" s="15"/>
      <c r="B12" s="15" t="s">
        <v>66</v>
      </c>
      <c r="C12" s="15" t="s">
        <v>111</v>
      </c>
      <c r="D12" s="31">
        <f>'Stavební rozpočet'!H14</f>
        <v>0</v>
      </c>
      <c r="E12" s="31">
        <f>'Stavební rozpočet'!I14</f>
        <v>0</v>
      </c>
      <c r="F12" s="31">
        <f>'Stavební rozpočet'!J14</f>
        <v>0</v>
      </c>
      <c r="G12" s="31">
        <f>'Stavební rozpočet'!L14</f>
        <v>7.24460695</v>
      </c>
      <c r="H12" s="154" t="s">
        <v>279</v>
      </c>
      <c r="I12" s="154">
        <f t="shared" si="0"/>
        <v>0</v>
      </c>
    </row>
    <row r="13" spans="1:9" ht="12.75">
      <c r="A13" s="15"/>
      <c r="B13" s="15" t="s">
        <v>67</v>
      </c>
      <c r="C13" s="15" t="s">
        <v>113</v>
      </c>
      <c r="D13" s="31">
        <f>'Stavební rozpočet'!H16</f>
        <v>0</v>
      </c>
      <c r="E13" s="31">
        <f>'Stavební rozpočet'!I16</f>
        <v>0</v>
      </c>
      <c r="F13" s="31">
        <f>'Stavební rozpočet'!J16</f>
        <v>0</v>
      </c>
      <c r="G13" s="31">
        <f>'Stavební rozpočet'!L16</f>
        <v>27.708500135999998</v>
      </c>
      <c r="H13" s="154" t="s">
        <v>279</v>
      </c>
      <c r="I13" s="154">
        <f t="shared" si="0"/>
        <v>0</v>
      </c>
    </row>
    <row r="14" spans="1:9" ht="12.75">
      <c r="A14" s="15"/>
      <c r="B14" s="15" t="s">
        <v>68</v>
      </c>
      <c r="C14" s="15" t="s">
        <v>119</v>
      </c>
      <c r="D14" s="31">
        <f>'Stavební rozpočet'!H22</f>
        <v>0</v>
      </c>
      <c r="E14" s="31">
        <f>'Stavební rozpočet'!I22</f>
        <v>0</v>
      </c>
      <c r="F14" s="31">
        <f>'Stavební rozpočet'!J22</f>
        <v>0</v>
      </c>
      <c r="G14" s="31">
        <f>'Stavební rozpočet'!L22</f>
        <v>4.542792</v>
      </c>
      <c r="H14" s="154" t="s">
        <v>279</v>
      </c>
      <c r="I14" s="154">
        <f t="shared" si="0"/>
        <v>0</v>
      </c>
    </row>
    <row r="15" spans="1:9" ht="12.75">
      <c r="A15" s="15"/>
      <c r="B15" s="15" t="s">
        <v>69</v>
      </c>
      <c r="C15" s="15" t="s">
        <v>121</v>
      </c>
      <c r="D15" s="31">
        <f>'Stavební rozpočet'!H24</f>
        <v>0</v>
      </c>
      <c r="E15" s="31">
        <f>'Stavební rozpočet'!I24</f>
        <v>0</v>
      </c>
      <c r="F15" s="31">
        <f>'Stavební rozpočet'!J24</f>
        <v>0</v>
      </c>
      <c r="G15" s="31">
        <f>'Stavební rozpočet'!L24</f>
        <v>4.619999999999999</v>
      </c>
      <c r="H15" s="154" t="s">
        <v>279</v>
      </c>
      <c r="I15" s="154">
        <f t="shared" si="0"/>
        <v>0</v>
      </c>
    </row>
    <row r="16" spans="1:9" ht="12.75">
      <c r="A16" s="15"/>
      <c r="B16" s="15" t="s">
        <v>93</v>
      </c>
      <c r="C16" s="15" t="s">
        <v>129</v>
      </c>
      <c r="D16" s="31">
        <f>'Stavební rozpočet'!H32</f>
        <v>0</v>
      </c>
      <c r="E16" s="31">
        <f>'Stavební rozpočet'!I32</f>
        <v>0</v>
      </c>
      <c r="F16" s="31">
        <f>'Stavební rozpočet'!J32</f>
        <v>0</v>
      </c>
      <c r="G16" s="31">
        <f>'Stavební rozpočet'!L32</f>
        <v>1.817422</v>
      </c>
      <c r="H16" s="154" t="s">
        <v>279</v>
      </c>
      <c r="I16" s="154">
        <f t="shared" si="0"/>
        <v>0</v>
      </c>
    </row>
    <row r="17" spans="1:9" ht="12.75">
      <c r="A17" s="15"/>
      <c r="B17" s="15" t="s">
        <v>94</v>
      </c>
      <c r="C17" s="15" t="s">
        <v>145</v>
      </c>
      <c r="D17" s="31">
        <f>'Stavební rozpočet'!H48</f>
        <v>0</v>
      </c>
      <c r="E17" s="31">
        <f>'Stavební rozpočet'!I48</f>
        <v>0</v>
      </c>
      <c r="F17" s="31">
        <f>'Stavební rozpočet'!J48</f>
        <v>0</v>
      </c>
      <c r="G17" s="31">
        <f>'Stavební rozpočet'!L48</f>
        <v>0.80783</v>
      </c>
      <c r="H17" s="154" t="s">
        <v>279</v>
      </c>
      <c r="I17" s="154">
        <f t="shared" si="0"/>
        <v>0</v>
      </c>
    </row>
    <row r="18" spans="1:9" ht="12.75">
      <c r="A18" s="15"/>
      <c r="B18" s="15" t="s">
        <v>95</v>
      </c>
      <c r="C18" s="15" t="s">
        <v>149</v>
      </c>
      <c r="D18" s="31">
        <f>'Stavební rozpočet'!H52</f>
        <v>0</v>
      </c>
      <c r="E18" s="31">
        <f>'Stavební rozpočet'!I52</f>
        <v>0</v>
      </c>
      <c r="F18" s="31">
        <f>'Stavební rozpočet'!J52</f>
        <v>0</v>
      </c>
      <c r="G18" s="31">
        <f>'Stavební rozpočet'!L52</f>
        <v>0.22</v>
      </c>
      <c r="H18" s="154" t="s">
        <v>279</v>
      </c>
      <c r="I18" s="154">
        <f t="shared" si="0"/>
        <v>0</v>
      </c>
    </row>
    <row r="19" spans="1:9" ht="12.75">
      <c r="A19" s="15"/>
      <c r="B19" s="15" t="s">
        <v>96</v>
      </c>
      <c r="C19" s="15" t="s">
        <v>152</v>
      </c>
      <c r="D19" s="31">
        <f>'Stavební rozpočet'!H55</f>
        <v>0</v>
      </c>
      <c r="E19" s="31">
        <f>'Stavební rozpočet'!I55</f>
        <v>0</v>
      </c>
      <c r="F19" s="31">
        <f>'Stavební rozpočet'!J55</f>
        <v>0</v>
      </c>
      <c r="G19" s="31">
        <f>'Stavební rozpočet'!L55</f>
        <v>0.5607500000000001</v>
      </c>
      <c r="H19" s="154" t="s">
        <v>279</v>
      </c>
      <c r="I19" s="154">
        <f t="shared" si="0"/>
        <v>0</v>
      </c>
    </row>
    <row r="20" spans="1:9" ht="12.75">
      <c r="A20" s="15"/>
      <c r="B20" s="15" t="s">
        <v>97</v>
      </c>
      <c r="C20" s="15" t="s">
        <v>158</v>
      </c>
      <c r="D20" s="31">
        <f>'Stavební rozpočet'!H61</f>
        <v>0</v>
      </c>
      <c r="E20" s="31">
        <f>'Stavební rozpočet'!I61</f>
        <v>0</v>
      </c>
      <c r="F20" s="31">
        <f>'Stavební rozpočet'!J61</f>
        <v>0</v>
      </c>
      <c r="G20" s="31">
        <f>'Stavební rozpočet'!L61</f>
        <v>0.07470555000000001</v>
      </c>
      <c r="H20" s="154" t="s">
        <v>279</v>
      </c>
      <c r="I20" s="154">
        <f t="shared" si="0"/>
        <v>0</v>
      </c>
    </row>
    <row r="21" spans="1:9" ht="12.75">
      <c r="A21" s="15"/>
      <c r="B21" s="15" t="s">
        <v>98</v>
      </c>
      <c r="C21" s="15" t="s">
        <v>161</v>
      </c>
      <c r="D21" s="31">
        <f>'Stavební rozpočet'!H64</f>
        <v>0</v>
      </c>
      <c r="E21" s="31">
        <f>'Stavební rozpočet'!I64</f>
        <v>0</v>
      </c>
      <c r="F21" s="31">
        <f>'Stavební rozpočet'!J64</f>
        <v>0</v>
      </c>
      <c r="G21" s="31">
        <f>'Stavební rozpočet'!L64</f>
        <v>0.11851199999999999</v>
      </c>
      <c r="H21" s="154" t="s">
        <v>279</v>
      </c>
      <c r="I21" s="154">
        <f t="shared" si="0"/>
        <v>0</v>
      </c>
    </row>
    <row r="22" spans="1:9" ht="12.75">
      <c r="A22" s="15"/>
      <c r="B22" s="15" t="s">
        <v>99</v>
      </c>
      <c r="C22" s="15" t="s">
        <v>164</v>
      </c>
      <c r="D22" s="31">
        <f>'Stavební rozpočet'!H67</f>
        <v>0</v>
      </c>
      <c r="E22" s="31">
        <f>'Stavební rozpočet'!I67</f>
        <v>0</v>
      </c>
      <c r="F22" s="31">
        <f>'Stavební rozpočet'!J67</f>
        <v>0</v>
      </c>
      <c r="G22" s="31">
        <f>'Stavební rozpočet'!L67</f>
        <v>0</v>
      </c>
      <c r="H22" s="154" t="s">
        <v>279</v>
      </c>
      <c r="I22" s="154">
        <f t="shared" si="0"/>
        <v>0</v>
      </c>
    </row>
    <row r="23" spans="1:9" ht="12.75">
      <c r="A23" s="15"/>
      <c r="B23" s="15" t="s">
        <v>100</v>
      </c>
      <c r="C23" s="15" t="s">
        <v>176</v>
      </c>
      <c r="D23" s="31">
        <f>'Stavební rozpočet'!H79</f>
        <v>0</v>
      </c>
      <c r="E23" s="31">
        <f>'Stavební rozpočet'!I79</f>
        <v>0</v>
      </c>
      <c r="F23" s="31">
        <f>'Stavební rozpočet'!J79</f>
        <v>0</v>
      </c>
      <c r="G23" s="31">
        <f>'Stavební rozpočet'!L79</f>
        <v>5.1156</v>
      </c>
      <c r="H23" s="154" t="s">
        <v>279</v>
      </c>
      <c r="I23" s="154">
        <f t="shared" si="0"/>
        <v>0</v>
      </c>
    </row>
    <row r="24" spans="1:9" ht="12.75">
      <c r="A24" s="15"/>
      <c r="B24" s="15" t="s">
        <v>101</v>
      </c>
      <c r="C24" s="15" t="s">
        <v>186</v>
      </c>
      <c r="D24" s="31">
        <f>'Stavební rozpočet'!H89</f>
        <v>0</v>
      </c>
      <c r="E24" s="31">
        <f>'Stavební rozpočet'!I89</f>
        <v>0</v>
      </c>
      <c r="F24" s="31">
        <f>'Stavební rozpočet'!J89</f>
        <v>0</v>
      </c>
      <c r="G24" s="31">
        <f>'Stavební rozpočet'!L89</f>
        <v>0.039355</v>
      </c>
      <c r="H24" s="154" t="s">
        <v>279</v>
      </c>
      <c r="I24" s="154">
        <f t="shared" si="0"/>
        <v>0</v>
      </c>
    </row>
    <row r="25" spans="1:9" ht="12.75">
      <c r="A25" s="15"/>
      <c r="B25" s="15" t="s">
        <v>102</v>
      </c>
      <c r="C25" s="15" t="s">
        <v>190</v>
      </c>
      <c r="D25" s="31">
        <f>'Stavební rozpočet'!H93</f>
        <v>0</v>
      </c>
      <c r="E25" s="31">
        <f>'Stavební rozpočet'!I93</f>
        <v>0</v>
      </c>
      <c r="F25" s="31">
        <f>'Stavební rozpočet'!J93</f>
        <v>0</v>
      </c>
      <c r="G25" s="31">
        <f>'Stavební rozpočet'!L93</f>
        <v>15.043054000000001</v>
      </c>
      <c r="H25" s="154" t="s">
        <v>279</v>
      </c>
      <c r="I25" s="154">
        <f t="shared" si="0"/>
        <v>0</v>
      </c>
    </row>
    <row r="26" spans="1:9" ht="12.75">
      <c r="A26" s="15"/>
      <c r="B26" s="15" t="s">
        <v>103</v>
      </c>
      <c r="C26" s="15" t="s">
        <v>195</v>
      </c>
      <c r="D26" s="31">
        <f>'Stavební rozpočet'!H98</f>
        <v>0</v>
      </c>
      <c r="E26" s="31">
        <f>'Stavební rozpočet'!I98</f>
        <v>0</v>
      </c>
      <c r="F26" s="31">
        <f>'Stavební rozpočet'!J98</f>
        <v>0</v>
      </c>
      <c r="G26" s="31">
        <f>'Stavební rozpočet'!L98</f>
        <v>38.800866000000006</v>
      </c>
      <c r="H26" s="154" t="s">
        <v>279</v>
      </c>
      <c r="I26" s="154">
        <f t="shared" si="0"/>
        <v>0</v>
      </c>
    </row>
    <row r="27" spans="1:9" ht="12.75">
      <c r="A27" s="15"/>
      <c r="B27" s="15" t="s">
        <v>104</v>
      </c>
      <c r="C27" s="15" t="s">
        <v>200</v>
      </c>
      <c r="D27" s="31">
        <f>'Stavební rozpočet'!H103</f>
        <v>0</v>
      </c>
      <c r="E27" s="31">
        <f>'Stavební rozpočet'!I103</f>
        <v>0</v>
      </c>
      <c r="F27" s="31">
        <f>'Stavební rozpočet'!J103</f>
        <v>0</v>
      </c>
      <c r="G27" s="31">
        <f>'Stavební rozpočet'!L103</f>
        <v>0</v>
      </c>
      <c r="H27" s="154" t="s">
        <v>279</v>
      </c>
      <c r="I27" s="154">
        <f t="shared" si="0"/>
        <v>0</v>
      </c>
    </row>
    <row r="28" spans="1:9" ht="12.75">
      <c r="A28" s="15"/>
      <c r="B28" s="15" t="s">
        <v>105</v>
      </c>
      <c r="C28" s="15" t="s">
        <v>202</v>
      </c>
      <c r="D28" s="31">
        <f>'Stavební rozpočet'!H105</f>
        <v>0</v>
      </c>
      <c r="E28" s="31">
        <f>'Stavební rozpočet'!I105</f>
        <v>0</v>
      </c>
      <c r="F28" s="31">
        <f>'Stavební rozpočet'!J105</f>
        <v>0</v>
      </c>
      <c r="G28" s="31">
        <f>'Stavební rozpočet'!L105</f>
        <v>0</v>
      </c>
      <c r="H28" s="154" t="s">
        <v>279</v>
      </c>
      <c r="I28" s="154">
        <f t="shared" si="0"/>
        <v>0</v>
      </c>
    </row>
    <row r="29" spans="1:9" ht="12.75">
      <c r="A29" s="15"/>
      <c r="B29" s="15" t="s">
        <v>106</v>
      </c>
      <c r="C29" s="15" t="s">
        <v>204</v>
      </c>
      <c r="D29" s="31">
        <f>'Stavební rozpočet'!H107</f>
        <v>0</v>
      </c>
      <c r="E29" s="31">
        <f>'Stavební rozpočet'!I107</f>
        <v>0</v>
      </c>
      <c r="F29" s="31">
        <f>'Stavební rozpočet'!J107</f>
        <v>0</v>
      </c>
      <c r="G29" s="31">
        <f>'Stavební rozpočet'!L107</f>
        <v>0</v>
      </c>
      <c r="H29" s="154" t="s">
        <v>279</v>
      </c>
      <c r="I29" s="154">
        <f t="shared" si="0"/>
        <v>0</v>
      </c>
    </row>
    <row r="30" spans="1:7" ht="12.75">
      <c r="A30" s="158"/>
      <c r="B30" s="158"/>
      <c r="C30" s="158"/>
      <c r="D30" s="158"/>
      <c r="E30" s="158"/>
      <c r="F30" s="158"/>
      <c r="G30" s="158"/>
    </row>
    <row r="31" spans="1:7" ht="12.75">
      <c r="A31" s="158"/>
      <c r="B31" s="158"/>
      <c r="C31" s="158"/>
      <c r="D31" s="158"/>
      <c r="E31" s="40" t="s">
        <v>231</v>
      </c>
      <c r="F31" s="43">
        <f>SUM(I11:I29)</f>
        <v>0</v>
      </c>
      <c r="G31" s="158"/>
    </row>
    <row r="32" spans="1:7" ht="12.75">
      <c r="A32" s="158"/>
      <c r="B32" s="158"/>
      <c r="C32" s="158"/>
      <c r="D32" s="158"/>
      <c r="E32" s="158"/>
      <c r="F32" s="158"/>
      <c r="G32" s="158"/>
    </row>
  </sheetData>
  <sheetProtection password="CC2B" sheet="1"/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138" customWidth="1"/>
    <col min="3" max="3" width="13.28125" style="138" customWidth="1"/>
    <col min="4" max="4" width="96.28125" style="138" customWidth="1"/>
    <col min="5" max="5" width="14.57421875" style="138" customWidth="1"/>
    <col min="6" max="6" width="24.140625" style="138" customWidth="1"/>
    <col min="7" max="7" width="15.7109375" style="138" customWidth="1"/>
    <col min="8" max="8" width="18.140625" style="138" customWidth="1"/>
    <col min="9" max="16384" width="11.57421875" style="138" customWidth="1"/>
  </cols>
  <sheetData>
    <row r="1" spans="1:8" ht="28.5" customHeight="1">
      <c r="A1" s="89" t="s">
        <v>451</v>
      </c>
      <c r="B1" s="90"/>
      <c r="C1" s="90"/>
      <c r="D1" s="90"/>
      <c r="E1" s="90"/>
      <c r="F1" s="90"/>
      <c r="G1" s="90"/>
      <c r="H1" s="90"/>
    </row>
    <row r="2" spans="1:9" ht="12.75" customHeight="1">
      <c r="A2" s="91" t="s">
        <v>0</v>
      </c>
      <c r="B2" s="92"/>
      <c r="C2" s="93" t="s">
        <v>448</v>
      </c>
      <c r="D2" s="114"/>
      <c r="E2" s="96" t="s">
        <v>225</v>
      </c>
      <c r="F2" s="96" t="s">
        <v>452</v>
      </c>
      <c r="G2" s="92"/>
      <c r="H2" s="98"/>
      <c r="I2" s="141"/>
    </row>
    <row r="3" spans="1:9" ht="12.75">
      <c r="A3" s="83"/>
      <c r="B3" s="78"/>
      <c r="C3" s="115"/>
      <c r="D3" s="115"/>
      <c r="E3" s="78"/>
      <c r="F3" s="78"/>
      <c r="G3" s="78"/>
      <c r="H3" s="84"/>
      <c r="I3" s="141"/>
    </row>
    <row r="4" spans="1:9" ht="12.75" customHeight="1">
      <c r="A4" s="77" t="s">
        <v>1</v>
      </c>
      <c r="B4" s="78"/>
      <c r="C4" s="88"/>
      <c r="D4" s="78"/>
      <c r="E4" s="81" t="s">
        <v>226</v>
      </c>
      <c r="F4" s="88" t="s">
        <v>479</v>
      </c>
      <c r="G4" s="78"/>
      <c r="H4" s="84"/>
      <c r="I4" s="141"/>
    </row>
    <row r="5" spans="1:9" ht="12.75">
      <c r="A5" s="83"/>
      <c r="B5" s="78"/>
      <c r="C5" s="78"/>
      <c r="D5" s="78"/>
      <c r="E5" s="78"/>
      <c r="F5" s="78"/>
      <c r="G5" s="78"/>
      <c r="H5" s="84"/>
      <c r="I5" s="141"/>
    </row>
    <row r="6" spans="1:9" ht="12.75">
      <c r="A6" s="77" t="s">
        <v>2</v>
      </c>
      <c r="B6" s="78"/>
      <c r="C6" s="81" t="s">
        <v>453</v>
      </c>
      <c r="D6" s="78"/>
      <c r="E6" s="81" t="s">
        <v>227</v>
      </c>
      <c r="F6" s="144"/>
      <c r="G6" s="142"/>
      <c r="H6" s="145"/>
      <c r="I6" s="141"/>
    </row>
    <row r="7" spans="1:9" ht="12.75">
      <c r="A7" s="83"/>
      <c r="B7" s="78"/>
      <c r="C7" s="78"/>
      <c r="D7" s="78"/>
      <c r="E7" s="78"/>
      <c r="F7" s="142"/>
      <c r="G7" s="142"/>
      <c r="H7" s="145"/>
      <c r="I7" s="141"/>
    </row>
    <row r="8" spans="1:9" ht="12.75" customHeight="1">
      <c r="A8" s="77" t="s">
        <v>228</v>
      </c>
      <c r="B8" s="78"/>
      <c r="C8" s="88" t="s">
        <v>447</v>
      </c>
      <c r="D8" s="78"/>
      <c r="E8" s="82" t="s">
        <v>215</v>
      </c>
      <c r="F8" s="87">
        <v>43951</v>
      </c>
      <c r="G8" s="78"/>
      <c r="H8" s="84"/>
      <c r="I8" s="141"/>
    </row>
    <row r="9" spans="1:9" ht="12.75">
      <c r="A9" s="79"/>
      <c r="B9" s="80"/>
      <c r="C9" s="80"/>
      <c r="D9" s="80"/>
      <c r="E9" s="80"/>
      <c r="F9" s="80"/>
      <c r="G9" s="80"/>
      <c r="H9" s="99"/>
      <c r="I9" s="141"/>
    </row>
    <row r="10" spans="1:9" ht="12.75">
      <c r="A10" s="37" t="s">
        <v>4</v>
      </c>
      <c r="B10" s="38" t="s">
        <v>91</v>
      </c>
      <c r="C10" s="38" t="s">
        <v>92</v>
      </c>
      <c r="D10" s="110" t="s">
        <v>107</v>
      </c>
      <c r="E10" s="111"/>
      <c r="F10" s="38" t="s">
        <v>216</v>
      </c>
      <c r="G10" s="45" t="s">
        <v>222</v>
      </c>
      <c r="H10" s="35" t="s">
        <v>400</v>
      </c>
      <c r="I10" s="148"/>
    </row>
    <row r="11" spans="1:8" ht="12.75">
      <c r="A11" s="44" t="s">
        <v>6</v>
      </c>
      <c r="B11" s="44"/>
      <c r="C11" s="44"/>
      <c r="D11" s="112" t="s">
        <v>110</v>
      </c>
      <c r="E11" s="113"/>
      <c r="F11" s="44" t="s">
        <v>217</v>
      </c>
      <c r="G11" s="46">
        <v>32.5</v>
      </c>
      <c r="H11" s="46">
        <v>0</v>
      </c>
    </row>
    <row r="12" spans="1:8" ht="12" customHeight="1">
      <c r="A12" s="158"/>
      <c r="B12" s="158"/>
      <c r="C12" s="158"/>
      <c r="D12" s="104" t="s">
        <v>280</v>
      </c>
      <c r="E12" s="105"/>
      <c r="F12" s="105"/>
      <c r="G12" s="47">
        <v>32.5</v>
      </c>
      <c r="H12" s="158"/>
    </row>
    <row r="13" spans="1:8" ht="12.75">
      <c r="A13" s="4" t="s">
        <v>7</v>
      </c>
      <c r="B13" s="4"/>
      <c r="C13" s="4"/>
      <c r="D13" s="102" t="s">
        <v>112</v>
      </c>
      <c r="E13" s="103"/>
      <c r="F13" s="4" t="s">
        <v>217</v>
      </c>
      <c r="G13" s="17">
        <v>126.455</v>
      </c>
      <c r="H13" s="17">
        <v>0</v>
      </c>
    </row>
    <row r="14" spans="1:8" ht="12" customHeight="1">
      <c r="A14" s="158"/>
      <c r="B14" s="158"/>
      <c r="C14" s="158"/>
      <c r="D14" s="104" t="s">
        <v>281</v>
      </c>
      <c r="E14" s="105"/>
      <c r="F14" s="105"/>
      <c r="G14" s="47">
        <v>35.75</v>
      </c>
      <c r="H14" s="158"/>
    </row>
    <row r="15" spans="1:8" ht="12" customHeight="1">
      <c r="A15" s="4"/>
      <c r="B15" s="4"/>
      <c r="C15" s="4"/>
      <c r="D15" s="104" t="s">
        <v>282</v>
      </c>
      <c r="E15" s="105"/>
      <c r="F15" s="104"/>
      <c r="G15" s="47">
        <v>5.94</v>
      </c>
      <c r="H15" s="29"/>
    </row>
    <row r="16" spans="1:8" ht="12" customHeight="1">
      <c r="A16" s="4"/>
      <c r="B16" s="4"/>
      <c r="C16" s="4"/>
      <c r="D16" s="104" t="s">
        <v>283</v>
      </c>
      <c r="E16" s="105"/>
      <c r="F16" s="104"/>
      <c r="G16" s="47">
        <v>1.554</v>
      </c>
      <c r="H16" s="29"/>
    </row>
    <row r="17" spans="1:8" ht="12" customHeight="1">
      <c r="A17" s="4"/>
      <c r="B17" s="4"/>
      <c r="C17" s="4"/>
      <c r="D17" s="104" t="s">
        <v>284</v>
      </c>
      <c r="E17" s="105"/>
      <c r="F17" s="104"/>
      <c r="G17" s="47">
        <v>41.25</v>
      </c>
      <c r="H17" s="29"/>
    </row>
    <row r="18" spans="1:8" ht="12" customHeight="1">
      <c r="A18" s="4"/>
      <c r="B18" s="4"/>
      <c r="C18" s="4"/>
      <c r="D18" s="104" t="s">
        <v>285</v>
      </c>
      <c r="E18" s="105"/>
      <c r="F18" s="104"/>
      <c r="G18" s="47">
        <v>1.702</v>
      </c>
      <c r="H18" s="29"/>
    </row>
    <row r="19" spans="1:8" ht="12" customHeight="1">
      <c r="A19" s="4"/>
      <c r="B19" s="4"/>
      <c r="C19" s="4"/>
      <c r="D19" s="104" t="s">
        <v>286</v>
      </c>
      <c r="E19" s="105"/>
      <c r="F19" s="104"/>
      <c r="G19" s="47">
        <v>35.75</v>
      </c>
      <c r="H19" s="29"/>
    </row>
    <row r="20" spans="1:8" ht="12" customHeight="1">
      <c r="A20" s="4"/>
      <c r="B20" s="4"/>
      <c r="C20" s="4"/>
      <c r="D20" s="104" t="s">
        <v>287</v>
      </c>
      <c r="E20" s="105"/>
      <c r="F20" s="104"/>
      <c r="G20" s="47">
        <v>3.325</v>
      </c>
      <c r="H20" s="29"/>
    </row>
    <row r="21" spans="1:8" ht="12" customHeight="1">
      <c r="A21" s="4"/>
      <c r="B21" s="4"/>
      <c r="C21" s="4"/>
      <c r="D21" s="104" t="s">
        <v>288</v>
      </c>
      <c r="E21" s="105"/>
      <c r="F21" s="104"/>
      <c r="G21" s="47">
        <v>1.184</v>
      </c>
      <c r="H21" s="29"/>
    </row>
    <row r="22" spans="1:8" ht="12.75">
      <c r="A22" s="4" t="s">
        <v>8</v>
      </c>
      <c r="B22" s="4"/>
      <c r="C22" s="4"/>
      <c r="D22" s="102" t="s">
        <v>114</v>
      </c>
      <c r="E22" s="103"/>
      <c r="F22" s="4" t="s">
        <v>217</v>
      </c>
      <c r="G22" s="17">
        <v>683.484</v>
      </c>
      <c r="H22" s="17">
        <v>0</v>
      </c>
    </row>
    <row r="23" spans="1:8" ht="12" customHeight="1">
      <c r="A23" s="158"/>
      <c r="B23" s="158"/>
      <c r="C23" s="158"/>
      <c r="D23" s="104" t="s">
        <v>289</v>
      </c>
      <c r="E23" s="105"/>
      <c r="F23" s="105"/>
      <c r="G23" s="47">
        <v>683.484</v>
      </c>
      <c r="H23" s="158"/>
    </row>
    <row r="24" spans="1:8" ht="12.75">
      <c r="A24" s="4" t="s">
        <v>9</v>
      </c>
      <c r="B24" s="4"/>
      <c r="C24" s="4"/>
      <c r="D24" s="102" t="s">
        <v>115</v>
      </c>
      <c r="E24" s="103"/>
      <c r="F24" s="4" t="s">
        <v>217</v>
      </c>
      <c r="G24" s="17">
        <v>427.4724</v>
      </c>
      <c r="H24" s="17">
        <v>0</v>
      </c>
    </row>
    <row r="25" spans="1:8" ht="12" customHeight="1">
      <c r="A25" s="158"/>
      <c r="B25" s="158"/>
      <c r="C25" s="158"/>
      <c r="D25" s="104" t="s">
        <v>290</v>
      </c>
      <c r="E25" s="105"/>
      <c r="F25" s="105"/>
      <c r="G25" s="47">
        <v>561.6</v>
      </c>
      <c r="H25" s="158"/>
    </row>
    <row r="26" spans="1:8" ht="12" customHeight="1">
      <c r="A26" s="4"/>
      <c r="B26" s="4"/>
      <c r="C26" s="4"/>
      <c r="D26" s="104" t="s">
        <v>291</v>
      </c>
      <c r="E26" s="105"/>
      <c r="F26" s="104"/>
      <c r="G26" s="47">
        <v>169.65</v>
      </c>
      <c r="H26" s="29"/>
    </row>
    <row r="27" spans="1:8" ht="12" customHeight="1">
      <c r="A27" s="4"/>
      <c r="B27" s="4"/>
      <c r="C27" s="4"/>
      <c r="D27" s="104" t="s">
        <v>292</v>
      </c>
      <c r="E27" s="105"/>
      <c r="F27" s="104"/>
      <c r="G27" s="47">
        <v>-121.1232</v>
      </c>
      <c r="H27" s="29"/>
    </row>
    <row r="28" spans="1:8" ht="12" customHeight="1">
      <c r="A28" s="4"/>
      <c r="B28" s="4"/>
      <c r="C28" s="4"/>
      <c r="D28" s="104" t="s">
        <v>293</v>
      </c>
      <c r="E28" s="105"/>
      <c r="F28" s="104"/>
      <c r="G28" s="47">
        <v>-17.292</v>
      </c>
      <c r="H28" s="29"/>
    </row>
    <row r="29" spans="1:8" ht="12" customHeight="1">
      <c r="A29" s="4"/>
      <c r="B29" s="4"/>
      <c r="C29" s="4"/>
      <c r="D29" s="104" t="s">
        <v>294</v>
      </c>
      <c r="E29" s="105"/>
      <c r="F29" s="104"/>
      <c r="G29" s="47">
        <v>-6.66</v>
      </c>
      <c r="H29" s="29"/>
    </row>
    <row r="30" spans="1:8" ht="12" customHeight="1">
      <c r="A30" s="4"/>
      <c r="B30" s="4"/>
      <c r="C30" s="4"/>
      <c r="D30" s="104" t="s">
        <v>295</v>
      </c>
      <c r="E30" s="105"/>
      <c r="F30" s="104"/>
      <c r="G30" s="47">
        <v>-3.2864</v>
      </c>
      <c r="H30" s="29"/>
    </row>
    <row r="31" spans="1:8" ht="12" customHeight="1">
      <c r="A31" s="4"/>
      <c r="B31" s="4"/>
      <c r="C31" s="4"/>
      <c r="D31" s="104" t="s">
        <v>296</v>
      </c>
      <c r="E31" s="105"/>
      <c r="F31" s="104"/>
      <c r="G31" s="47">
        <v>-1.584</v>
      </c>
      <c r="H31" s="29"/>
    </row>
    <row r="32" spans="1:8" ht="12" customHeight="1">
      <c r="A32" s="4"/>
      <c r="B32" s="4"/>
      <c r="C32" s="4"/>
      <c r="D32" s="104" t="s">
        <v>297</v>
      </c>
      <c r="E32" s="105"/>
      <c r="F32" s="104"/>
      <c r="G32" s="47">
        <v>-1.968</v>
      </c>
      <c r="H32" s="29"/>
    </row>
    <row r="33" spans="1:8" ht="12" customHeight="1">
      <c r="A33" s="4"/>
      <c r="B33" s="4"/>
      <c r="C33" s="4"/>
      <c r="D33" s="104" t="s">
        <v>298</v>
      </c>
      <c r="E33" s="105"/>
      <c r="F33" s="104"/>
      <c r="G33" s="47">
        <v>-5.764</v>
      </c>
      <c r="H33" s="29"/>
    </row>
    <row r="34" spans="1:8" ht="12" customHeight="1">
      <c r="A34" s="4"/>
      <c r="B34" s="4"/>
      <c r="C34" s="4"/>
      <c r="D34" s="104" t="s">
        <v>299</v>
      </c>
      <c r="E34" s="105"/>
      <c r="F34" s="104"/>
      <c r="G34" s="47">
        <v>72.54</v>
      </c>
      <c r="H34" s="29"/>
    </row>
    <row r="35" spans="1:8" ht="12" customHeight="1">
      <c r="A35" s="4"/>
      <c r="B35" s="4"/>
      <c r="C35" s="4"/>
      <c r="D35" s="104" t="s">
        <v>300</v>
      </c>
      <c r="E35" s="105"/>
      <c r="F35" s="104"/>
      <c r="G35" s="47">
        <v>-8.64</v>
      </c>
      <c r="H35" s="29"/>
    </row>
    <row r="36" spans="1:8" ht="12" customHeight="1">
      <c r="A36" s="4"/>
      <c r="B36" s="4"/>
      <c r="C36" s="4"/>
      <c r="D36" s="104" t="s">
        <v>301</v>
      </c>
      <c r="E36" s="105"/>
      <c r="F36" s="104"/>
      <c r="G36" s="47">
        <v>-210</v>
      </c>
      <c r="H36" s="29"/>
    </row>
    <row r="37" spans="1:8" ht="12.75">
      <c r="A37" s="4" t="s">
        <v>10</v>
      </c>
      <c r="B37" s="4"/>
      <c r="C37" s="4"/>
      <c r="D37" s="102" t="s">
        <v>116</v>
      </c>
      <c r="E37" s="103"/>
      <c r="F37" s="4" t="s">
        <v>217</v>
      </c>
      <c r="G37" s="17">
        <v>210</v>
      </c>
      <c r="H37" s="17">
        <v>0</v>
      </c>
    </row>
    <row r="38" spans="1:8" ht="12" customHeight="1">
      <c r="A38" s="158"/>
      <c r="B38" s="158"/>
      <c r="C38" s="158"/>
      <c r="D38" s="104" t="s">
        <v>302</v>
      </c>
      <c r="E38" s="105"/>
      <c r="F38" s="105"/>
      <c r="G38" s="47">
        <v>210</v>
      </c>
      <c r="H38" s="158"/>
    </row>
    <row r="39" spans="1:8" ht="12.75">
      <c r="A39" s="4" t="s">
        <v>11</v>
      </c>
      <c r="B39" s="4"/>
      <c r="C39" s="4"/>
      <c r="D39" s="102" t="s">
        <v>117</v>
      </c>
      <c r="E39" s="103"/>
      <c r="F39" s="4" t="s">
        <v>217</v>
      </c>
      <c r="G39" s="17">
        <v>46.011</v>
      </c>
      <c r="H39" s="17">
        <v>0</v>
      </c>
    </row>
    <row r="40" spans="1:8" ht="12" customHeight="1">
      <c r="A40" s="158"/>
      <c r="B40" s="158"/>
      <c r="C40" s="158"/>
      <c r="D40" s="104" t="s">
        <v>303</v>
      </c>
      <c r="E40" s="105"/>
      <c r="F40" s="105"/>
      <c r="G40" s="47">
        <v>31.878</v>
      </c>
      <c r="H40" s="158"/>
    </row>
    <row r="41" spans="1:8" ht="12" customHeight="1">
      <c r="A41" s="4"/>
      <c r="B41" s="4"/>
      <c r="C41" s="4"/>
      <c r="D41" s="104" t="s">
        <v>304</v>
      </c>
      <c r="E41" s="105"/>
      <c r="F41" s="104"/>
      <c r="G41" s="47">
        <v>5.139</v>
      </c>
      <c r="H41" s="29"/>
    </row>
    <row r="42" spans="1:8" ht="12" customHeight="1">
      <c r="A42" s="4"/>
      <c r="B42" s="4"/>
      <c r="C42" s="4"/>
      <c r="D42" s="104" t="s">
        <v>305</v>
      </c>
      <c r="E42" s="105"/>
      <c r="F42" s="104"/>
      <c r="G42" s="47">
        <v>1.794</v>
      </c>
      <c r="H42" s="29"/>
    </row>
    <row r="43" spans="1:8" ht="12" customHeight="1">
      <c r="A43" s="4"/>
      <c r="B43" s="4"/>
      <c r="C43" s="4"/>
      <c r="D43" s="104" t="s">
        <v>306</v>
      </c>
      <c r="E43" s="105"/>
      <c r="F43" s="104"/>
      <c r="G43" s="47">
        <v>1.26</v>
      </c>
      <c r="H43" s="29"/>
    </row>
    <row r="44" spans="1:8" ht="12" customHeight="1">
      <c r="A44" s="4"/>
      <c r="B44" s="4"/>
      <c r="C44" s="4"/>
      <c r="D44" s="104" t="s">
        <v>307</v>
      </c>
      <c r="E44" s="105"/>
      <c r="F44" s="104"/>
      <c r="G44" s="47">
        <v>0.663</v>
      </c>
      <c r="H44" s="29"/>
    </row>
    <row r="45" spans="1:8" ht="12" customHeight="1">
      <c r="A45" s="4"/>
      <c r="B45" s="4"/>
      <c r="C45" s="4"/>
      <c r="D45" s="104" t="s">
        <v>308</v>
      </c>
      <c r="E45" s="105"/>
      <c r="F45" s="104"/>
      <c r="G45" s="47">
        <v>1.164</v>
      </c>
      <c r="H45" s="29"/>
    </row>
    <row r="46" spans="1:8" ht="12" customHeight="1">
      <c r="A46" s="4"/>
      <c r="B46" s="4"/>
      <c r="C46" s="4"/>
      <c r="D46" s="104" t="s">
        <v>309</v>
      </c>
      <c r="E46" s="105"/>
      <c r="F46" s="104"/>
      <c r="G46" s="47">
        <v>1.713</v>
      </c>
      <c r="H46" s="29"/>
    </row>
    <row r="47" spans="1:8" ht="12" customHeight="1">
      <c r="A47" s="4"/>
      <c r="B47" s="4"/>
      <c r="C47" s="4"/>
      <c r="D47" s="104" t="s">
        <v>310</v>
      </c>
      <c r="E47" s="105"/>
      <c r="F47" s="104"/>
      <c r="G47" s="47">
        <v>2.4</v>
      </c>
      <c r="H47" s="29"/>
    </row>
    <row r="48" spans="1:8" ht="12.75">
      <c r="A48" s="4" t="s">
        <v>12</v>
      </c>
      <c r="B48" s="4"/>
      <c r="C48" s="4"/>
      <c r="D48" s="102" t="s">
        <v>118</v>
      </c>
      <c r="E48" s="103"/>
      <c r="F48" s="4" t="s">
        <v>217</v>
      </c>
      <c r="G48" s="17">
        <v>683.484</v>
      </c>
      <c r="H48" s="17">
        <v>0</v>
      </c>
    </row>
    <row r="49" spans="1:8" ht="12" customHeight="1">
      <c r="A49" s="158"/>
      <c r="B49" s="158"/>
      <c r="C49" s="158"/>
      <c r="D49" s="104" t="s">
        <v>289</v>
      </c>
      <c r="E49" s="105"/>
      <c r="F49" s="105"/>
      <c r="G49" s="47">
        <v>683.484</v>
      </c>
      <c r="H49" s="158"/>
    </row>
    <row r="50" spans="1:8" ht="12.75">
      <c r="A50" s="4" t="s">
        <v>13</v>
      </c>
      <c r="B50" s="4"/>
      <c r="C50" s="4"/>
      <c r="D50" s="102" t="s">
        <v>120</v>
      </c>
      <c r="E50" s="103"/>
      <c r="F50" s="4" t="s">
        <v>217</v>
      </c>
      <c r="G50" s="17">
        <v>64.2</v>
      </c>
      <c r="H50" s="17">
        <v>0</v>
      </c>
    </row>
    <row r="51" spans="1:8" ht="12" customHeight="1">
      <c r="A51" s="158"/>
      <c r="B51" s="158"/>
      <c r="C51" s="158"/>
      <c r="D51" s="104" t="s">
        <v>311</v>
      </c>
      <c r="E51" s="105"/>
      <c r="F51" s="105"/>
      <c r="G51" s="47">
        <v>4.42</v>
      </c>
      <c r="H51" s="158"/>
    </row>
    <row r="52" spans="1:8" ht="12" customHeight="1">
      <c r="A52" s="4"/>
      <c r="B52" s="4"/>
      <c r="C52" s="4"/>
      <c r="D52" s="104" t="s">
        <v>312</v>
      </c>
      <c r="E52" s="105"/>
      <c r="F52" s="104"/>
      <c r="G52" s="47">
        <v>0.42</v>
      </c>
      <c r="H52" s="29"/>
    </row>
    <row r="53" spans="1:8" ht="12" customHeight="1">
      <c r="A53" s="4"/>
      <c r="B53" s="4"/>
      <c r="C53" s="4"/>
      <c r="D53" s="104" t="s">
        <v>313</v>
      </c>
      <c r="E53" s="105"/>
      <c r="F53" s="104"/>
      <c r="G53" s="47">
        <v>4.42</v>
      </c>
      <c r="H53" s="29"/>
    </row>
    <row r="54" spans="1:8" ht="12" customHeight="1">
      <c r="A54" s="4"/>
      <c r="B54" s="4"/>
      <c r="C54" s="4"/>
      <c r="D54" s="104" t="s">
        <v>314</v>
      </c>
      <c r="E54" s="105"/>
      <c r="F54" s="104"/>
      <c r="G54" s="47">
        <v>0.9</v>
      </c>
      <c r="H54" s="29"/>
    </row>
    <row r="55" spans="1:8" ht="12" customHeight="1">
      <c r="A55" s="4"/>
      <c r="B55" s="4"/>
      <c r="C55" s="4"/>
      <c r="D55" s="104" t="s">
        <v>315</v>
      </c>
      <c r="E55" s="105"/>
      <c r="F55" s="104"/>
      <c r="G55" s="47">
        <v>7.02</v>
      </c>
      <c r="H55" s="29"/>
    </row>
    <row r="56" spans="1:8" ht="12" customHeight="1">
      <c r="A56" s="4"/>
      <c r="B56" s="4"/>
      <c r="C56" s="4"/>
      <c r="D56" s="104" t="s">
        <v>316</v>
      </c>
      <c r="E56" s="105"/>
      <c r="F56" s="104"/>
      <c r="G56" s="47">
        <v>0.74</v>
      </c>
      <c r="H56" s="29"/>
    </row>
    <row r="57" spans="1:8" ht="12" customHeight="1">
      <c r="A57" s="4"/>
      <c r="B57" s="4"/>
      <c r="C57" s="4"/>
      <c r="D57" s="104" t="s">
        <v>317</v>
      </c>
      <c r="E57" s="105"/>
      <c r="F57" s="104"/>
      <c r="G57" s="47">
        <v>10.4</v>
      </c>
      <c r="H57" s="29"/>
    </row>
    <row r="58" spans="1:8" ht="12" customHeight="1">
      <c r="A58" s="4"/>
      <c r="B58" s="4"/>
      <c r="C58" s="4"/>
      <c r="D58" s="104" t="s">
        <v>318</v>
      </c>
      <c r="E58" s="105"/>
      <c r="F58" s="104"/>
      <c r="G58" s="47">
        <v>23.92</v>
      </c>
      <c r="H58" s="29"/>
    </row>
    <row r="59" spans="1:8" ht="12" customHeight="1">
      <c r="A59" s="4"/>
      <c r="B59" s="4"/>
      <c r="C59" s="4"/>
      <c r="D59" s="104" t="s">
        <v>319</v>
      </c>
      <c r="E59" s="105"/>
      <c r="F59" s="104"/>
      <c r="G59" s="47">
        <v>3.765</v>
      </c>
      <c r="H59" s="29"/>
    </row>
    <row r="60" spans="1:8" ht="12" customHeight="1">
      <c r="A60" s="4"/>
      <c r="B60" s="4"/>
      <c r="C60" s="4"/>
      <c r="D60" s="104" t="s">
        <v>320</v>
      </c>
      <c r="E60" s="105"/>
      <c r="F60" s="104"/>
      <c r="G60" s="47">
        <v>4.745</v>
      </c>
      <c r="H60" s="29"/>
    </row>
    <row r="61" spans="1:8" ht="12" customHeight="1">
      <c r="A61" s="4"/>
      <c r="B61" s="4"/>
      <c r="C61" s="4"/>
      <c r="D61" s="104" t="s">
        <v>321</v>
      </c>
      <c r="E61" s="105"/>
      <c r="F61" s="104"/>
      <c r="G61" s="47">
        <v>3.45</v>
      </c>
      <c r="H61" s="29"/>
    </row>
    <row r="62" spans="1:8" ht="12.75">
      <c r="A62" s="4" t="s">
        <v>14</v>
      </c>
      <c r="B62" s="4"/>
      <c r="C62" s="4"/>
      <c r="D62" s="102" t="s">
        <v>122</v>
      </c>
      <c r="E62" s="103"/>
      <c r="F62" s="4" t="s">
        <v>218</v>
      </c>
      <c r="G62" s="17">
        <v>33</v>
      </c>
      <c r="H62" s="17">
        <v>0</v>
      </c>
    </row>
    <row r="63" spans="1:8" ht="12" customHeight="1">
      <c r="A63" s="158"/>
      <c r="B63" s="158"/>
      <c r="C63" s="158"/>
      <c r="D63" s="104" t="s">
        <v>322</v>
      </c>
      <c r="E63" s="105"/>
      <c r="F63" s="105"/>
      <c r="G63" s="47">
        <v>33</v>
      </c>
      <c r="H63" s="158"/>
    </row>
    <row r="64" spans="1:8" ht="12.75">
      <c r="A64" s="4" t="s">
        <v>15</v>
      </c>
      <c r="B64" s="4"/>
      <c r="C64" s="4"/>
      <c r="D64" s="102" t="s">
        <v>123</v>
      </c>
      <c r="E64" s="103"/>
      <c r="F64" s="4" t="s">
        <v>218</v>
      </c>
      <c r="G64" s="17">
        <v>6</v>
      </c>
      <c r="H64" s="17">
        <v>0</v>
      </c>
    </row>
    <row r="65" spans="1:8" ht="12" customHeight="1">
      <c r="A65" s="158"/>
      <c r="B65" s="158"/>
      <c r="C65" s="158"/>
      <c r="D65" s="104" t="s">
        <v>323</v>
      </c>
      <c r="E65" s="105"/>
      <c r="F65" s="105"/>
      <c r="G65" s="47">
        <v>6</v>
      </c>
      <c r="H65" s="158"/>
    </row>
    <row r="66" spans="1:8" ht="12.75">
      <c r="A66" s="4" t="s">
        <v>16</v>
      </c>
      <c r="B66" s="4"/>
      <c r="C66" s="4"/>
      <c r="D66" s="102" t="s">
        <v>124</v>
      </c>
      <c r="E66" s="103"/>
      <c r="F66" s="4" t="s">
        <v>218</v>
      </c>
      <c r="G66" s="17">
        <v>2</v>
      </c>
      <c r="H66" s="17">
        <v>0</v>
      </c>
    </row>
    <row r="67" spans="1:8" ht="12" customHeight="1">
      <c r="A67" s="158"/>
      <c r="B67" s="158"/>
      <c r="C67" s="158"/>
      <c r="D67" s="104" t="s">
        <v>324</v>
      </c>
      <c r="E67" s="105"/>
      <c r="F67" s="105"/>
      <c r="G67" s="47">
        <v>2</v>
      </c>
      <c r="H67" s="158"/>
    </row>
    <row r="68" spans="1:8" ht="12.75">
      <c r="A68" s="4" t="s">
        <v>17</v>
      </c>
      <c r="B68" s="4"/>
      <c r="C68" s="4"/>
      <c r="D68" s="102" t="s">
        <v>125</v>
      </c>
      <c r="E68" s="103"/>
      <c r="F68" s="4" t="s">
        <v>218</v>
      </c>
      <c r="G68" s="17">
        <v>2</v>
      </c>
      <c r="H68" s="17">
        <v>0</v>
      </c>
    </row>
    <row r="69" spans="1:8" ht="12" customHeight="1">
      <c r="A69" s="158"/>
      <c r="B69" s="158"/>
      <c r="C69" s="158"/>
      <c r="D69" s="104" t="s">
        <v>324</v>
      </c>
      <c r="E69" s="105"/>
      <c r="F69" s="105"/>
      <c r="G69" s="47">
        <v>2</v>
      </c>
      <c r="H69" s="158"/>
    </row>
    <row r="70" spans="1:8" ht="12.75">
      <c r="A70" s="4" t="s">
        <v>18</v>
      </c>
      <c r="B70" s="4"/>
      <c r="C70" s="4"/>
      <c r="D70" s="102" t="s">
        <v>126</v>
      </c>
      <c r="E70" s="103"/>
      <c r="F70" s="4" t="s">
        <v>218</v>
      </c>
      <c r="G70" s="17">
        <v>1</v>
      </c>
      <c r="H70" s="17">
        <v>0</v>
      </c>
    </row>
    <row r="71" spans="1:8" ht="12" customHeight="1">
      <c r="A71" s="158"/>
      <c r="B71" s="158"/>
      <c r="C71" s="158"/>
      <c r="D71" s="104" t="s">
        <v>325</v>
      </c>
      <c r="E71" s="105"/>
      <c r="F71" s="105"/>
      <c r="G71" s="47">
        <v>1</v>
      </c>
      <c r="H71" s="158"/>
    </row>
    <row r="72" spans="1:8" ht="12.75">
      <c r="A72" s="4" t="s">
        <v>19</v>
      </c>
      <c r="B72" s="4"/>
      <c r="C72" s="4"/>
      <c r="D72" s="102" t="s">
        <v>127</v>
      </c>
      <c r="E72" s="103"/>
      <c r="F72" s="4" t="s">
        <v>218</v>
      </c>
      <c r="G72" s="17">
        <v>2</v>
      </c>
      <c r="H72" s="17">
        <v>0</v>
      </c>
    </row>
    <row r="73" spans="1:8" ht="12" customHeight="1">
      <c r="A73" s="158"/>
      <c r="B73" s="158"/>
      <c r="C73" s="158"/>
      <c r="D73" s="104" t="s">
        <v>324</v>
      </c>
      <c r="E73" s="105"/>
      <c r="F73" s="105"/>
      <c r="G73" s="47">
        <v>2</v>
      </c>
      <c r="H73" s="158"/>
    </row>
    <row r="74" spans="1:8" ht="12.75">
      <c r="A74" s="4" t="s">
        <v>20</v>
      </c>
      <c r="B74" s="4"/>
      <c r="C74" s="4"/>
      <c r="D74" s="102" t="s">
        <v>128</v>
      </c>
      <c r="E74" s="103"/>
      <c r="F74" s="4" t="s">
        <v>218</v>
      </c>
      <c r="G74" s="17">
        <v>2</v>
      </c>
      <c r="H74" s="17">
        <v>0</v>
      </c>
    </row>
    <row r="75" spans="1:8" ht="12" customHeight="1">
      <c r="A75" s="158"/>
      <c r="B75" s="158"/>
      <c r="C75" s="158"/>
      <c r="D75" s="104" t="s">
        <v>324</v>
      </c>
      <c r="E75" s="105"/>
      <c r="F75" s="105"/>
      <c r="G75" s="47">
        <v>2</v>
      </c>
      <c r="H75" s="158"/>
    </row>
    <row r="76" spans="1:8" ht="12.75">
      <c r="A76" s="4" t="s">
        <v>21</v>
      </c>
      <c r="B76" s="4"/>
      <c r="C76" s="4"/>
      <c r="D76" s="102" t="s">
        <v>130</v>
      </c>
      <c r="E76" s="103"/>
      <c r="F76" s="4" t="s">
        <v>219</v>
      </c>
      <c r="G76" s="17">
        <v>54.5</v>
      </c>
      <c r="H76" s="17">
        <v>0</v>
      </c>
    </row>
    <row r="77" spans="1:8" ht="12" customHeight="1">
      <c r="A77" s="158"/>
      <c r="B77" s="158"/>
      <c r="C77" s="158"/>
      <c r="D77" s="104" t="s">
        <v>326</v>
      </c>
      <c r="E77" s="105"/>
      <c r="F77" s="105"/>
      <c r="G77" s="47">
        <v>24.2</v>
      </c>
      <c r="H77" s="158"/>
    </row>
    <row r="78" spans="1:8" ht="12" customHeight="1">
      <c r="A78" s="4"/>
      <c r="B78" s="4"/>
      <c r="C78" s="4"/>
      <c r="D78" s="104" t="s">
        <v>327</v>
      </c>
      <c r="E78" s="105"/>
      <c r="F78" s="104"/>
      <c r="G78" s="47">
        <v>26.6</v>
      </c>
      <c r="H78" s="29"/>
    </row>
    <row r="79" spans="1:8" ht="12" customHeight="1">
      <c r="A79" s="4"/>
      <c r="B79" s="4"/>
      <c r="C79" s="4"/>
      <c r="D79" s="104" t="s">
        <v>328</v>
      </c>
      <c r="E79" s="105"/>
      <c r="F79" s="104"/>
      <c r="G79" s="47">
        <v>3.7</v>
      </c>
      <c r="H79" s="29"/>
    </row>
    <row r="80" spans="1:8" ht="12.75">
      <c r="A80" s="4" t="s">
        <v>22</v>
      </c>
      <c r="B80" s="4"/>
      <c r="C80" s="4"/>
      <c r="D80" s="102" t="s">
        <v>131</v>
      </c>
      <c r="E80" s="103"/>
      <c r="F80" s="4" t="s">
        <v>219</v>
      </c>
      <c r="G80" s="17">
        <v>23.4</v>
      </c>
      <c r="H80" s="17">
        <v>0</v>
      </c>
    </row>
    <row r="81" spans="1:8" ht="12" customHeight="1">
      <c r="A81" s="158"/>
      <c r="B81" s="158"/>
      <c r="C81" s="158"/>
      <c r="D81" s="104" t="s">
        <v>329</v>
      </c>
      <c r="E81" s="105"/>
      <c r="F81" s="105"/>
      <c r="G81" s="47">
        <v>23.4</v>
      </c>
      <c r="H81" s="158"/>
    </row>
    <row r="82" spans="1:8" ht="12.75">
      <c r="A82" s="4" t="s">
        <v>23</v>
      </c>
      <c r="B82" s="4"/>
      <c r="C82" s="4"/>
      <c r="D82" s="102" t="s">
        <v>132</v>
      </c>
      <c r="E82" s="103"/>
      <c r="F82" s="4" t="s">
        <v>219</v>
      </c>
      <c r="G82" s="17">
        <v>77.9</v>
      </c>
      <c r="H82" s="17">
        <v>0</v>
      </c>
    </row>
    <row r="83" spans="1:8" ht="12" customHeight="1">
      <c r="A83" s="158"/>
      <c r="B83" s="158"/>
      <c r="C83" s="158"/>
      <c r="D83" s="104" t="s">
        <v>330</v>
      </c>
      <c r="E83" s="105"/>
      <c r="F83" s="105"/>
      <c r="G83" s="47">
        <v>77.9</v>
      </c>
      <c r="H83" s="158"/>
    </row>
    <row r="84" spans="1:8" ht="12.75">
      <c r="A84" s="4" t="s">
        <v>24</v>
      </c>
      <c r="B84" s="4"/>
      <c r="C84" s="4"/>
      <c r="D84" s="102" t="s">
        <v>133</v>
      </c>
      <c r="E84" s="103"/>
      <c r="F84" s="4" t="s">
        <v>219</v>
      </c>
      <c r="G84" s="17">
        <v>25.1</v>
      </c>
      <c r="H84" s="17">
        <v>0</v>
      </c>
    </row>
    <row r="85" spans="1:8" ht="12" customHeight="1">
      <c r="A85" s="158"/>
      <c r="B85" s="158"/>
      <c r="C85" s="158"/>
      <c r="D85" s="104" t="s">
        <v>331</v>
      </c>
      <c r="E85" s="105"/>
      <c r="F85" s="105"/>
      <c r="G85" s="47">
        <v>25.1</v>
      </c>
      <c r="H85" s="158"/>
    </row>
    <row r="86" spans="1:8" ht="12.75">
      <c r="A86" s="4" t="s">
        <v>25</v>
      </c>
      <c r="B86" s="4"/>
      <c r="C86" s="4"/>
      <c r="D86" s="102" t="s">
        <v>134</v>
      </c>
      <c r="E86" s="103"/>
      <c r="F86" s="4" t="s">
        <v>219</v>
      </c>
      <c r="G86" s="17">
        <v>104</v>
      </c>
      <c r="H86" s="17">
        <v>0</v>
      </c>
    </row>
    <row r="87" spans="1:8" ht="12" customHeight="1">
      <c r="A87" s="158"/>
      <c r="B87" s="158"/>
      <c r="C87" s="158"/>
      <c r="D87" s="104" t="s">
        <v>332</v>
      </c>
      <c r="E87" s="105"/>
      <c r="F87" s="105"/>
      <c r="G87" s="47">
        <v>104</v>
      </c>
      <c r="H87" s="158"/>
    </row>
    <row r="88" spans="1:8" ht="12.75">
      <c r="A88" s="4" t="s">
        <v>26</v>
      </c>
      <c r="B88" s="4"/>
      <c r="C88" s="4"/>
      <c r="D88" s="102" t="s">
        <v>135</v>
      </c>
      <c r="E88" s="103"/>
      <c r="F88" s="4" t="s">
        <v>219</v>
      </c>
      <c r="G88" s="17">
        <v>129.1</v>
      </c>
      <c r="H88" s="17">
        <v>0</v>
      </c>
    </row>
    <row r="89" spans="1:8" ht="12" customHeight="1">
      <c r="A89" s="158"/>
      <c r="B89" s="158"/>
      <c r="C89" s="158"/>
      <c r="D89" s="104" t="s">
        <v>333</v>
      </c>
      <c r="E89" s="105"/>
      <c r="F89" s="105"/>
      <c r="G89" s="47">
        <v>129.1</v>
      </c>
      <c r="H89" s="158"/>
    </row>
    <row r="90" spans="1:8" ht="12.75">
      <c r="A90" s="4" t="s">
        <v>27</v>
      </c>
      <c r="B90" s="4"/>
      <c r="C90" s="4"/>
      <c r="D90" s="102" t="s">
        <v>136</v>
      </c>
      <c r="E90" s="103"/>
      <c r="F90" s="4" t="s">
        <v>219</v>
      </c>
      <c r="G90" s="17">
        <v>52</v>
      </c>
      <c r="H90" s="17">
        <v>0</v>
      </c>
    </row>
    <row r="91" spans="1:8" ht="12" customHeight="1">
      <c r="A91" s="158"/>
      <c r="B91" s="158"/>
      <c r="C91" s="158"/>
      <c r="D91" s="104" t="s">
        <v>334</v>
      </c>
      <c r="E91" s="105"/>
      <c r="F91" s="105"/>
      <c r="G91" s="47">
        <v>52</v>
      </c>
      <c r="H91" s="158"/>
    </row>
    <row r="92" spans="1:8" ht="12.75">
      <c r="A92" s="4" t="s">
        <v>28</v>
      </c>
      <c r="B92" s="4"/>
      <c r="C92" s="4"/>
      <c r="D92" s="102" t="s">
        <v>137</v>
      </c>
      <c r="E92" s="103"/>
      <c r="F92" s="4" t="s">
        <v>219</v>
      </c>
      <c r="G92" s="17">
        <v>11.5</v>
      </c>
      <c r="H92" s="17">
        <v>0</v>
      </c>
    </row>
    <row r="93" spans="1:8" ht="12" customHeight="1">
      <c r="A93" s="158"/>
      <c r="B93" s="158"/>
      <c r="C93" s="158"/>
      <c r="D93" s="104" t="s">
        <v>335</v>
      </c>
      <c r="E93" s="105"/>
      <c r="F93" s="105"/>
      <c r="G93" s="47">
        <v>11.5</v>
      </c>
      <c r="H93" s="158"/>
    </row>
    <row r="94" spans="1:8" ht="12.75">
      <c r="A94" s="4" t="s">
        <v>29</v>
      </c>
      <c r="B94" s="4"/>
      <c r="C94" s="4"/>
      <c r="D94" s="102" t="s">
        <v>138</v>
      </c>
      <c r="E94" s="103"/>
      <c r="F94" s="4" t="s">
        <v>219</v>
      </c>
      <c r="G94" s="17">
        <v>7.3</v>
      </c>
      <c r="H94" s="17">
        <v>0</v>
      </c>
    </row>
    <row r="95" spans="1:8" ht="12" customHeight="1">
      <c r="A95" s="158"/>
      <c r="B95" s="158"/>
      <c r="C95" s="158"/>
      <c r="D95" s="104" t="s">
        <v>336</v>
      </c>
      <c r="E95" s="105"/>
      <c r="F95" s="105"/>
      <c r="G95" s="47">
        <v>7.3</v>
      </c>
      <c r="H95" s="158"/>
    </row>
    <row r="96" spans="1:8" ht="12.75">
      <c r="A96" s="4" t="s">
        <v>30</v>
      </c>
      <c r="B96" s="4"/>
      <c r="C96" s="4"/>
      <c r="D96" s="102" t="s">
        <v>139</v>
      </c>
      <c r="E96" s="103"/>
      <c r="F96" s="4" t="s">
        <v>219</v>
      </c>
      <c r="G96" s="17">
        <v>18.8</v>
      </c>
      <c r="H96" s="17">
        <v>0</v>
      </c>
    </row>
    <row r="97" spans="1:8" ht="12" customHeight="1">
      <c r="A97" s="158"/>
      <c r="B97" s="158"/>
      <c r="C97" s="158"/>
      <c r="D97" s="104" t="s">
        <v>337</v>
      </c>
      <c r="E97" s="105"/>
      <c r="F97" s="105"/>
      <c r="G97" s="47">
        <v>18.8</v>
      </c>
      <c r="H97" s="158"/>
    </row>
    <row r="98" spans="1:8" ht="12.75">
      <c r="A98" s="4" t="s">
        <v>31</v>
      </c>
      <c r="B98" s="4"/>
      <c r="C98" s="4"/>
      <c r="D98" s="102" t="s">
        <v>140</v>
      </c>
      <c r="E98" s="103"/>
      <c r="F98" s="4" t="s">
        <v>219</v>
      </c>
      <c r="G98" s="17">
        <v>5.2</v>
      </c>
      <c r="H98" s="17">
        <v>0</v>
      </c>
    </row>
    <row r="99" spans="1:8" ht="12" customHeight="1">
      <c r="A99" s="158"/>
      <c r="B99" s="158"/>
      <c r="C99" s="158"/>
      <c r="D99" s="104" t="s">
        <v>338</v>
      </c>
      <c r="E99" s="105"/>
      <c r="F99" s="105"/>
      <c r="G99" s="47">
        <v>5.2</v>
      </c>
      <c r="H99" s="158"/>
    </row>
    <row r="100" spans="1:8" ht="12.75">
      <c r="A100" s="4" t="s">
        <v>32</v>
      </c>
      <c r="B100" s="4"/>
      <c r="C100" s="4"/>
      <c r="D100" s="102" t="s">
        <v>141</v>
      </c>
      <c r="E100" s="103"/>
      <c r="F100" s="4" t="s">
        <v>219</v>
      </c>
      <c r="G100" s="17">
        <v>5.2</v>
      </c>
      <c r="H100" s="17">
        <v>0</v>
      </c>
    </row>
    <row r="101" spans="1:8" ht="12" customHeight="1">
      <c r="A101" s="158"/>
      <c r="B101" s="158"/>
      <c r="C101" s="158"/>
      <c r="D101" s="104" t="s">
        <v>338</v>
      </c>
      <c r="E101" s="105"/>
      <c r="F101" s="105"/>
      <c r="G101" s="47">
        <v>5.2</v>
      </c>
      <c r="H101" s="158"/>
    </row>
    <row r="102" spans="1:8" ht="12.75">
      <c r="A102" s="4" t="s">
        <v>33</v>
      </c>
      <c r="B102" s="4"/>
      <c r="C102" s="4"/>
      <c r="D102" s="102" t="s">
        <v>142</v>
      </c>
      <c r="E102" s="103"/>
      <c r="F102" s="4" t="s">
        <v>219</v>
      </c>
      <c r="G102" s="17">
        <v>5</v>
      </c>
      <c r="H102" s="17">
        <v>0</v>
      </c>
    </row>
    <row r="103" spans="1:8" ht="12" customHeight="1">
      <c r="A103" s="158"/>
      <c r="B103" s="158"/>
      <c r="C103" s="158"/>
      <c r="D103" s="104" t="s">
        <v>339</v>
      </c>
      <c r="E103" s="105"/>
      <c r="F103" s="105"/>
      <c r="G103" s="47">
        <v>5</v>
      </c>
      <c r="H103" s="158"/>
    </row>
    <row r="104" spans="1:8" ht="12.75">
      <c r="A104" s="4" t="s">
        <v>34</v>
      </c>
      <c r="B104" s="4"/>
      <c r="C104" s="4"/>
      <c r="D104" s="102" t="s">
        <v>143</v>
      </c>
      <c r="E104" s="103"/>
      <c r="F104" s="4" t="s">
        <v>219</v>
      </c>
      <c r="G104" s="17">
        <v>5</v>
      </c>
      <c r="H104" s="17">
        <v>0</v>
      </c>
    </row>
    <row r="105" spans="1:8" ht="12" customHeight="1">
      <c r="A105" s="158"/>
      <c r="B105" s="158"/>
      <c r="C105" s="158"/>
      <c r="D105" s="104" t="s">
        <v>339</v>
      </c>
      <c r="E105" s="105"/>
      <c r="F105" s="105"/>
      <c r="G105" s="47">
        <v>5</v>
      </c>
      <c r="H105" s="158"/>
    </row>
    <row r="106" spans="1:8" ht="12.75">
      <c r="A106" s="4" t="s">
        <v>35</v>
      </c>
      <c r="B106" s="4"/>
      <c r="C106" s="4"/>
      <c r="D106" s="102" t="s">
        <v>144</v>
      </c>
      <c r="E106" s="103"/>
      <c r="F106" s="4" t="s">
        <v>220</v>
      </c>
      <c r="G106" s="17">
        <v>1.8174</v>
      </c>
      <c r="H106" s="17">
        <v>0</v>
      </c>
    </row>
    <row r="107" spans="1:8" ht="12" customHeight="1">
      <c r="A107" s="158"/>
      <c r="B107" s="158"/>
      <c r="C107" s="158"/>
      <c r="D107" s="104" t="s">
        <v>340</v>
      </c>
      <c r="E107" s="105"/>
      <c r="F107" s="105"/>
      <c r="G107" s="47">
        <v>1.8174</v>
      </c>
      <c r="H107" s="158"/>
    </row>
    <row r="108" spans="1:8" ht="12.75">
      <c r="A108" s="4" t="s">
        <v>36</v>
      </c>
      <c r="B108" s="4"/>
      <c r="C108" s="4"/>
      <c r="D108" s="102" t="s">
        <v>146</v>
      </c>
      <c r="E108" s="103"/>
      <c r="F108" s="4" t="s">
        <v>219</v>
      </c>
      <c r="G108" s="17">
        <v>53.4</v>
      </c>
      <c r="H108" s="17">
        <v>0</v>
      </c>
    </row>
    <row r="109" spans="1:8" ht="12" customHeight="1">
      <c r="A109" s="158"/>
      <c r="B109" s="158"/>
      <c r="C109" s="158"/>
      <c r="D109" s="104" t="s">
        <v>341</v>
      </c>
      <c r="E109" s="105"/>
      <c r="F109" s="105"/>
      <c r="G109" s="47">
        <v>11.4</v>
      </c>
      <c r="H109" s="158"/>
    </row>
    <row r="110" spans="1:8" ht="12" customHeight="1">
      <c r="A110" s="4"/>
      <c r="B110" s="4"/>
      <c r="C110" s="4"/>
      <c r="D110" s="104" t="s">
        <v>342</v>
      </c>
      <c r="E110" s="105"/>
      <c r="F110" s="104"/>
      <c r="G110" s="47">
        <v>22.5</v>
      </c>
      <c r="H110" s="29"/>
    </row>
    <row r="111" spans="1:8" ht="12" customHeight="1">
      <c r="A111" s="4"/>
      <c r="B111" s="4"/>
      <c r="C111" s="4"/>
      <c r="D111" s="104" t="s">
        <v>343</v>
      </c>
      <c r="E111" s="105"/>
      <c r="F111" s="104"/>
      <c r="G111" s="47">
        <v>19.5</v>
      </c>
      <c r="H111" s="29"/>
    </row>
    <row r="112" spans="1:8" ht="12.75">
      <c r="A112" s="4" t="s">
        <v>37</v>
      </c>
      <c r="B112" s="4"/>
      <c r="C112" s="4"/>
      <c r="D112" s="102" t="s">
        <v>147</v>
      </c>
      <c r="E112" s="103"/>
      <c r="F112" s="4" t="s">
        <v>219</v>
      </c>
      <c r="G112" s="17">
        <v>14.8</v>
      </c>
      <c r="H112" s="17">
        <v>0</v>
      </c>
    </row>
    <row r="113" spans="1:8" ht="12" customHeight="1">
      <c r="A113" s="158"/>
      <c r="B113" s="158"/>
      <c r="C113" s="158"/>
      <c r="D113" s="104" t="s">
        <v>344</v>
      </c>
      <c r="E113" s="105"/>
      <c r="F113" s="105"/>
      <c r="G113" s="47">
        <v>9.4</v>
      </c>
      <c r="H113" s="158"/>
    </row>
    <row r="114" spans="1:8" ht="12" customHeight="1">
      <c r="A114" s="4"/>
      <c r="B114" s="4"/>
      <c r="C114" s="4"/>
      <c r="D114" s="104" t="s">
        <v>345</v>
      </c>
      <c r="E114" s="105"/>
      <c r="F114" s="104"/>
      <c r="G114" s="47">
        <v>1.2</v>
      </c>
      <c r="H114" s="29"/>
    </row>
    <row r="115" spans="1:8" ht="12" customHeight="1">
      <c r="A115" s="4"/>
      <c r="B115" s="4"/>
      <c r="C115" s="4"/>
      <c r="D115" s="104" t="s">
        <v>346</v>
      </c>
      <c r="E115" s="105"/>
      <c r="F115" s="104"/>
      <c r="G115" s="47">
        <v>4.2</v>
      </c>
      <c r="H115" s="29"/>
    </row>
    <row r="116" spans="1:8" ht="12.75">
      <c r="A116" s="4" t="s">
        <v>38</v>
      </c>
      <c r="B116" s="4"/>
      <c r="C116" s="4"/>
      <c r="D116" s="102" t="s">
        <v>148</v>
      </c>
      <c r="E116" s="103"/>
      <c r="F116" s="4" t="s">
        <v>220</v>
      </c>
      <c r="G116" s="17">
        <v>0.8078</v>
      </c>
      <c r="H116" s="17">
        <v>0</v>
      </c>
    </row>
    <row r="117" spans="1:8" ht="12" customHeight="1">
      <c r="A117" s="158"/>
      <c r="B117" s="158"/>
      <c r="C117" s="158"/>
      <c r="D117" s="104" t="s">
        <v>347</v>
      </c>
      <c r="E117" s="105"/>
      <c r="F117" s="105"/>
      <c r="G117" s="47">
        <v>0.8078</v>
      </c>
      <c r="H117" s="158"/>
    </row>
    <row r="118" spans="1:8" ht="12.75">
      <c r="A118" s="4" t="s">
        <v>39</v>
      </c>
      <c r="B118" s="4"/>
      <c r="C118" s="4"/>
      <c r="D118" s="102" t="s">
        <v>150</v>
      </c>
      <c r="E118" s="103"/>
      <c r="F118" s="4" t="s">
        <v>218</v>
      </c>
      <c r="G118" s="17">
        <v>1</v>
      </c>
      <c r="H118" s="17">
        <v>0</v>
      </c>
    </row>
    <row r="119" spans="1:8" ht="12" customHeight="1">
      <c r="A119" s="158"/>
      <c r="B119" s="158"/>
      <c r="C119" s="158"/>
      <c r="D119" s="104" t="s">
        <v>325</v>
      </c>
      <c r="E119" s="105"/>
      <c r="F119" s="105"/>
      <c r="G119" s="47">
        <v>1</v>
      </c>
      <c r="H119" s="158"/>
    </row>
    <row r="120" spans="1:8" ht="12.75">
      <c r="A120" s="4" t="s">
        <v>40</v>
      </c>
      <c r="B120" s="4"/>
      <c r="C120" s="4"/>
      <c r="D120" s="102" t="s">
        <v>151</v>
      </c>
      <c r="E120" s="103"/>
      <c r="F120" s="4" t="s">
        <v>220</v>
      </c>
      <c r="G120" s="17">
        <v>0.22</v>
      </c>
      <c r="H120" s="17">
        <v>0</v>
      </c>
    </row>
    <row r="121" spans="1:8" ht="12" customHeight="1">
      <c r="A121" s="158"/>
      <c r="B121" s="158"/>
      <c r="C121" s="158"/>
      <c r="D121" s="104" t="s">
        <v>348</v>
      </c>
      <c r="E121" s="105"/>
      <c r="F121" s="105"/>
      <c r="G121" s="47">
        <v>0.22</v>
      </c>
      <c r="H121" s="158"/>
    </row>
    <row r="122" spans="1:8" ht="12.75">
      <c r="A122" s="6" t="s">
        <v>41</v>
      </c>
      <c r="B122" s="6"/>
      <c r="C122" s="6"/>
      <c r="D122" s="106" t="s">
        <v>153</v>
      </c>
      <c r="E122" s="107"/>
      <c r="F122" s="6" t="s">
        <v>217</v>
      </c>
      <c r="G122" s="18">
        <v>30</v>
      </c>
      <c r="H122" s="18">
        <v>0</v>
      </c>
    </row>
    <row r="123" spans="1:8" ht="12" customHeight="1">
      <c r="A123" s="158"/>
      <c r="B123" s="158"/>
      <c r="C123" s="158"/>
      <c r="D123" s="108" t="s">
        <v>349</v>
      </c>
      <c r="E123" s="109"/>
      <c r="F123" s="109"/>
      <c r="G123" s="48">
        <v>30</v>
      </c>
      <c r="H123" s="158"/>
    </row>
    <row r="124" spans="1:8" ht="12.75">
      <c r="A124" s="4" t="s">
        <v>42</v>
      </c>
      <c r="B124" s="4"/>
      <c r="C124" s="4"/>
      <c r="D124" s="102" t="s">
        <v>154</v>
      </c>
      <c r="E124" s="103"/>
      <c r="F124" s="4" t="s">
        <v>217</v>
      </c>
      <c r="G124" s="17">
        <v>25</v>
      </c>
      <c r="H124" s="17">
        <v>0</v>
      </c>
    </row>
    <row r="125" spans="1:8" ht="12" customHeight="1">
      <c r="A125" s="158"/>
      <c r="B125" s="158"/>
      <c r="C125" s="158"/>
      <c r="D125" s="104" t="s">
        <v>350</v>
      </c>
      <c r="E125" s="105"/>
      <c r="F125" s="105"/>
      <c r="G125" s="47">
        <v>25</v>
      </c>
      <c r="H125" s="158"/>
    </row>
    <row r="126" spans="1:8" ht="12.75">
      <c r="A126" s="4" t="s">
        <v>43</v>
      </c>
      <c r="B126" s="4"/>
      <c r="C126" s="4"/>
      <c r="D126" s="102" t="s">
        <v>155</v>
      </c>
      <c r="E126" s="103"/>
      <c r="F126" s="4" t="s">
        <v>217</v>
      </c>
      <c r="G126" s="17">
        <v>25</v>
      </c>
      <c r="H126" s="17">
        <v>0</v>
      </c>
    </row>
    <row r="127" spans="1:8" ht="12" customHeight="1">
      <c r="A127" s="158"/>
      <c r="B127" s="158"/>
      <c r="C127" s="158"/>
      <c r="D127" s="104" t="s">
        <v>351</v>
      </c>
      <c r="E127" s="105"/>
      <c r="F127" s="105"/>
      <c r="G127" s="47">
        <v>25</v>
      </c>
      <c r="H127" s="158"/>
    </row>
    <row r="128" spans="1:8" ht="12.75">
      <c r="A128" s="4" t="s">
        <v>44</v>
      </c>
      <c r="B128" s="4"/>
      <c r="C128" s="4"/>
      <c r="D128" s="102" t="s">
        <v>156</v>
      </c>
      <c r="E128" s="103"/>
      <c r="F128" s="4" t="s">
        <v>217</v>
      </c>
      <c r="G128" s="17">
        <v>25</v>
      </c>
      <c r="H128" s="17">
        <v>0</v>
      </c>
    </row>
    <row r="129" spans="1:8" ht="12" customHeight="1">
      <c r="A129" s="158"/>
      <c r="B129" s="158"/>
      <c r="C129" s="158"/>
      <c r="D129" s="104" t="s">
        <v>350</v>
      </c>
      <c r="E129" s="105"/>
      <c r="F129" s="105"/>
      <c r="G129" s="47">
        <v>25</v>
      </c>
      <c r="H129" s="158"/>
    </row>
    <row r="130" spans="1:8" ht="12.75">
      <c r="A130" s="4" t="s">
        <v>45</v>
      </c>
      <c r="B130" s="4"/>
      <c r="C130" s="4"/>
      <c r="D130" s="102" t="s">
        <v>157</v>
      </c>
      <c r="E130" s="103"/>
      <c r="F130" s="4" t="s">
        <v>220</v>
      </c>
      <c r="G130" s="17">
        <v>0.5608</v>
      </c>
      <c r="H130" s="17">
        <v>0</v>
      </c>
    </row>
    <row r="131" spans="1:8" ht="12" customHeight="1">
      <c r="A131" s="158"/>
      <c r="B131" s="158"/>
      <c r="C131" s="158"/>
      <c r="D131" s="104" t="s">
        <v>352</v>
      </c>
      <c r="E131" s="105"/>
      <c r="F131" s="105"/>
      <c r="G131" s="47">
        <v>0.5608</v>
      </c>
      <c r="H131" s="158"/>
    </row>
    <row r="132" spans="1:8" ht="12.75">
      <c r="A132" s="4" t="s">
        <v>46</v>
      </c>
      <c r="B132" s="4"/>
      <c r="C132" s="4"/>
      <c r="D132" s="102" t="s">
        <v>159</v>
      </c>
      <c r="E132" s="103"/>
      <c r="F132" s="4" t="s">
        <v>217</v>
      </c>
      <c r="G132" s="17">
        <v>135.455</v>
      </c>
      <c r="H132" s="17">
        <v>0</v>
      </c>
    </row>
    <row r="133" spans="1:8" ht="12" customHeight="1">
      <c r="A133" s="158"/>
      <c r="B133" s="158"/>
      <c r="C133" s="158"/>
      <c r="D133" s="104" t="s">
        <v>353</v>
      </c>
      <c r="E133" s="105"/>
      <c r="F133" s="105"/>
      <c r="G133" s="47">
        <v>17.985</v>
      </c>
      <c r="H133" s="158"/>
    </row>
    <row r="134" spans="1:8" ht="12" customHeight="1">
      <c r="A134" s="4"/>
      <c r="B134" s="4"/>
      <c r="C134" s="4"/>
      <c r="D134" s="104" t="s">
        <v>354</v>
      </c>
      <c r="E134" s="105"/>
      <c r="F134" s="104"/>
      <c r="G134" s="47">
        <v>11.7</v>
      </c>
      <c r="H134" s="29"/>
    </row>
    <row r="135" spans="1:8" ht="12" customHeight="1">
      <c r="A135" s="4"/>
      <c r="B135" s="4"/>
      <c r="C135" s="4"/>
      <c r="D135" s="104" t="s">
        <v>355</v>
      </c>
      <c r="E135" s="105"/>
      <c r="F135" s="104"/>
      <c r="G135" s="47">
        <v>6.275</v>
      </c>
      <c r="H135" s="29"/>
    </row>
    <row r="136" spans="1:8" ht="12" customHeight="1">
      <c r="A136" s="4"/>
      <c r="B136" s="4"/>
      <c r="C136" s="4"/>
      <c r="D136" s="104" t="s">
        <v>356</v>
      </c>
      <c r="E136" s="105"/>
      <c r="F136" s="104"/>
      <c r="G136" s="47">
        <v>62.4</v>
      </c>
      <c r="H136" s="29"/>
    </row>
    <row r="137" spans="1:8" ht="12" customHeight="1">
      <c r="A137" s="4"/>
      <c r="B137" s="4"/>
      <c r="C137" s="4"/>
      <c r="D137" s="104" t="s">
        <v>357</v>
      </c>
      <c r="E137" s="105"/>
      <c r="F137" s="104"/>
      <c r="G137" s="47">
        <v>20.8</v>
      </c>
      <c r="H137" s="29"/>
    </row>
    <row r="138" spans="1:8" ht="12" customHeight="1">
      <c r="A138" s="4"/>
      <c r="B138" s="4"/>
      <c r="C138" s="4"/>
      <c r="D138" s="104" t="s">
        <v>358</v>
      </c>
      <c r="E138" s="105"/>
      <c r="F138" s="104"/>
      <c r="G138" s="47">
        <v>5.75</v>
      </c>
      <c r="H138" s="29"/>
    </row>
    <row r="139" spans="1:8" ht="12" customHeight="1">
      <c r="A139" s="4"/>
      <c r="B139" s="4"/>
      <c r="C139" s="4"/>
      <c r="D139" s="104" t="s">
        <v>359</v>
      </c>
      <c r="E139" s="105"/>
      <c r="F139" s="104"/>
      <c r="G139" s="47">
        <v>5.475</v>
      </c>
      <c r="H139" s="29"/>
    </row>
    <row r="140" spans="1:8" ht="12" customHeight="1">
      <c r="A140" s="4"/>
      <c r="B140" s="4"/>
      <c r="C140" s="4"/>
      <c r="D140" s="104" t="s">
        <v>360</v>
      </c>
      <c r="E140" s="105"/>
      <c r="F140" s="104"/>
      <c r="G140" s="47">
        <v>1.82</v>
      </c>
      <c r="H140" s="29"/>
    </row>
    <row r="141" spans="1:8" ht="12" customHeight="1">
      <c r="A141" s="4"/>
      <c r="B141" s="4"/>
      <c r="C141" s="4"/>
      <c r="D141" s="104" t="s">
        <v>361</v>
      </c>
      <c r="E141" s="105"/>
      <c r="F141" s="104"/>
      <c r="G141" s="47">
        <v>3.25</v>
      </c>
      <c r="H141" s="29"/>
    </row>
    <row r="142" spans="1:8" ht="12.75">
      <c r="A142" s="4" t="s">
        <v>47</v>
      </c>
      <c r="B142" s="4"/>
      <c r="C142" s="4"/>
      <c r="D142" s="102" t="s">
        <v>160</v>
      </c>
      <c r="E142" s="103"/>
      <c r="F142" s="4" t="s">
        <v>217</v>
      </c>
      <c r="G142" s="17">
        <v>55.88</v>
      </c>
      <c r="H142" s="17">
        <v>0</v>
      </c>
    </row>
    <row r="143" spans="1:8" ht="12" customHeight="1">
      <c r="A143" s="158"/>
      <c r="B143" s="158"/>
      <c r="C143" s="158"/>
      <c r="D143" s="104" t="s">
        <v>362</v>
      </c>
      <c r="E143" s="105"/>
      <c r="F143" s="105"/>
      <c r="G143" s="47">
        <v>4.32</v>
      </c>
      <c r="H143" s="158"/>
    </row>
    <row r="144" spans="1:8" ht="12" customHeight="1">
      <c r="A144" s="4"/>
      <c r="B144" s="4"/>
      <c r="C144" s="4"/>
      <c r="D144" s="104" t="s">
        <v>363</v>
      </c>
      <c r="E144" s="105"/>
      <c r="F144" s="104"/>
      <c r="G144" s="47">
        <v>2.16</v>
      </c>
      <c r="H144" s="29"/>
    </row>
    <row r="145" spans="1:8" ht="12" customHeight="1">
      <c r="A145" s="4"/>
      <c r="B145" s="4"/>
      <c r="C145" s="4"/>
      <c r="D145" s="104" t="s">
        <v>364</v>
      </c>
      <c r="E145" s="105"/>
      <c r="F145" s="104"/>
      <c r="G145" s="47">
        <v>14.4</v>
      </c>
      <c r="H145" s="29"/>
    </row>
    <row r="146" spans="1:8" ht="12" customHeight="1">
      <c r="A146" s="4"/>
      <c r="B146" s="4"/>
      <c r="C146" s="4"/>
      <c r="D146" s="104" t="s">
        <v>365</v>
      </c>
      <c r="E146" s="105"/>
      <c r="F146" s="104"/>
      <c r="G146" s="47">
        <v>35</v>
      </c>
      <c r="H146" s="29"/>
    </row>
    <row r="147" spans="1:8" ht="12.75">
      <c r="A147" s="4" t="s">
        <v>48</v>
      </c>
      <c r="B147" s="4"/>
      <c r="C147" s="4"/>
      <c r="D147" s="102" t="s">
        <v>162</v>
      </c>
      <c r="E147" s="103"/>
      <c r="F147" s="4" t="s">
        <v>217</v>
      </c>
      <c r="G147" s="17">
        <v>329.2</v>
      </c>
      <c r="H147" s="17">
        <v>0</v>
      </c>
    </row>
    <row r="148" spans="1:8" ht="12" customHeight="1">
      <c r="A148" s="158"/>
      <c r="B148" s="158"/>
      <c r="C148" s="158"/>
      <c r="D148" s="104" t="s">
        <v>366</v>
      </c>
      <c r="E148" s="105"/>
      <c r="F148" s="105"/>
      <c r="G148" s="47">
        <v>354.2</v>
      </c>
      <c r="H148" s="158"/>
    </row>
    <row r="149" spans="1:8" ht="12" customHeight="1">
      <c r="A149" s="4"/>
      <c r="B149" s="4"/>
      <c r="C149" s="4"/>
      <c r="D149" s="104" t="s">
        <v>367</v>
      </c>
      <c r="E149" s="105"/>
      <c r="F149" s="104"/>
      <c r="G149" s="47">
        <v>-25</v>
      </c>
      <c r="H149" s="29"/>
    </row>
    <row r="150" spans="1:8" ht="12.75">
      <c r="A150" s="4" t="s">
        <v>49</v>
      </c>
      <c r="B150" s="4"/>
      <c r="C150" s="4"/>
      <c r="D150" s="102" t="s">
        <v>163</v>
      </c>
      <c r="E150" s="103"/>
      <c r="F150" s="4" t="s">
        <v>217</v>
      </c>
      <c r="G150" s="17">
        <v>329.2</v>
      </c>
      <c r="H150" s="17">
        <v>0</v>
      </c>
    </row>
    <row r="151" spans="1:8" ht="12" customHeight="1">
      <c r="A151" s="158"/>
      <c r="B151" s="158"/>
      <c r="C151" s="158"/>
      <c r="D151" s="104" t="s">
        <v>366</v>
      </c>
      <c r="E151" s="105"/>
      <c r="F151" s="105"/>
      <c r="G151" s="47">
        <v>354.2</v>
      </c>
      <c r="H151" s="158"/>
    </row>
    <row r="152" spans="1:8" ht="12" customHeight="1">
      <c r="A152" s="4"/>
      <c r="B152" s="4"/>
      <c r="C152" s="4"/>
      <c r="D152" s="104" t="s">
        <v>367</v>
      </c>
      <c r="E152" s="105"/>
      <c r="F152" s="104"/>
      <c r="G152" s="47">
        <v>-25</v>
      </c>
      <c r="H152" s="29"/>
    </row>
    <row r="153" spans="1:8" ht="12.75">
      <c r="A153" s="4" t="s">
        <v>50</v>
      </c>
      <c r="B153" s="4"/>
      <c r="C153" s="4"/>
      <c r="D153" s="102" t="s">
        <v>165</v>
      </c>
      <c r="E153" s="103"/>
      <c r="F153" s="4" t="s">
        <v>221</v>
      </c>
      <c r="G153" s="17">
        <v>1</v>
      </c>
      <c r="H153" s="17">
        <v>0</v>
      </c>
    </row>
    <row r="154" spans="1:8" ht="12" customHeight="1">
      <c r="A154" s="158"/>
      <c r="B154" s="158"/>
      <c r="C154" s="158"/>
      <c r="D154" s="104" t="s">
        <v>325</v>
      </c>
      <c r="E154" s="105"/>
      <c r="F154" s="105"/>
      <c r="G154" s="47">
        <v>1</v>
      </c>
      <c r="H154" s="158"/>
    </row>
    <row r="155" spans="1:8" ht="12.75">
      <c r="A155" s="4" t="s">
        <v>51</v>
      </c>
      <c r="B155" s="4"/>
      <c r="C155" s="4"/>
      <c r="D155" s="102" t="s">
        <v>166</v>
      </c>
      <c r="E155" s="103"/>
      <c r="F155" s="4" t="s">
        <v>221</v>
      </c>
      <c r="G155" s="17">
        <v>1</v>
      </c>
      <c r="H155" s="17">
        <v>0</v>
      </c>
    </row>
    <row r="156" spans="1:8" ht="12" customHeight="1">
      <c r="A156" s="158"/>
      <c r="B156" s="158"/>
      <c r="C156" s="158"/>
      <c r="D156" s="104" t="s">
        <v>325</v>
      </c>
      <c r="E156" s="105"/>
      <c r="F156" s="105"/>
      <c r="G156" s="47">
        <v>1</v>
      </c>
      <c r="H156" s="158"/>
    </row>
    <row r="157" spans="1:8" ht="12.75">
      <c r="A157" s="4" t="s">
        <v>52</v>
      </c>
      <c r="B157" s="4"/>
      <c r="C157" s="4"/>
      <c r="D157" s="102" t="s">
        <v>167</v>
      </c>
      <c r="E157" s="103"/>
      <c r="F157" s="4" t="s">
        <v>221</v>
      </c>
      <c r="G157" s="17">
        <v>1</v>
      </c>
      <c r="H157" s="17">
        <v>0</v>
      </c>
    </row>
    <row r="158" spans="1:8" ht="12" customHeight="1">
      <c r="A158" s="158"/>
      <c r="B158" s="158"/>
      <c r="C158" s="158"/>
      <c r="D158" s="104" t="s">
        <v>325</v>
      </c>
      <c r="E158" s="105"/>
      <c r="F158" s="105"/>
      <c r="G158" s="47">
        <v>1</v>
      </c>
      <c r="H158" s="158"/>
    </row>
    <row r="159" spans="1:8" ht="12.75">
      <c r="A159" s="4" t="s">
        <v>53</v>
      </c>
      <c r="B159" s="4"/>
      <c r="C159" s="4"/>
      <c r="D159" s="102" t="s">
        <v>168</v>
      </c>
      <c r="E159" s="103"/>
      <c r="F159" s="4" t="s">
        <v>221</v>
      </c>
      <c r="G159" s="17">
        <v>1</v>
      </c>
      <c r="H159" s="17">
        <v>0</v>
      </c>
    </row>
    <row r="160" spans="1:8" ht="12" customHeight="1">
      <c r="A160" s="158"/>
      <c r="B160" s="158"/>
      <c r="C160" s="158"/>
      <c r="D160" s="104" t="s">
        <v>325</v>
      </c>
      <c r="E160" s="105"/>
      <c r="F160" s="105"/>
      <c r="G160" s="47">
        <v>1</v>
      </c>
      <c r="H160" s="158"/>
    </row>
    <row r="161" spans="1:8" ht="12.75">
      <c r="A161" s="4" t="s">
        <v>54</v>
      </c>
      <c r="B161" s="4"/>
      <c r="C161" s="4"/>
      <c r="D161" s="102" t="s">
        <v>169</v>
      </c>
      <c r="E161" s="103"/>
      <c r="F161" s="4" t="s">
        <v>221</v>
      </c>
      <c r="G161" s="17">
        <v>1</v>
      </c>
      <c r="H161" s="17">
        <v>0</v>
      </c>
    </row>
    <row r="162" spans="1:8" ht="12" customHeight="1">
      <c r="A162" s="158"/>
      <c r="B162" s="158"/>
      <c r="C162" s="158"/>
      <c r="D162" s="104" t="s">
        <v>325</v>
      </c>
      <c r="E162" s="105"/>
      <c r="F162" s="105"/>
      <c r="G162" s="47">
        <v>1</v>
      </c>
      <c r="H162" s="158"/>
    </row>
    <row r="163" spans="1:8" ht="12.75">
      <c r="A163" s="4" t="s">
        <v>55</v>
      </c>
      <c r="B163" s="4"/>
      <c r="C163" s="4"/>
      <c r="D163" s="102" t="s">
        <v>170</v>
      </c>
      <c r="E163" s="103"/>
      <c r="F163" s="4" t="s">
        <v>221</v>
      </c>
      <c r="G163" s="17">
        <v>1</v>
      </c>
      <c r="H163" s="17">
        <v>0</v>
      </c>
    </row>
    <row r="164" spans="1:8" ht="12" customHeight="1">
      <c r="A164" s="158"/>
      <c r="B164" s="158"/>
      <c r="C164" s="158"/>
      <c r="D164" s="104" t="s">
        <v>325</v>
      </c>
      <c r="E164" s="105"/>
      <c r="F164" s="105"/>
      <c r="G164" s="47">
        <v>1</v>
      </c>
      <c r="H164" s="158"/>
    </row>
    <row r="165" spans="1:8" ht="12.75">
      <c r="A165" s="4" t="s">
        <v>56</v>
      </c>
      <c r="B165" s="4"/>
      <c r="C165" s="4"/>
      <c r="D165" s="102" t="s">
        <v>171</v>
      </c>
      <c r="E165" s="103"/>
      <c r="F165" s="4" t="s">
        <v>221</v>
      </c>
      <c r="G165" s="17">
        <v>1</v>
      </c>
      <c r="H165" s="17">
        <v>0</v>
      </c>
    </row>
    <row r="166" spans="1:8" ht="12" customHeight="1">
      <c r="A166" s="158"/>
      <c r="B166" s="158"/>
      <c r="C166" s="158"/>
      <c r="D166" s="104" t="s">
        <v>325</v>
      </c>
      <c r="E166" s="105"/>
      <c r="F166" s="105"/>
      <c r="G166" s="47">
        <v>1</v>
      </c>
      <c r="H166" s="158"/>
    </row>
    <row r="167" spans="1:8" ht="12.75">
      <c r="A167" s="4" t="s">
        <v>57</v>
      </c>
      <c r="B167" s="4"/>
      <c r="C167" s="4"/>
      <c r="D167" s="102" t="s">
        <v>172</v>
      </c>
      <c r="E167" s="103"/>
      <c r="F167" s="4" t="s">
        <v>221</v>
      </c>
      <c r="G167" s="17">
        <v>1</v>
      </c>
      <c r="H167" s="17">
        <v>0</v>
      </c>
    </row>
    <row r="168" spans="1:8" ht="12" customHeight="1">
      <c r="A168" s="158"/>
      <c r="B168" s="158"/>
      <c r="C168" s="158"/>
      <c r="D168" s="104" t="s">
        <v>325</v>
      </c>
      <c r="E168" s="105"/>
      <c r="F168" s="105"/>
      <c r="G168" s="47">
        <v>1</v>
      </c>
      <c r="H168" s="158"/>
    </row>
    <row r="169" spans="1:8" ht="12.75">
      <c r="A169" s="4" t="s">
        <v>58</v>
      </c>
      <c r="B169" s="4"/>
      <c r="C169" s="4"/>
      <c r="D169" s="102" t="s">
        <v>173</v>
      </c>
      <c r="E169" s="103"/>
      <c r="F169" s="4" t="s">
        <v>217</v>
      </c>
      <c r="G169" s="17">
        <v>5400</v>
      </c>
      <c r="H169" s="17">
        <v>0</v>
      </c>
    </row>
    <row r="170" spans="1:8" ht="12" customHeight="1">
      <c r="A170" s="158"/>
      <c r="B170" s="158"/>
      <c r="C170" s="158"/>
      <c r="D170" s="104" t="s">
        <v>368</v>
      </c>
      <c r="E170" s="105"/>
      <c r="F170" s="105"/>
      <c r="G170" s="47">
        <v>5400</v>
      </c>
      <c r="H170" s="158"/>
    </row>
    <row r="171" spans="1:8" ht="12.75">
      <c r="A171" s="4" t="s">
        <v>59</v>
      </c>
      <c r="B171" s="4"/>
      <c r="C171" s="4"/>
      <c r="D171" s="102" t="s">
        <v>174</v>
      </c>
      <c r="E171" s="103"/>
      <c r="F171" s="4" t="s">
        <v>221</v>
      </c>
      <c r="G171" s="17">
        <v>1</v>
      </c>
      <c r="H171" s="17">
        <v>0</v>
      </c>
    </row>
    <row r="172" spans="1:8" ht="12" customHeight="1">
      <c r="A172" s="158"/>
      <c r="B172" s="158"/>
      <c r="C172" s="158"/>
      <c r="D172" s="104" t="s">
        <v>325</v>
      </c>
      <c r="E172" s="105"/>
      <c r="F172" s="105"/>
      <c r="G172" s="47">
        <v>1</v>
      </c>
      <c r="H172" s="158"/>
    </row>
    <row r="173" spans="1:8" ht="12.75">
      <c r="A173" s="4" t="s">
        <v>60</v>
      </c>
      <c r="B173" s="4"/>
      <c r="C173" s="4"/>
      <c r="D173" s="102" t="s">
        <v>175</v>
      </c>
      <c r="E173" s="103"/>
      <c r="F173" s="4" t="s">
        <v>221</v>
      </c>
      <c r="G173" s="17">
        <v>1</v>
      </c>
      <c r="H173" s="17">
        <v>0</v>
      </c>
    </row>
    <row r="174" spans="1:8" ht="12" customHeight="1">
      <c r="A174" s="158"/>
      <c r="B174" s="158"/>
      <c r="C174" s="158"/>
      <c r="D174" s="104" t="s">
        <v>325</v>
      </c>
      <c r="E174" s="105"/>
      <c r="F174" s="105"/>
      <c r="G174" s="47">
        <v>1</v>
      </c>
      <c r="H174" s="158"/>
    </row>
    <row r="175" spans="1:8" ht="12.75">
      <c r="A175" s="4" t="s">
        <v>61</v>
      </c>
      <c r="B175" s="4"/>
      <c r="C175" s="4"/>
      <c r="D175" s="102" t="s">
        <v>177</v>
      </c>
      <c r="E175" s="103"/>
      <c r="F175" s="4" t="s">
        <v>217</v>
      </c>
      <c r="G175" s="17">
        <v>835.5</v>
      </c>
      <c r="H175" s="17">
        <v>0</v>
      </c>
    </row>
    <row r="176" spans="1:8" ht="12" customHeight="1">
      <c r="A176" s="158"/>
      <c r="B176" s="158"/>
      <c r="C176" s="158"/>
      <c r="D176" s="104" t="s">
        <v>369</v>
      </c>
      <c r="E176" s="105"/>
      <c r="F176" s="105"/>
      <c r="G176" s="47">
        <v>652.5</v>
      </c>
      <c r="H176" s="158"/>
    </row>
    <row r="177" spans="1:8" ht="12" customHeight="1">
      <c r="A177" s="4"/>
      <c r="B177" s="4"/>
      <c r="C177" s="4"/>
      <c r="D177" s="104" t="s">
        <v>370</v>
      </c>
      <c r="E177" s="105"/>
      <c r="F177" s="104"/>
      <c r="G177" s="47">
        <v>108</v>
      </c>
      <c r="H177" s="29"/>
    </row>
    <row r="178" spans="1:8" ht="12" customHeight="1">
      <c r="A178" s="4"/>
      <c r="B178" s="4"/>
      <c r="C178" s="4"/>
      <c r="D178" s="104" t="s">
        <v>371</v>
      </c>
      <c r="E178" s="105"/>
      <c r="F178" s="104"/>
      <c r="G178" s="47">
        <v>75</v>
      </c>
      <c r="H178" s="29"/>
    </row>
    <row r="179" spans="1:8" ht="12.75">
      <c r="A179" s="4" t="s">
        <v>62</v>
      </c>
      <c r="B179" s="4"/>
      <c r="C179" s="4"/>
      <c r="D179" s="102" t="s">
        <v>178</v>
      </c>
      <c r="E179" s="103"/>
      <c r="F179" s="4" t="s">
        <v>217</v>
      </c>
      <c r="G179" s="17">
        <v>2088.75</v>
      </c>
      <c r="H179" s="17">
        <v>0</v>
      </c>
    </row>
    <row r="180" spans="1:8" ht="12" customHeight="1">
      <c r="A180" s="158"/>
      <c r="B180" s="158"/>
      <c r="C180" s="158"/>
      <c r="D180" s="104" t="s">
        <v>372</v>
      </c>
      <c r="E180" s="105"/>
      <c r="F180" s="105"/>
      <c r="G180" s="47">
        <v>2088.75</v>
      </c>
      <c r="H180" s="158"/>
    </row>
    <row r="181" spans="1:8" ht="12.75">
      <c r="A181" s="4" t="s">
        <v>63</v>
      </c>
      <c r="B181" s="4"/>
      <c r="C181" s="4"/>
      <c r="D181" s="102" t="s">
        <v>179</v>
      </c>
      <c r="E181" s="103"/>
      <c r="F181" s="4" t="s">
        <v>217</v>
      </c>
      <c r="G181" s="17">
        <v>835.5</v>
      </c>
      <c r="H181" s="17">
        <v>0</v>
      </c>
    </row>
    <row r="182" spans="1:8" ht="12" customHeight="1">
      <c r="A182" s="158"/>
      <c r="B182" s="158"/>
      <c r="C182" s="158"/>
      <c r="D182" s="104" t="s">
        <v>373</v>
      </c>
      <c r="E182" s="105"/>
      <c r="F182" s="105"/>
      <c r="G182" s="47">
        <v>835.5</v>
      </c>
      <c r="H182" s="158"/>
    </row>
    <row r="183" spans="1:8" ht="12.75">
      <c r="A183" s="4" t="s">
        <v>64</v>
      </c>
      <c r="B183" s="4"/>
      <c r="C183" s="4"/>
      <c r="D183" s="102" t="s">
        <v>180</v>
      </c>
      <c r="E183" s="103"/>
      <c r="F183" s="4" t="s">
        <v>217</v>
      </c>
      <c r="G183" s="17">
        <v>36</v>
      </c>
      <c r="H183" s="17">
        <v>0</v>
      </c>
    </row>
    <row r="184" spans="1:8" ht="12" customHeight="1">
      <c r="A184" s="158"/>
      <c r="B184" s="158"/>
      <c r="C184" s="158"/>
      <c r="D184" s="104" t="s">
        <v>374</v>
      </c>
      <c r="E184" s="105"/>
      <c r="F184" s="105"/>
      <c r="G184" s="47">
        <v>36</v>
      </c>
      <c r="H184" s="158"/>
    </row>
    <row r="185" spans="1:8" ht="12.75">
      <c r="A185" s="4" t="s">
        <v>65</v>
      </c>
      <c r="B185" s="4"/>
      <c r="C185" s="4"/>
      <c r="D185" s="102" t="s">
        <v>181</v>
      </c>
      <c r="E185" s="103"/>
      <c r="F185" s="4" t="s">
        <v>217</v>
      </c>
      <c r="G185" s="17">
        <v>144</v>
      </c>
      <c r="H185" s="17">
        <v>0</v>
      </c>
    </row>
    <row r="186" spans="1:8" ht="12" customHeight="1">
      <c r="A186" s="158"/>
      <c r="B186" s="158"/>
      <c r="C186" s="158"/>
      <c r="D186" s="104" t="s">
        <v>375</v>
      </c>
      <c r="E186" s="105"/>
      <c r="F186" s="105"/>
      <c r="G186" s="47">
        <v>144</v>
      </c>
      <c r="H186" s="158"/>
    </row>
    <row r="187" spans="1:8" ht="12.75">
      <c r="A187" s="4" t="s">
        <v>66</v>
      </c>
      <c r="B187" s="4"/>
      <c r="C187" s="4"/>
      <c r="D187" s="102" t="s">
        <v>182</v>
      </c>
      <c r="E187" s="103"/>
      <c r="F187" s="4" t="s">
        <v>217</v>
      </c>
      <c r="G187" s="17">
        <v>865.5</v>
      </c>
      <c r="H187" s="17">
        <v>0</v>
      </c>
    </row>
    <row r="188" spans="1:8" ht="12" customHeight="1">
      <c r="A188" s="158"/>
      <c r="B188" s="158"/>
      <c r="C188" s="158"/>
      <c r="D188" s="104" t="s">
        <v>376</v>
      </c>
      <c r="E188" s="105"/>
      <c r="F188" s="105"/>
      <c r="G188" s="47">
        <v>835.5</v>
      </c>
      <c r="H188" s="158"/>
    </row>
    <row r="189" spans="1:8" ht="12" customHeight="1">
      <c r="A189" s="4"/>
      <c r="B189" s="4"/>
      <c r="C189" s="4"/>
      <c r="D189" s="104" t="s">
        <v>377</v>
      </c>
      <c r="E189" s="105"/>
      <c r="F189" s="104"/>
      <c r="G189" s="47">
        <v>30</v>
      </c>
      <c r="H189" s="29"/>
    </row>
    <row r="190" spans="1:8" ht="12.75">
      <c r="A190" s="4" t="s">
        <v>67</v>
      </c>
      <c r="B190" s="4"/>
      <c r="C190" s="4"/>
      <c r="D190" s="102" t="s">
        <v>183</v>
      </c>
      <c r="E190" s="103"/>
      <c r="F190" s="4" t="s">
        <v>217</v>
      </c>
      <c r="G190" s="17">
        <v>2163.75</v>
      </c>
      <c r="H190" s="17">
        <v>0</v>
      </c>
    </row>
    <row r="191" spans="1:8" ht="12" customHeight="1">
      <c r="A191" s="158"/>
      <c r="B191" s="158"/>
      <c r="C191" s="158"/>
      <c r="D191" s="104" t="s">
        <v>378</v>
      </c>
      <c r="E191" s="105"/>
      <c r="F191" s="105"/>
      <c r="G191" s="47">
        <v>2163.75</v>
      </c>
      <c r="H191" s="158"/>
    </row>
    <row r="192" spans="1:8" ht="12.75">
      <c r="A192" s="4" t="s">
        <v>68</v>
      </c>
      <c r="B192" s="4"/>
      <c r="C192" s="4"/>
      <c r="D192" s="102" t="s">
        <v>184</v>
      </c>
      <c r="E192" s="103"/>
      <c r="F192" s="4" t="s">
        <v>217</v>
      </c>
      <c r="G192" s="17">
        <v>865.5</v>
      </c>
      <c r="H192" s="17">
        <v>0</v>
      </c>
    </row>
    <row r="193" spans="1:8" ht="12" customHeight="1">
      <c r="A193" s="158"/>
      <c r="B193" s="158"/>
      <c r="C193" s="158"/>
      <c r="D193" s="104" t="s">
        <v>379</v>
      </c>
      <c r="E193" s="105"/>
      <c r="F193" s="105"/>
      <c r="G193" s="47">
        <v>865.5</v>
      </c>
      <c r="H193" s="158"/>
    </row>
    <row r="194" spans="1:8" ht="12.75">
      <c r="A194" s="4" t="s">
        <v>69</v>
      </c>
      <c r="B194" s="4"/>
      <c r="C194" s="4"/>
      <c r="D194" s="102" t="s">
        <v>185</v>
      </c>
      <c r="E194" s="103"/>
      <c r="F194" s="4" t="s">
        <v>217</v>
      </c>
      <c r="G194" s="17">
        <v>27</v>
      </c>
      <c r="H194" s="17">
        <v>0</v>
      </c>
    </row>
    <row r="195" spans="1:8" ht="12" customHeight="1">
      <c r="A195" s="158"/>
      <c r="B195" s="158"/>
      <c r="C195" s="158"/>
      <c r="D195" s="104" t="s">
        <v>380</v>
      </c>
      <c r="E195" s="105"/>
      <c r="F195" s="105"/>
      <c r="G195" s="47">
        <v>27</v>
      </c>
      <c r="H195" s="158"/>
    </row>
    <row r="196" spans="1:8" ht="12.75">
      <c r="A196" s="4" t="s">
        <v>70</v>
      </c>
      <c r="B196" s="4"/>
      <c r="C196" s="4"/>
      <c r="D196" s="102" t="s">
        <v>187</v>
      </c>
      <c r="E196" s="103"/>
      <c r="F196" s="4" t="s">
        <v>217</v>
      </c>
      <c r="G196" s="17">
        <v>614.38</v>
      </c>
      <c r="H196" s="17">
        <v>0</v>
      </c>
    </row>
    <row r="197" spans="1:8" ht="12" customHeight="1">
      <c r="A197" s="158"/>
      <c r="B197" s="158"/>
      <c r="C197" s="158"/>
      <c r="D197" s="104" t="s">
        <v>381</v>
      </c>
      <c r="E197" s="105"/>
      <c r="F197" s="105"/>
      <c r="G197" s="47">
        <v>586.52</v>
      </c>
      <c r="H197" s="158"/>
    </row>
    <row r="198" spans="1:8" ht="12" customHeight="1">
      <c r="A198" s="4"/>
      <c r="B198" s="4"/>
      <c r="C198" s="4"/>
      <c r="D198" s="104" t="s">
        <v>382</v>
      </c>
      <c r="E198" s="105"/>
      <c r="F198" s="104"/>
      <c r="G198" s="47">
        <v>27.86</v>
      </c>
      <c r="H198" s="29"/>
    </row>
    <row r="199" spans="1:8" ht="12.75">
      <c r="A199" s="4" t="s">
        <v>71</v>
      </c>
      <c r="B199" s="4"/>
      <c r="C199" s="4"/>
      <c r="D199" s="102" t="s">
        <v>188</v>
      </c>
      <c r="E199" s="103"/>
      <c r="F199" s="4" t="s">
        <v>217</v>
      </c>
      <c r="G199" s="17">
        <v>321.12</v>
      </c>
      <c r="H199" s="17">
        <v>0</v>
      </c>
    </row>
    <row r="200" spans="1:8" ht="12" customHeight="1">
      <c r="A200" s="158"/>
      <c r="B200" s="158"/>
      <c r="C200" s="158"/>
      <c r="D200" s="104" t="s">
        <v>383</v>
      </c>
      <c r="E200" s="105"/>
      <c r="F200" s="105"/>
      <c r="G200" s="47">
        <v>293.26</v>
      </c>
      <c r="H200" s="158"/>
    </row>
    <row r="201" spans="1:8" ht="12" customHeight="1">
      <c r="A201" s="4"/>
      <c r="B201" s="4"/>
      <c r="C201" s="4"/>
      <c r="D201" s="104" t="s">
        <v>382</v>
      </c>
      <c r="E201" s="105"/>
      <c r="F201" s="104"/>
      <c r="G201" s="47">
        <v>27.86</v>
      </c>
      <c r="H201" s="29"/>
    </row>
    <row r="202" spans="1:8" ht="12.75">
      <c r="A202" s="4" t="s">
        <v>72</v>
      </c>
      <c r="B202" s="4"/>
      <c r="C202" s="4"/>
      <c r="D202" s="102" t="s">
        <v>189</v>
      </c>
      <c r="E202" s="103"/>
      <c r="F202" s="4" t="s">
        <v>217</v>
      </c>
      <c r="G202" s="17">
        <v>750</v>
      </c>
      <c r="H202" s="17">
        <v>0</v>
      </c>
    </row>
    <row r="203" spans="1:8" ht="12" customHeight="1">
      <c r="A203" s="158"/>
      <c r="B203" s="158"/>
      <c r="C203" s="158"/>
      <c r="D203" s="104" t="s">
        <v>384</v>
      </c>
      <c r="E203" s="105"/>
      <c r="F203" s="105"/>
      <c r="G203" s="47">
        <v>250</v>
      </c>
      <c r="H203" s="158"/>
    </row>
    <row r="204" spans="1:8" ht="12" customHeight="1">
      <c r="A204" s="4"/>
      <c r="B204" s="4"/>
      <c r="C204" s="4"/>
      <c r="D204" s="104" t="s">
        <v>385</v>
      </c>
      <c r="E204" s="105"/>
      <c r="F204" s="104"/>
      <c r="G204" s="47">
        <v>250</v>
      </c>
      <c r="H204" s="29"/>
    </row>
    <row r="205" spans="1:8" ht="12" customHeight="1">
      <c r="A205" s="4"/>
      <c r="B205" s="4"/>
      <c r="C205" s="4"/>
      <c r="D205" s="104" t="s">
        <v>386</v>
      </c>
      <c r="E205" s="105"/>
      <c r="F205" s="104"/>
      <c r="G205" s="47">
        <v>250</v>
      </c>
      <c r="H205" s="29"/>
    </row>
    <row r="206" spans="1:8" ht="12.75">
      <c r="A206" s="4" t="s">
        <v>73</v>
      </c>
      <c r="B206" s="4"/>
      <c r="C206" s="4"/>
      <c r="D206" s="102" t="s">
        <v>191</v>
      </c>
      <c r="E206" s="103"/>
      <c r="F206" s="4" t="s">
        <v>217</v>
      </c>
      <c r="G206" s="17">
        <v>52</v>
      </c>
      <c r="H206" s="17">
        <v>0</v>
      </c>
    </row>
    <row r="207" spans="1:8" ht="12" customHeight="1">
      <c r="A207" s="158"/>
      <c r="B207" s="158"/>
      <c r="C207" s="158"/>
      <c r="D207" s="104" t="s">
        <v>387</v>
      </c>
      <c r="E207" s="105"/>
      <c r="F207" s="105"/>
      <c r="G207" s="47">
        <v>52</v>
      </c>
      <c r="H207" s="158"/>
    </row>
    <row r="208" spans="1:8" ht="12.75">
      <c r="A208" s="4" t="s">
        <v>74</v>
      </c>
      <c r="B208" s="4"/>
      <c r="C208" s="4"/>
      <c r="D208" s="102" t="s">
        <v>192</v>
      </c>
      <c r="E208" s="103"/>
      <c r="F208" s="4" t="s">
        <v>218</v>
      </c>
      <c r="G208" s="17">
        <v>268</v>
      </c>
      <c r="H208" s="17">
        <v>0</v>
      </c>
    </row>
    <row r="209" spans="1:8" ht="12" customHeight="1">
      <c r="A209" s="158"/>
      <c r="B209" s="158"/>
      <c r="C209" s="158"/>
      <c r="D209" s="104" t="s">
        <v>388</v>
      </c>
      <c r="E209" s="105"/>
      <c r="F209" s="105"/>
      <c r="G209" s="47">
        <v>258</v>
      </c>
      <c r="H209" s="158"/>
    </row>
    <row r="210" spans="1:8" ht="12" customHeight="1">
      <c r="A210" s="4"/>
      <c r="B210" s="4"/>
      <c r="C210" s="4"/>
      <c r="D210" s="104" t="s">
        <v>389</v>
      </c>
      <c r="E210" s="105"/>
      <c r="F210" s="104"/>
      <c r="G210" s="47">
        <v>10</v>
      </c>
      <c r="H210" s="29"/>
    </row>
    <row r="211" spans="1:8" ht="12.75">
      <c r="A211" s="4" t="s">
        <v>75</v>
      </c>
      <c r="B211" s="4"/>
      <c r="C211" s="4"/>
      <c r="D211" s="102" t="s">
        <v>193</v>
      </c>
      <c r="E211" s="103"/>
      <c r="F211" s="4" t="s">
        <v>217</v>
      </c>
      <c r="G211" s="17">
        <v>160.56</v>
      </c>
      <c r="H211" s="17">
        <v>0</v>
      </c>
    </row>
    <row r="212" spans="1:8" ht="12" customHeight="1">
      <c r="A212" s="158"/>
      <c r="B212" s="158"/>
      <c r="C212" s="158"/>
      <c r="D212" s="104" t="s">
        <v>390</v>
      </c>
      <c r="E212" s="105"/>
      <c r="F212" s="105"/>
      <c r="G212" s="47">
        <v>146.63</v>
      </c>
      <c r="H212" s="158"/>
    </row>
    <row r="213" spans="1:8" ht="12" customHeight="1">
      <c r="A213" s="4"/>
      <c r="B213" s="4"/>
      <c r="C213" s="4"/>
      <c r="D213" s="104" t="s">
        <v>391</v>
      </c>
      <c r="E213" s="105"/>
      <c r="F213" s="104"/>
      <c r="G213" s="47">
        <v>13.93</v>
      </c>
      <c r="H213" s="29"/>
    </row>
    <row r="214" spans="1:8" ht="12.75">
      <c r="A214" s="4" t="s">
        <v>76</v>
      </c>
      <c r="B214" s="4"/>
      <c r="C214" s="4"/>
      <c r="D214" s="102" t="s">
        <v>194</v>
      </c>
      <c r="E214" s="103"/>
      <c r="F214" s="4" t="s">
        <v>219</v>
      </c>
      <c r="G214" s="17">
        <v>68.2</v>
      </c>
      <c r="H214" s="17">
        <v>0</v>
      </c>
    </row>
    <row r="215" spans="1:8" ht="12" customHeight="1">
      <c r="A215" s="158"/>
      <c r="B215" s="158"/>
      <c r="C215" s="158"/>
      <c r="D215" s="104" t="s">
        <v>392</v>
      </c>
      <c r="E215" s="105"/>
      <c r="F215" s="105"/>
      <c r="G215" s="47">
        <v>68.2</v>
      </c>
      <c r="H215" s="158"/>
    </row>
    <row r="216" spans="1:8" ht="12.75">
      <c r="A216" s="4" t="s">
        <v>77</v>
      </c>
      <c r="B216" s="4"/>
      <c r="C216" s="4"/>
      <c r="D216" s="102" t="s">
        <v>196</v>
      </c>
      <c r="E216" s="103"/>
      <c r="F216" s="4" t="s">
        <v>217</v>
      </c>
      <c r="G216" s="17">
        <v>149.2</v>
      </c>
      <c r="H216" s="17">
        <v>0</v>
      </c>
    </row>
    <row r="217" spans="1:8" ht="12" customHeight="1">
      <c r="A217" s="158"/>
      <c r="B217" s="158"/>
      <c r="C217" s="158"/>
      <c r="D217" s="104" t="s">
        <v>393</v>
      </c>
      <c r="E217" s="105"/>
      <c r="F217" s="105"/>
      <c r="G217" s="47">
        <v>149.2</v>
      </c>
      <c r="H217" s="158"/>
    </row>
    <row r="218" spans="1:8" ht="12.75">
      <c r="A218" s="4" t="s">
        <v>78</v>
      </c>
      <c r="B218" s="4"/>
      <c r="C218" s="4"/>
      <c r="D218" s="102" t="s">
        <v>197</v>
      </c>
      <c r="E218" s="103"/>
      <c r="F218" s="4" t="s">
        <v>217</v>
      </c>
      <c r="G218" s="17">
        <v>427.473</v>
      </c>
      <c r="H218" s="17">
        <v>0</v>
      </c>
    </row>
    <row r="219" spans="1:8" ht="12" customHeight="1">
      <c r="A219" s="158"/>
      <c r="B219" s="158"/>
      <c r="C219" s="158"/>
      <c r="D219" s="104" t="s">
        <v>394</v>
      </c>
      <c r="E219" s="105"/>
      <c r="F219" s="105"/>
      <c r="G219" s="47">
        <v>427.473</v>
      </c>
      <c r="H219" s="158"/>
    </row>
    <row r="220" spans="1:8" ht="12.75">
      <c r="A220" s="4" t="s">
        <v>79</v>
      </c>
      <c r="B220" s="4"/>
      <c r="C220" s="4"/>
      <c r="D220" s="102" t="s">
        <v>198</v>
      </c>
      <c r="E220" s="103"/>
      <c r="F220" s="4" t="s">
        <v>217</v>
      </c>
      <c r="G220" s="17">
        <v>256.011</v>
      </c>
      <c r="H220" s="17">
        <v>0</v>
      </c>
    </row>
    <row r="221" spans="1:8" ht="12" customHeight="1">
      <c r="A221" s="158"/>
      <c r="B221" s="158"/>
      <c r="C221" s="158"/>
      <c r="D221" s="104" t="s">
        <v>395</v>
      </c>
      <c r="E221" s="105"/>
      <c r="F221" s="105"/>
      <c r="G221" s="47">
        <v>256.011</v>
      </c>
      <c r="H221" s="158"/>
    </row>
    <row r="222" spans="1:8" ht="12.75">
      <c r="A222" s="4" t="s">
        <v>80</v>
      </c>
      <c r="B222" s="4"/>
      <c r="C222" s="4"/>
      <c r="D222" s="102" t="s">
        <v>199</v>
      </c>
      <c r="E222" s="103"/>
      <c r="F222" s="4" t="s">
        <v>217</v>
      </c>
      <c r="G222" s="17">
        <v>25</v>
      </c>
      <c r="H222" s="17">
        <v>0</v>
      </c>
    </row>
    <row r="223" spans="1:8" ht="12" customHeight="1">
      <c r="A223" s="158"/>
      <c r="B223" s="158"/>
      <c r="C223" s="158"/>
      <c r="D223" s="104" t="s">
        <v>350</v>
      </c>
      <c r="E223" s="105"/>
      <c r="F223" s="105"/>
      <c r="G223" s="47">
        <v>25</v>
      </c>
      <c r="H223" s="158"/>
    </row>
    <row r="224" spans="1:8" ht="12.75">
      <c r="A224" s="4" t="s">
        <v>81</v>
      </c>
      <c r="B224" s="4"/>
      <c r="C224" s="4"/>
      <c r="D224" s="102" t="s">
        <v>201</v>
      </c>
      <c r="E224" s="103"/>
      <c r="F224" s="4" t="s">
        <v>220</v>
      </c>
      <c r="G224" s="17">
        <v>58.615</v>
      </c>
      <c r="H224" s="17">
        <v>0</v>
      </c>
    </row>
    <row r="225" spans="1:8" ht="12" customHeight="1">
      <c r="A225" s="158"/>
      <c r="B225" s="158"/>
      <c r="C225" s="158"/>
      <c r="D225" s="104" t="s">
        <v>396</v>
      </c>
      <c r="E225" s="105"/>
      <c r="F225" s="105"/>
      <c r="G225" s="47">
        <v>58.615</v>
      </c>
      <c r="H225" s="158"/>
    </row>
    <row r="226" spans="1:8" ht="12.75">
      <c r="A226" s="4" t="s">
        <v>82</v>
      </c>
      <c r="B226" s="4"/>
      <c r="C226" s="4"/>
      <c r="D226" s="102" t="s">
        <v>203</v>
      </c>
      <c r="E226" s="103"/>
      <c r="F226" s="4" t="s">
        <v>219</v>
      </c>
      <c r="G226" s="17">
        <v>30</v>
      </c>
      <c r="H226" s="17">
        <v>0</v>
      </c>
    </row>
    <row r="227" spans="1:8" ht="12" customHeight="1">
      <c r="A227" s="158"/>
      <c r="B227" s="158"/>
      <c r="C227" s="158"/>
      <c r="D227" s="104" t="s">
        <v>397</v>
      </c>
      <c r="E227" s="105"/>
      <c r="F227" s="105"/>
      <c r="G227" s="47">
        <v>30</v>
      </c>
      <c r="H227" s="158"/>
    </row>
    <row r="228" spans="1:8" ht="12.75">
      <c r="A228" s="4" t="s">
        <v>83</v>
      </c>
      <c r="B228" s="4"/>
      <c r="C228" s="4"/>
      <c r="D228" s="102" t="s">
        <v>205</v>
      </c>
      <c r="E228" s="103"/>
      <c r="F228" s="4" t="s">
        <v>220</v>
      </c>
      <c r="G228" s="17">
        <v>54.5</v>
      </c>
      <c r="H228" s="17">
        <v>0</v>
      </c>
    </row>
    <row r="229" spans="1:8" ht="12" customHeight="1">
      <c r="A229" s="158"/>
      <c r="B229" s="158"/>
      <c r="C229" s="158"/>
      <c r="D229" s="104" t="s">
        <v>398</v>
      </c>
      <c r="E229" s="105"/>
      <c r="F229" s="105"/>
      <c r="G229" s="47">
        <v>54.5</v>
      </c>
      <c r="H229" s="158"/>
    </row>
    <row r="230" spans="1:8" ht="12.75">
      <c r="A230" s="4" t="s">
        <v>84</v>
      </c>
      <c r="B230" s="4"/>
      <c r="C230" s="4"/>
      <c r="D230" s="102" t="s">
        <v>206</v>
      </c>
      <c r="E230" s="103"/>
      <c r="F230" s="4" t="s">
        <v>220</v>
      </c>
      <c r="G230" s="17">
        <v>54.5</v>
      </c>
      <c r="H230" s="17">
        <v>0</v>
      </c>
    </row>
    <row r="231" spans="1:8" ht="12" customHeight="1">
      <c r="A231" s="158"/>
      <c r="B231" s="158"/>
      <c r="C231" s="158"/>
      <c r="D231" s="104" t="s">
        <v>398</v>
      </c>
      <c r="E231" s="105"/>
      <c r="F231" s="105"/>
      <c r="G231" s="47">
        <v>54.5</v>
      </c>
      <c r="H231" s="158"/>
    </row>
    <row r="232" spans="1:8" ht="12.75">
      <c r="A232" s="4" t="s">
        <v>85</v>
      </c>
      <c r="B232" s="4"/>
      <c r="C232" s="4"/>
      <c r="D232" s="102" t="s">
        <v>207</v>
      </c>
      <c r="E232" s="103"/>
      <c r="F232" s="4" t="s">
        <v>220</v>
      </c>
      <c r="G232" s="17">
        <v>163.5</v>
      </c>
      <c r="H232" s="17">
        <v>0</v>
      </c>
    </row>
    <row r="233" spans="1:8" ht="12" customHeight="1">
      <c r="A233" s="158"/>
      <c r="B233" s="158"/>
      <c r="C233" s="158"/>
      <c r="D233" s="104" t="s">
        <v>399</v>
      </c>
      <c r="E233" s="105"/>
      <c r="F233" s="105"/>
      <c r="G233" s="47">
        <v>163.5</v>
      </c>
      <c r="H233" s="158"/>
    </row>
    <row r="234" spans="1:8" ht="12.75">
      <c r="A234" s="4" t="s">
        <v>86</v>
      </c>
      <c r="B234" s="4"/>
      <c r="C234" s="4"/>
      <c r="D234" s="102" t="s">
        <v>208</v>
      </c>
      <c r="E234" s="103"/>
      <c r="F234" s="4" t="s">
        <v>220</v>
      </c>
      <c r="G234" s="17">
        <v>54.5</v>
      </c>
      <c r="H234" s="17">
        <v>0</v>
      </c>
    </row>
    <row r="235" spans="1:8" ht="12" customHeight="1">
      <c r="A235" s="158"/>
      <c r="B235" s="158"/>
      <c r="C235" s="158"/>
      <c r="D235" s="104" t="s">
        <v>398</v>
      </c>
      <c r="E235" s="105"/>
      <c r="F235" s="105"/>
      <c r="G235" s="47">
        <v>54.5</v>
      </c>
      <c r="H235" s="158"/>
    </row>
    <row r="236" spans="1:8" ht="12.75">
      <c r="A236" s="4" t="s">
        <v>87</v>
      </c>
      <c r="B236" s="4"/>
      <c r="C236" s="4"/>
      <c r="D236" s="102" t="s">
        <v>209</v>
      </c>
      <c r="E236" s="103"/>
      <c r="F236" s="4" t="s">
        <v>220</v>
      </c>
      <c r="G236" s="17">
        <v>54.5</v>
      </c>
      <c r="H236" s="17">
        <v>0</v>
      </c>
    </row>
    <row r="237" spans="1:8" ht="12" customHeight="1">
      <c r="A237" s="158"/>
      <c r="B237" s="158"/>
      <c r="C237" s="158"/>
      <c r="D237" s="104" t="s">
        <v>398</v>
      </c>
      <c r="E237" s="105"/>
      <c r="F237" s="105"/>
      <c r="G237" s="47">
        <v>54.5</v>
      </c>
      <c r="H237" s="158"/>
    </row>
    <row r="238" spans="1:8" ht="12.75">
      <c r="A238" s="4" t="s">
        <v>88</v>
      </c>
      <c r="B238" s="4"/>
      <c r="C238" s="4"/>
      <c r="D238" s="102" t="s">
        <v>210</v>
      </c>
      <c r="E238" s="103"/>
      <c r="F238" s="4" t="s">
        <v>220</v>
      </c>
      <c r="G238" s="17">
        <v>54.5</v>
      </c>
      <c r="H238" s="17">
        <v>0</v>
      </c>
    </row>
    <row r="239" spans="1:8" ht="12" customHeight="1">
      <c r="A239" s="158"/>
      <c r="B239" s="158"/>
      <c r="C239" s="158"/>
      <c r="D239" s="104" t="s">
        <v>398</v>
      </c>
      <c r="E239" s="105"/>
      <c r="F239" s="105"/>
      <c r="G239" s="47">
        <v>54.5</v>
      </c>
      <c r="H239" s="158"/>
    </row>
    <row r="240" spans="1:8" ht="12.75">
      <c r="A240" s="4" t="s">
        <v>89</v>
      </c>
      <c r="B240" s="4"/>
      <c r="C240" s="4"/>
      <c r="D240" s="102" t="s">
        <v>211</v>
      </c>
      <c r="E240" s="103"/>
      <c r="F240" s="4" t="s">
        <v>220</v>
      </c>
      <c r="G240" s="17">
        <v>54.5</v>
      </c>
      <c r="H240" s="17">
        <v>0</v>
      </c>
    </row>
    <row r="241" spans="1:8" ht="12" customHeight="1">
      <c r="A241" s="158"/>
      <c r="B241" s="158"/>
      <c r="C241" s="158"/>
      <c r="D241" s="104" t="s">
        <v>398</v>
      </c>
      <c r="E241" s="105"/>
      <c r="F241" s="105"/>
      <c r="G241" s="47">
        <v>54.5</v>
      </c>
      <c r="H241" s="158"/>
    </row>
    <row r="242" spans="1:8" ht="12.75">
      <c r="A242" s="158"/>
      <c r="B242" s="158"/>
      <c r="C242" s="158"/>
      <c r="D242" s="158"/>
      <c r="E242" s="158"/>
      <c r="F242" s="158"/>
      <c r="G242" s="158"/>
      <c r="H242" s="158"/>
    </row>
    <row r="243" spans="1:8" ht="11.25" customHeight="1">
      <c r="A243" s="9" t="s">
        <v>90</v>
      </c>
      <c r="B243" s="158"/>
      <c r="C243" s="158"/>
      <c r="D243" s="158"/>
      <c r="E243" s="158"/>
      <c r="F243" s="158"/>
      <c r="G243" s="158"/>
      <c r="H243" s="158"/>
    </row>
    <row r="244" spans="1:8" ht="12.75">
      <c r="A244" s="75"/>
      <c r="B244" s="76"/>
      <c r="C244" s="76"/>
      <c r="D244" s="76"/>
      <c r="E244" s="76"/>
      <c r="F244" s="76"/>
      <c r="G244" s="76"/>
      <c r="H244" s="158"/>
    </row>
  </sheetData>
  <sheetProtection password="CC2B" sheet="1"/>
  <mergeCells count="250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  <mergeCell ref="D10:E10"/>
    <mergeCell ref="D11:E11"/>
    <mergeCell ref="D12:F12"/>
    <mergeCell ref="D13:E13"/>
    <mergeCell ref="D14:F14"/>
    <mergeCell ref="D15:F15"/>
    <mergeCell ref="D16:F16"/>
    <mergeCell ref="D17:F17"/>
    <mergeCell ref="D18:F18"/>
    <mergeCell ref="D19:F19"/>
    <mergeCell ref="D20:F20"/>
    <mergeCell ref="D21:F21"/>
    <mergeCell ref="D22:E22"/>
    <mergeCell ref="D23:F23"/>
    <mergeCell ref="D24:E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E37"/>
    <mergeCell ref="D38:F38"/>
    <mergeCell ref="D39:E39"/>
    <mergeCell ref="D40:F40"/>
    <mergeCell ref="D41:F41"/>
    <mergeCell ref="D42:F42"/>
    <mergeCell ref="D43:F43"/>
    <mergeCell ref="D44:F44"/>
    <mergeCell ref="D45:F45"/>
    <mergeCell ref="D46:F46"/>
    <mergeCell ref="D47:F47"/>
    <mergeCell ref="D48:E48"/>
    <mergeCell ref="D49:F49"/>
    <mergeCell ref="D50:E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E62"/>
    <mergeCell ref="D63:F63"/>
    <mergeCell ref="D64:E64"/>
    <mergeCell ref="D65:F65"/>
    <mergeCell ref="D66:E66"/>
    <mergeCell ref="D67:F67"/>
    <mergeCell ref="D68:E68"/>
    <mergeCell ref="D69:F69"/>
    <mergeCell ref="D70:E70"/>
    <mergeCell ref="D71:F71"/>
    <mergeCell ref="D72:E72"/>
    <mergeCell ref="D73:F73"/>
    <mergeCell ref="D74:E74"/>
    <mergeCell ref="D75:F75"/>
    <mergeCell ref="D76:E76"/>
    <mergeCell ref="D77:F77"/>
    <mergeCell ref="D78:F78"/>
    <mergeCell ref="D79:F79"/>
    <mergeCell ref="D80:E80"/>
    <mergeCell ref="D81:F81"/>
    <mergeCell ref="D82:E82"/>
    <mergeCell ref="D83:F83"/>
    <mergeCell ref="D84:E84"/>
    <mergeCell ref="D85:F85"/>
    <mergeCell ref="D86:E86"/>
    <mergeCell ref="D87:F87"/>
    <mergeCell ref="D88:E88"/>
    <mergeCell ref="D89:F89"/>
    <mergeCell ref="D90:E90"/>
    <mergeCell ref="D91:F91"/>
    <mergeCell ref="D92:E92"/>
    <mergeCell ref="D93:F93"/>
    <mergeCell ref="D94:E94"/>
    <mergeCell ref="D95:F95"/>
    <mergeCell ref="D96:E96"/>
    <mergeCell ref="D97:F97"/>
    <mergeCell ref="D98:E98"/>
    <mergeCell ref="D99:F99"/>
    <mergeCell ref="D100:E100"/>
    <mergeCell ref="D101:F101"/>
    <mergeCell ref="D102:E102"/>
    <mergeCell ref="D103:F103"/>
    <mergeCell ref="D104:E104"/>
    <mergeCell ref="D105:F105"/>
    <mergeCell ref="D106:E106"/>
    <mergeCell ref="D107:F107"/>
    <mergeCell ref="D108:E108"/>
    <mergeCell ref="D109:F109"/>
    <mergeCell ref="D110:F110"/>
    <mergeCell ref="D111:F111"/>
    <mergeCell ref="D112:E112"/>
    <mergeCell ref="D113:F113"/>
    <mergeCell ref="D114:F114"/>
    <mergeCell ref="D115:F115"/>
    <mergeCell ref="D116:E116"/>
    <mergeCell ref="D117:F117"/>
    <mergeCell ref="D118:E118"/>
    <mergeCell ref="D119:F119"/>
    <mergeCell ref="D120:E120"/>
    <mergeCell ref="D121:F121"/>
    <mergeCell ref="D122:E122"/>
    <mergeCell ref="D123:F123"/>
    <mergeCell ref="D124:E124"/>
    <mergeCell ref="D125:F125"/>
    <mergeCell ref="D126:E126"/>
    <mergeCell ref="D127:F127"/>
    <mergeCell ref="D128:E128"/>
    <mergeCell ref="D129:F129"/>
    <mergeCell ref="D130:E130"/>
    <mergeCell ref="D131:F131"/>
    <mergeCell ref="D132:E132"/>
    <mergeCell ref="D133:F133"/>
    <mergeCell ref="D134:F134"/>
    <mergeCell ref="D135:F135"/>
    <mergeCell ref="D136:F136"/>
    <mergeCell ref="D137:F137"/>
    <mergeCell ref="D138:F138"/>
    <mergeCell ref="D139:F139"/>
    <mergeCell ref="D140:F140"/>
    <mergeCell ref="D141:F141"/>
    <mergeCell ref="D142:E142"/>
    <mergeCell ref="D143:F143"/>
    <mergeCell ref="D144:F144"/>
    <mergeCell ref="D145:F145"/>
    <mergeCell ref="D146:F146"/>
    <mergeCell ref="D147:E147"/>
    <mergeCell ref="D148:F148"/>
    <mergeCell ref="D149:F149"/>
    <mergeCell ref="D150:E150"/>
    <mergeCell ref="D151:F151"/>
    <mergeCell ref="D152:F152"/>
    <mergeCell ref="D153:E153"/>
    <mergeCell ref="D154:F154"/>
    <mergeCell ref="D155:E155"/>
    <mergeCell ref="D156:F156"/>
    <mergeCell ref="D157:E157"/>
    <mergeCell ref="D158:F158"/>
    <mergeCell ref="D159:E159"/>
    <mergeCell ref="D160:F160"/>
    <mergeCell ref="D161:E161"/>
    <mergeCell ref="D162:F162"/>
    <mergeCell ref="D163:E163"/>
    <mergeCell ref="D164:F164"/>
    <mergeCell ref="D165:E165"/>
    <mergeCell ref="D166:F166"/>
    <mergeCell ref="D167:E167"/>
    <mergeCell ref="D168:F168"/>
    <mergeCell ref="D169:E169"/>
    <mergeCell ref="D170:F170"/>
    <mergeCell ref="D171:E171"/>
    <mergeCell ref="D172:F172"/>
    <mergeCell ref="D173:E173"/>
    <mergeCell ref="D174:F174"/>
    <mergeCell ref="D175:E175"/>
    <mergeCell ref="D176:F176"/>
    <mergeCell ref="D177:F177"/>
    <mergeCell ref="D178:F178"/>
    <mergeCell ref="D179:E179"/>
    <mergeCell ref="D180:F180"/>
    <mergeCell ref="D181:E181"/>
    <mergeCell ref="D182:F182"/>
    <mergeCell ref="D183:E183"/>
    <mergeCell ref="D184:F184"/>
    <mergeCell ref="D185:E185"/>
    <mergeCell ref="D186:F186"/>
    <mergeCell ref="D187:E187"/>
    <mergeCell ref="D188:F188"/>
    <mergeCell ref="D189:F189"/>
    <mergeCell ref="D190:E190"/>
    <mergeCell ref="D191:F191"/>
    <mergeCell ref="D192:E192"/>
    <mergeCell ref="D193:F193"/>
    <mergeCell ref="D194:E194"/>
    <mergeCell ref="D195:F195"/>
    <mergeCell ref="D196:E196"/>
    <mergeCell ref="D197:F197"/>
    <mergeCell ref="D198:F198"/>
    <mergeCell ref="D199:E199"/>
    <mergeCell ref="D200:F200"/>
    <mergeCell ref="D201:F201"/>
    <mergeCell ref="D202:E202"/>
    <mergeCell ref="D203:F203"/>
    <mergeCell ref="D204:F204"/>
    <mergeCell ref="D205:F205"/>
    <mergeCell ref="D206:E206"/>
    <mergeCell ref="D207:F207"/>
    <mergeCell ref="D208:E208"/>
    <mergeCell ref="D209:F209"/>
    <mergeCell ref="D210:F210"/>
    <mergeCell ref="D211:E211"/>
    <mergeCell ref="D212:F212"/>
    <mergeCell ref="D213:F213"/>
    <mergeCell ref="D214:E214"/>
    <mergeCell ref="D215:F215"/>
    <mergeCell ref="D216:E216"/>
    <mergeCell ref="D217:F217"/>
    <mergeCell ref="D218:E218"/>
    <mergeCell ref="D219:F219"/>
    <mergeCell ref="D220:E220"/>
    <mergeCell ref="D221:F221"/>
    <mergeCell ref="D222:E222"/>
    <mergeCell ref="D223:F223"/>
    <mergeCell ref="D224:E224"/>
    <mergeCell ref="D225:F225"/>
    <mergeCell ref="D237:F237"/>
    <mergeCell ref="D226:E226"/>
    <mergeCell ref="D227:F227"/>
    <mergeCell ref="D228:E228"/>
    <mergeCell ref="D229:F229"/>
    <mergeCell ref="D230:E230"/>
    <mergeCell ref="D231:F231"/>
    <mergeCell ref="D238:E238"/>
    <mergeCell ref="D239:F239"/>
    <mergeCell ref="D240:E240"/>
    <mergeCell ref="D241:F241"/>
    <mergeCell ref="A244:G244"/>
    <mergeCell ref="D232:E232"/>
    <mergeCell ref="D233:F233"/>
    <mergeCell ref="D234:E234"/>
    <mergeCell ref="D235:F235"/>
    <mergeCell ref="D236:E236"/>
  </mergeCells>
  <printOptions/>
  <pageMargins left="0.394" right="0.394" top="0.591" bottom="0.591" header="0.5" footer="0.5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I1"/>
    </sheetView>
  </sheetViews>
  <sheetFormatPr defaultColWidth="11.57421875" defaultRowHeight="12.75"/>
  <cols>
    <col min="1" max="1" width="9.140625" style="138" customWidth="1"/>
    <col min="2" max="2" width="12.8515625" style="138" customWidth="1"/>
    <col min="3" max="3" width="22.8515625" style="138" customWidth="1"/>
    <col min="4" max="4" width="10.00390625" style="138" customWidth="1"/>
    <col min="5" max="5" width="14.00390625" style="138" customWidth="1"/>
    <col min="6" max="6" width="25.00390625" style="138" customWidth="1"/>
    <col min="7" max="7" width="11.8515625" style="138" customWidth="1"/>
    <col min="8" max="8" width="12.8515625" style="138" customWidth="1"/>
    <col min="9" max="9" width="22.8515625" style="138" customWidth="1"/>
    <col min="10" max="16384" width="11.57421875" style="138" customWidth="1"/>
  </cols>
  <sheetData>
    <row r="1" spans="1:9" ht="39.75" customHeight="1">
      <c r="A1" s="136" t="s">
        <v>444</v>
      </c>
      <c r="B1" s="136"/>
      <c r="C1" s="136"/>
      <c r="D1" s="136"/>
      <c r="E1" s="136"/>
      <c r="F1" s="136"/>
      <c r="G1" s="136"/>
      <c r="H1" s="136"/>
      <c r="I1" s="136"/>
    </row>
    <row r="2" spans="1:10" ht="12.75" customHeight="1">
      <c r="A2" s="91" t="s">
        <v>0</v>
      </c>
      <c r="B2" s="92"/>
      <c r="C2" s="97" t="s">
        <v>448</v>
      </c>
      <c r="D2" s="100"/>
      <c r="E2" s="96" t="s">
        <v>225</v>
      </c>
      <c r="F2" s="96" t="s">
        <v>445</v>
      </c>
      <c r="G2" s="92"/>
      <c r="H2" s="96" t="s">
        <v>440</v>
      </c>
      <c r="I2" s="137"/>
      <c r="J2" s="141"/>
    </row>
    <row r="3" spans="1:10" ht="12.75">
      <c r="A3" s="83"/>
      <c r="B3" s="78"/>
      <c r="C3" s="101"/>
      <c r="D3" s="101"/>
      <c r="E3" s="78"/>
      <c r="F3" s="78"/>
      <c r="G3" s="78"/>
      <c r="H3" s="78"/>
      <c r="I3" s="84"/>
      <c r="J3" s="141"/>
    </row>
    <row r="4" spans="1:10" ht="12.75" customHeight="1">
      <c r="A4" s="77" t="s">
        <v>1</v>
      </c>
      <c r="B4" s="78"/>
      <c r="C4" s="88"/>
      <c r="D4" s="101"/>
      <c r="E4" s="81" t="s">
        <v>226</v>
      </c>
      <c r="F4" s="81" t="s">
        <v>449</v>
      </c>
      <c r="G4" s="78"/>
      <c r="H4" s="81" t="s">
        <v>440</v>
      </c>
      <c r="I4" s="134"/>
      <c r="J4" s="141"/>
    </row>
    <row r="5" spans="1:10" ht="12.75">
      <c r="A5" s="83"/>
      <c r="B5" s="78"/>
      <c r="C5" s="101"/>
      <c r="D5" s="101"/>
      <c r="E5" s="78"/>
      <c r="F5" s="78"/>
      <c r="G5" s="78"/>
      <c r="H5" s="78"/>
      <c r="I5" s="84"/>
      <c r="J5" s="141"/>
    </row>
    <row r="6" spans="1:10" ht="12.75">
      <c r="A6" s="77" t="s">
        <v>2</v>
      </c>
      <c r="B6" s="78"/>
      <c r="C6" s="135" t="s">
        <v>446</v>
      </c>
      <c r="D6" s="135"/>
      <c r="E6" s="81" t="s">
        <v>227</v>
      </c>
      <c r="F6" s="144"/>
      <c r="G6" s="142"/>
      <c r="H6" s="81" t="s">
        <v>440</v>
      </c>
      <c r="I6" s="162"/>
      <c r="J6" s="141"/>
    </row>
    <row r="7" spans="1:10" ht="12.75">
      <c r="A7" s="83"/>
      <c r="B7" s="78"/>
      <c r="C7" s="135"/>
      <c r="D7" s="135"/>
      <c r="E7" s="78"/>
      <c r="F7" s="142"/>
      <c r="G7" s="142"/>
      <c r="H7" s="78"/>
      <c r="I7" s="145"/>
      <c r="J7" s="141"/>
    </row>
    <row r="8" spans="1:10" ht="12.75" customHeight="1">
      <c r="A8" s="77" t="s">
        <v>213</v>
      </c>
      <c r="B8" s="78"/>
      <c r="C8" s="143"/>
      <c r="D8" s="142"/>
      <c r="E8" s="81" t="s">
        <v>214</v>
      </c>
      <c r="F8" s="142"/>
      <c r="G8" s="142"/>
      <c r="H8" s="82" t="s">
        <v>441</v>
      </c>
      <c r="I8" s="134" t="s">
        <v>89</v>
      </c>
      <c r="J8" s="141"/>
    </row>
    <row r="9" spans="1:10" ht="12.75">
      <c r="A9" s="83"/>
      <c r="B9" s="78"/>
      <c r="C9" s="142"/>
      <c r="D9" s="142"/>
      <c r="E9" s="78"/>
      <c r="F9" s="142"/>
      <c r="G9" s="142"/>
      <c r="H9" s="78"/>
      <c r="I9" s="84"/>
      <c r="J9" s="141"/>
    </row>
    <row r="10" spans="1:10" ht="12.75">
      <c r="A10" s="77" t="s">
        <v>3</v>
      </c>
      <c r="B10" s="78"/>
      <c r="C10" s="81"/>
      <c r="D10" s="78"/>
      <c r="E10" s="81" t="s">
        <v>228</v>
      </c>
      <c r="F10" s="146"/>
      <c r="G10" s="142"/>
      <c r="H10" s="82" t="s">
        <v>442</v>
      </c>
      <c r="I10" s="163"/>
      <c r="J10" s="141"/>
    </row>
    <row r="11" spans="1:10" ht="12.75">
      <c r="A11" s="132"/>
      <c r="B11" s="133"/>
      <c r="C11" s="133"/>
      <c r="D11" s="133"/>
      <c r="E11" s="133"/>
      <c r="F11" s="142"/>
      <c r="G11" s="142"/>
      <c r="H11" s="133"/>
      <c r="I11" s="164"/>
      <c r="J11" s="141"/>
    </row>
    <row r="12" spans="1:9" ht="23.25" customHeight="1">
      <c r="A12" s="128" t="s">
        <v>401</v>
      </c>
      <c r="B12" s="129"/>
      <c r="C12" s="129"/>
      <c r="D12" s="129"/>
      <c r="E12" s="129"/>
      <c r="F12" s="129"/>
      <c r="G12" s="129"/>
      <c r="H12" s="129"/>
      <c r="I12" s="129"/>
    </row>
    <row r="13" spans="1:10" ht="26.25" customHeight="1">
      <c r="A13" s="50" t="s">
        <v>402</v>
      </c>
      <c r="B13" s="130" t="s">
        <v>414</v>
      </c>
      <c r="C13" s="131"/>
      <c r="D13" s="50" t="s">
        <v>416</v>
      </c>
      <c r="E13" s="130" t="s">
        <v>425</v>
      </c>
      <c r="F13" s="131"/>
      <c r="G13" s="50" t="s">
        <v>426</v>
      </c>
      <c r="H13" s="130" t="s">
        <v>443</v>
      </c>
      <c r="I13" s="131"/>
      <c r="J13" s="141"/>
    </row>
    <row r="14" spans="1:10" ht="15" customHeight="1">
      <c r="A14" s="51" t="s">
        <v>403</v>
      </c>
      <c r="B14" s="55" t="s">
        <v>415</v>
      </c>
      <c r="C14" s="59">
        <f>SUM('Stavební rozpočet'!AB12:AB114)</f>
        <v>0</v>
      </c>
      <c r="D14" s="126" t="s">
        <v>417</v>
      </c>
      <c r="E14" s="127"/>
      <c r="F14" s="65" t="s">
        <v>450</v>
      </c>
      <c r="G14" s="126" t="s">
        <v>427</v>
      </c>
      <c r="H14" s="127"/>
      <c r="I14" s="165">
        <v>0</v>
      </c>
      <c r="J14" s="141"/>
    </row>
    <row r="15" spans="1:10" ht="15" customHeight="1">
      <c r="A15" s="52"/>
      <c r="B15" s="55" t="s">
        <v>232</v>
      </c>
      <c r="C15" s="59">
        <f>SUM('Stavební rozpočet'!AC12:AC114)</f>
        <v>0</v>
      </c>
      <c r="D15" s="126" t="s">
        <v>418</v>
      </c>
      <c r="E15" s="127"/>
      <c r="F15" s="65" t="s">
        <v>450</v>
      </c>
      <c r="G15" s="126" t="s">
        <v>428</v>
      </c>
      <c r="H15" s="127"/>
      <c r="I15" s="165">
        <v>0</v>
      </c>
      <c r="J15" s="141"/>
    </row>
    <row r="16" spans="1:10" ht="15" customHeight="1">
      <c r="A16" s="51" t="s">
        <v>404</v>
      </c>
      <c r="B16" s="55" t="s">
        <v>415</v>
      </c>
      <c r="C16" s="59">
        <f>SUM('Stavební rozpočet'!AD12:AD114)</f>
        <v>0</v>
      </c>
      <c r="D16" s="126" t="s">
        <v>419</v>
      </c>
      <c r="E16" s="127"/>
      <c r="F16" s="65" t="s">
        <v>450</v>
      </c>
      <c r="G16" s="126" t="s">
        <v>429</v>
      </c>
      <c r="H16" s="127"/>
      <c r="I16" s="165">
        <v>0</v>
      </c>
      <c r="J16" s="141"/>
    </row>
    <row r="17" spans="1:10" ht="15" customHeight="1">
      <c r="A17" s="52"/>
      <c r="B17" s="55" t="s">
        <v>232</v>
      </c>
      <c r="C17" s="59">
        <f>SUM('Stavební rozpočet'!AE12:AE114)</f>
        <v>0</v>
      </c>
      <c r="D17" s="126"/>
      <c r="E17" s="127"/>
      <c r="F17" s="60"/>
      <c r="G17" s="126" t="s">
        <v>430</v>
      </c>
      <c r="H17" s="127"/>
      <c r="I17" s="165">
        <v>0</v>
      </c>
      <c r="J17" s="141"/>
    </row>
    <row r="18" spans="1:10" ht="15" customHeight="1">
      <c r="A18" s="51" t="s">
        <v>405</v>
      </c>
      <c r="B18" s="55" t="s">
        <v>415</v>
      </c>
      <c r="C18" s="59">
        <f>SUM('Stavební rozpočet'!AF12:AF114)</f>
        <v>0</v>
      </c>
      <c r="D18" s="126"/>
      <c r="E18" s="127"/>
      <c r="F18" s="60"/>
      <c r="G18" s="126" t="s">
        <v>431</v>
      </c>
      <c r="H18" s="127"/>
      <c r="I18" s="65" t="s">
        <v>450</v>
      </c>
      <c r="J18" s="141"/>
    </row>
    <row r="19" spans="1:10" ht="15" customHeight="1">
      <c r="A19" s="52"/>
      <c r="B19" s="55" t="s">
        <v>232</v>
      </c>
      <c r="C19" s="59">
        <f>SUM('Stavební rozpočet'!AG12:AG114)</f>
        <v>0</v>
      </c>
      <c r="D19" s="126"/>
      <c r="E19" s="127"/>
      <c r="F19" s="60"/>
      <c r="G19" s="126" t="s">
        <v>432</v>
      </c>
      <c r="H19" s="127"/>
      <c r="I19" s="65" t="s">
        <v>450</v>
      </c>
      <c r="J19" s="141"/>
    </row>
    <row r="20" spans="1:10" ht="15" customHeight="1">
      <c r="A20" s="124" t="s">
        <v>406</v>
      </c>
      <c r="B20" s="125"/>
      <c r="C20" s="59">
        <f>SUM('Stavební rozpočet'!AH12:AH114)</f>
        <v>0</v>
      </c>
      <c r="D20" s="126"/>
      <c r="E20" s="127"/>
      <c r="F20" s="60"/>
      <c r="G20" s="126"/>
      <c r="H20" s="127"/>
      <c r="I20" s="60"/>
      <c r="J20" s="141"/>
    </row>
    <row r="21" spans="1:10" ht="15" customHeight="1">
      <c r="A21" s="124" t="s">
        <v>407</v>
      </c>
      <c r="B21" s="125"/>
      <c r="C21" s="59">
        <f>SUM('Stavební rozpočet'!Z12:Z114)</f>
        <v>0</v>
      </c>
      <c r="D21" s="126"/>
      <c r="E21" s="127"/>
      <c r="F21" s="60"/>
      <c r="G21" s="126"/>
      <c r="H21" s="127"/>
      <c r="I21" s="60"/>
      <c r="J21" s="141"/>
    </row>
    <row r="22" spans="1:10" ht="16.5" customHeight="1">
      <c r="A22" s="124" t="s">
        <v>408</v>
      </c>
      <c r="B22" s="125"/>
      <c r="C22" s="59">
        <f>SUM(C14:C21)</f>
        <v>0</v>
      </c>
      <c r="D22" s="124" t="s">
        <v>420</v>
      </c>
      <c r="E22" s="125"/>
      <c r="F22" s="59">
        <f>SUM(F14:F21)</f>
        <v>0</v>
      </c>
      <c r="G22" s="124" t="s">
        <v>433</v>
      </c>
      <c r="H22" s="125"/>
      <c r="I22" s="59">
        <f>SUM(I14:I21)</f>
        <v>0</v>
      </c>
      <c r="J22" s="141"/>
    </row>
    <row r="23" spans="1:10" ht="15" customHeight="1">
      <c r="A23" s="8"/>
      <c r="B23" s="8"/>
      <c r="C23" s="57"/>
      <c r="D23" s="124" t="s">
        <v>421</v>
      </c>
      <c r="E23" s="125"/>
      <c r="F23" s="61">
        <v>0</v>
      </c>
      <c r="G23" s="124" t="s">
        <v>434</v>
      </c>
      <c r="H23" s="125"/>
      <c r="I23" s="59">
        <v>0</v>
      </c>
      <c r="J23" s="141"/>
    </row>
    <row r="24" spans="1:10" ht="15" customHeight="1">
      <c r="A24" s="158"/>
      <c r="B24" s="158"/>
      <c r="C24" s="158"/>
      <c r="D24" s="8"/>
      <c r="E24" s="8"/>
      <c r="F24" s="62"/>
      <c r="G24" s="124" t="s">
        <v>435</v>
      </c>
      <c r="H24" s="125"/>
      <c r="I24" s="59">
        <v>0</v>
      </c>
      <c r="J24" s="141"/>
    </row>
    <row r="25" spans="1:10" ht="15" customHeight="1">
      <c r="A25" s="158"/>
      <c r="B25" s="158"/>
      <c r="C25" s="158"/>
      <c r="D25" s="158"/>
      <c r="E25" s="158"/>
      <c r="F25" s="63"/>
      <c r="G25" s="124" t="s">
        <v>436</v>
      </c>
      <c r="H25" s="125"/>
      <c r="I25" s="59">
        <v>0</v>
      </c>
      <c r="J25" s="141"/>
    </row>
    <row r="26" spans="1:9" ht="12.75">
      <c r="A26" s="49"/>
      <c r="B26" s="49"/>
      <c r="C26" s="49"/>
      <c r="D26" s="158"/>
      <c r="E26" s="158"/>
      <c r="F26" s="158"/>
      <c r="G26" s="8"/>
      <c r="H26" s="8"/>
      <c r="I26" s="8"/>
    </row>
    <row r="27" spans="1:9" ht="15" customHeight="1">
      <c r="A27" s="119" t="s">
        <v>409</v>
      </c>
      <c r="B27" s="120"/>
      <c r="C27" s="64">
        <f>SUM('Stavební rozpočet'!AJ12:AJ114)</f>
        <v>0</v>
      </c>
      <c r="D27" s="58"/>
      <c r="E27" s="49"/>
      <c r="F27" s="49"/>
      <c r="G27" s="49"/>
      <c r="H27" s="49"/>
      <c r="I27" s="49"/>
    </row>
    <row r="28" spans="1:10" ht="15" customHeight="1">
      <c r="A28" s="119" t="s">
        <v>410</v>
      </c>
      <c r="B28" s="120"/>
      <c r="C28" s="64">
        <f>SUM('Stavební rozpočet'!AK12:AK114)</f>
        <v>0</v>
      </c>
      <c r="D28" s="119" t="s">
        <v>422</v>
      </c>
      <c r="E28" s="120"/>
      <c r="F28" s="64">
        <f>ROUND(C28*(15/100),2)</f>
        <v>0</v>
      </c>
      <c r="G28" s="119" t="s">
        <v>437</v>
      </c>
      <c r="H28" s="120"/>
      <c r="I28" s="64">
        <f>SUM(C27:C29)</f>
        <v>0</v>
      </c>
      <c r="J28" s="141"/>
    </row>
    <row r="29" spans="1:10" ht="15" customHeight="1">
      <c r="A29" s="119" t="s">
        <v>411</v>
      </c>
      <c r="B29" s="120"/>
      <c r="C29" s="64">
        <f>SUM('Stavební rozpočet'!AL12:AL114)+(F22+I22+F23+I23+I24+I25)</f>
        <v>0</v>
      </c>
      <c r="D29" s="119" t="s">
        <v>423</v>
      </c>
      <c r="E29" s="120"/>
      <c r="F29" s="64">
        <f>ROUND(C29*(21/100),2)</f>
        <v>0</v>
      </c>
      <c r="G29" s="119" t="s">
        <v>438</v>
      </c>
      <c r="H29" s="120"/>
      <c r="I29" s="64">
        <f>SUM(F28:F29)+I28</f>
        <v>0</v>
      </c>
      <c r="J29" s="141"/>
    </row>
    <row r="30" spans="1:9" ht="12.75">
      <c r="A30" s="53"/>
      <c r="B30" s="53"/>
      <c r="C30" s="53"/>
      <c r="D30" s="53"/>
      <c r="E30" s="53"/>
      <c r="F30" s="53"/>
      <c r="G30" s="53"/>
      <c r="H30" s="53"/>
      <c r="I30" s="53"/>
    </row>
    <row r="31" spans="1:10" ht="14.25" customHeight="1">
      <c r="A31" s="121" t="s">
        <v>412</v>
      </c>
      <c r="B31" s="122"/>
      <c r="C31" s="123"/>
      <c r="D31" s="121" t="s">
        <v>424</v>
      </c>
      <c r="E31" s="122"/>
      <c r="F31" s="123"/>
      <c r="G31" s="121" t="s">
        <v>439</v>
      </c>
      <c r="H31" s="122"/>
      <c r="I31" s="123"/>
      <c r="J31" s="148"/>
    </row>
    <row r="32" spans="1:10" ht="14.25" customHeight="1">
      <c r="A32" s="166"/>
      <c r="B32" s="167"/>
      <c r="C32" s="168"/>
      <c r="D32" s="166"/>
      <c r="E32" s="167"/>
      <c r="F32" s="168"/>
      <c r="G32" s="166"/>
      <c r="H32" s="167"/>
      <c r="I32" s="168"/>
      <c r="J32" s="148"/>
    </row>
    <row r="33" spans="1:10" ht="14.25" customHeight="1">
      <c r="A33" s="166"/>
      <c r="B33" s="167"/>
      <c r="C33" s="168"/>
      <c r="D33" s="166"/>
      <c r="E33" s="167"/>
      <c r="F33" s="168"/>
      <c r="G33" s="166"/>
      <c r="H33" s="167"/>
      <c r="I33" s="168"/>
      <c r="J33" s="148"/>
    </row>
    <row r="34" spans="1:10" ht="14.25" customHeight="1">
      <c r="A34" s="166"/>
      <c r="B34" s="167"/>
      <c r="C34" s="168"/>
      <c r="D34" s="166"/>
      <c r="E34" s="167"/>
      <c r="F34" s="168"/>
      <c r="G34" s="166"/>
      <c r="H34" s="167"/>
      <c r="I34" s="168"/>
      <c r="J34" s="148"/>
    </row>
    <row r="35" spans="1:10" ht="14.25" customHeight="1">
      <c r="A35" s="116" t="s">
        <v>413</v>
      </c>
      <c r="B35" s="117"/>
      <c r="C35" s="118"/>
      <c r="D35" s="116" t="s">
        <v>413</v>
      </c>
      <c r="E35" s="117"/>
      <c r="F35" s="118"/>
      <c r="G35" s="116" t="s">
        <v>413</v>
      </c>
      <c r="H35" s="117"/>
      <c r="I35" s="118"/>
      <c r="J35" s="148"/>
    </row>
    <row r="36" spans="1:9" ht="11.25" customHeight="1">
      <c r="A36" s="54" t="s">
        <v>90</v>
      </c>
      <c r="B36" s="56"/>
      <c r="C36" s="56"/>
      <c r="D36" s="56"/>
      <c r="E36" s="56"/>
      <c r="F36" s="56"/>
      <c r="G36" s="56"/>
      <c r="H36" s="56"/>
      <c r="I36" s="56"/>
    </row>
    <row r="37" spans="1:9" ht="12.75">
      <c r="A37" s="75"/>
      <c r="B37" s="76"/>
      <c r="C37" s="76"/>
      <c r="D37" s="76"/>
      <c r="E37" s="76"/>
      <c r="F37" s="76"/>
      <c r="G37" s="76"/>
      <c r="H37" s="76"/>
      <c r="I37" s="76"/>
    </row>
    <row r="39" ht="12.75">
      <c r="I39" s="169"/>
    </row>
  </sheetData>
  <sheetProtection password="CC2B" sheet="1"/>
  <mergeCells count="83">
    <mergeCell ref="F2:G3"/>
    <mergeCell ref="H2:H3"/>
    <mergeCell ref="I2:I3"/>
    <mergeCell ref="A1:I1"/>
    <mergeCell ref="A4:B5"/>
    <mergeCell ref="C4:D5"/>
    <mergeCell ref="E4:E5"/>
    <mergeCell ref="F4:G5"/>
    <mergeCell ref="H4:H5"/>
    <mergeCell ref="I4:I5"/>
    <mergeCell ref="A2:B3"/>
    <mergeCell ref="C2:D3"/>
    <mergeCell ref="E2:E3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 Semerád</cp:lastModifiedBy>
  <cp:lastPrinted>2020-05-27T06:02:38Z</cp:lastPrinted>
  <dcterms:modified xsi:type="dcterms:W3CDTF">2020-05-27T06:13:40Z</dcterms:modified>
  <cp:category/>
  <cp:version/>
  <cp:contentType/>
  <cp:contentStatus/>
</cp:coreProperties>
</file>