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<sst xmlns="http://schemas.openxmlformats.org/spreadsheetml/2006/main" count="760" uniqueCount="339">
  <si>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</si>
  <si>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</si>
  <si>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</si>
  <si>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</si>
  <si>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</si>
  <si>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</si>
  <si>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</si>
  <si>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</si>
  <si>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</si>
  <si>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</si>
  <si>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</si>
  <si>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</si>
  <si>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</si>
  <si>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</si>
  <si>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</si>
  <si>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</si>
  <si>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</si>
  <si>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</si>
  <si>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</si>
  <si>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</si>
  <si>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</si>
  <si>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</si>
  <si>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</si>
  <si>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</si>
  <si>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</si>
  <si>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</si>
  <si>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</si>
  <si>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</si>
  <si>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</si>
  <si>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</si>
  <si>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</si>
  <si>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</si>
  <si>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</si>
  <si>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</si>
  <si>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</si>
  <si>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</si>
  <si>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</si>
  <si>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</si>
  <si>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</si>
  <si>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</si>
  <si>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</si>
  <si>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</si>
  <si>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</si>
  <si>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</si>
  <si>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</si>
  <si>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</si>
  <si>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</si>
  <si>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</si>
  <si>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</si>
  <si>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</si>
  <si>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</si>
  <si>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</si>
  <si>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</si>
  <si>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</si>
  <si>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</si>
  <si>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</si>
  <si>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</si>
  <si>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</si>
  <si>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</si>
  <si>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</si>
  <si>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</si>
  <si>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</si>
  <si>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</si>
  <si>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</si>
  <si>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</si>
  <si>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Poznámka:</t>
  </si>
  <si>
    <t>Kód</t>
  </si>
  <si>
    <t>0</t>
  </si>
  <si>
    <t>071377111R00</t>
  </si>
  <si>
    <t>071377112R00</t>
  </si>
  <si>
    <t>071377212R00</t>
  </si>
  <si>
    <t>762</t>
  </si>
  <si>
    <t>762342204RT4</t>
  </si>
  <si>
    <t>762342203RT4</t>
  </si>
  <si>
    <t>998762102R00</t>
  </si>
  <si>
    <t>762341210R00</t>
  </si>
  <si>
    <t>60512562</t>
  </si>
  <si>
    <t>762395000R00</t>
  </si>
  <si>
    <t>764</t>
  </si>
  <si>
    <t>7649011099VV</t>
  </si>
  <si>
    <t>00 RV-0058</t>
  </si>
  <si>
    <t>765901221R00</t>
  </si>
  <si>
    <t>553530068</t>
  </si>
  <si>
    <t>765332511R00</t>
  </si>
  <si>
    <t>764919911R00</t>
  </si>
  <si>
    <t>764919922R00</t>
  </si>
  <si>
    <t>764919931R00</t>
  </si>
  <si>
    <t>764339391R00</t>
  </si>
  <si>
    <t>764918331R00</t>
  </si>
  <si>
    <t>764918332R00</t>
  </si>
  <si>
    <t>765311752RT1</t>
  </si>
  <si>
    <t>764252410RAB</t>
  </si>
  <si>
    <t>998764102R00</t>
  </si>
  <si>
    <t>766</t>
  </si>
  <si>
    <t>766423113R00</t>
  </si>
  <si>
    <t>61191698.A</t>
  </si>
  <si>
    <t>766427112R00</t>
  </si>
  <si>
    <t>998766102R00</t>
  </si>
  <si>
    <t>783</t>
  </si>
  <si>
    <t>783782210R00</t>
  </si>
  <si>
    <t>783626310R00</t>
  </si>
  <si>
    <t>90</t>
  </si>
  <si>
    <t>900      R02</t>
  </si>
  <si>
    <t>94</t>
  </si>
  <si>
    <t>949941101RVV</t>
  </si>
  <si>
    <t>96</t>
  </si>
  <si>
    <t>764900010RAB</t>
  </si>
  <si>
    <t>764391820R00</t>
  </si>
  <si>
    <t>764392850R00</t>
  </si>
  <si>
    <t>764393830R00</t>
  </si>
  <si>
    <t>764339830R00</t>
  </si>
  <si>
    <t>764322830R00</t>
  </si>
  <si>
    <t>764900035RA0</t>
  </si>
  <si>
    <t>764362810R00</t>
  </si>
  <si>
    <t>712300831RT3</t>
  </si>
  <si>
    <t>762341811R00</t>
  </si>
  <si>
    <t>712300832VV</t>
  </si>
  <si>
    <t>M21</t>
  </si>
  <si>
    <t>212100002FF</t>
  </si>
  <si>
    <t>M43</t>
  </si>
  <si>
    <t>430441205R00</t>
  </si>
  <si>
    <t>S</t>
  </si>
  <si>
    <t>979011111R00</t>
  </si>
  <si>
    <t>979011121R00</t>
  </si>
  <si>
    <t>979082111R00</t>
  </si>
  <si>
    <t>979082121R00</t>
  </si>
  <si>
    <t>979081111R00</t>
  </si>
  <si>
    <t>979081121R00</t>
  </si>
  <si>
    <t>979086213R00</t>
  </si>
  <si>
    <t>979990001R00</t>
  </si>
  <si>
    <t>979990121R00</t>
  </si>
  <si>
    <t>Oprava střechy objektu č.p.11</t>
  </si>
  <si>
    <t>Dětský domov,praktická škola</t>
  </si>
  <si>
    <t>č.p.11 p.č.k. 12,k.ú. Staré Hraběcí</t>
  </si>
  <si>
    <t>Zkrácený popis</t>
  </si>
  <si>
    <t>Rozměry</t>
  </si>
  <si>
    <t>VRN</t>
  </si>
  <si>
    <t>Příprava staveniště</t>
  </si>
  <si>
    <t>1   </t>
  </si>
  <si>
    <t>Zařízení staveniště</t>
  </si>
  <si>
    <t>Územní vlivy</t>
  </si>
  <si>
    <t>Mimostaveništní doprava</t>
  </si>
  <si>
    <t>Konstrukce tesařské</t>
  </si>
  <si>
    <t>Montáž kontralatí přibitím</t>
  </si>
  <si>
    <t>290,5   </t>
  </si>
  <si>
    <t>Montáž laťování střech, vzdálenost latí 22 - 36 cm</t>
  </si>
  <si>
    <t>Přesun hmot pro tesařské konstrukce, výšky do 12 m</t>
  </si>
  <si>
    <t>Montáž bednění střech rovných, prkna hrubá na sraz</t>
  </si>
  <si>
    <t>290,5*0,3   </t>
  </si>
  <si>
    <t>Prkno SM/JD II. jak. tl. 3,2 dl. 200-390 š. 17-24</t>
  </si>
  <si>
    <t>290,5*0,3*0,024   </t>
  </si>
  <si>
    <t>;ztratné 10%; 0,20916   </t>
  </si>
  <si>
    <t>Spojovací a ochranné prostředky pro střechy</t>
  </si>
  <si>
    <t>2,4+87,15*0,024   </t>
  </si>
  <si>
    <t>Konstrukce klempířské</t>
  </si>
  <si>
    <t>;ztratné 13%; 37,765   </t>
  </si>
  <si>
    <t>Zábrana parotěsná střech</t>
  </si>
  <si>
    <t>Lemování  střešní okno 60X60</t>
  </si>
  <si>
    <t>4   </t>
  </si>
  <si>
    <t>36,8   </t>
  </si>
  <si>
    <t>6   </t>
  </si>
  <si>
    <t>19,3   </t>
  </si>
  <si>
    <t>6,9*0,3   </t>
  </si>
  <si>
    <t>34,3   </t>
  </si>
  <si>
    <t>13,6   </t>
  </si>
  <si>
    <t>K-7 Sněhový zachytávač dvoutrubkový</t>
  </si>
  <si>
    <t>K-9 žlab dle PD podokapní půlkruhový</t>
  </si>
  <si>
    <t>7,5   </t>
  </si>
  <si>
    <t>Přesun hmot pro klempířské konstr., výšky do 12 m</t>
  </si>
  <si>
    <t>Konstrukce truhlářské</t>
  </si>
  <si>
    <t>Obložení podhledů složitých, palubkami SM š. 10 cm</t>
  </si>
  <si>
    <t>(19,2+19,2+5,3+9,9+9,9+6,25+6,25)*0,45   </t>
  </si>
  <si>
    <t>Palubka obkladová JD tloušťka 16 šíře 121 mm</t>
  </si>
  <si>
    <t>;ztratné 14%; 4,788   </t>
  </si>
  <si>
    <t>Podkladový rošt pro obložení podhledů</t>
  </si>
  <si>
    <t>(19,2+19,2+5,3+9,9+9,9+6,25+6,25)*2   </t>
  </si>
  <si>
    <t>Přesun hmot pro truhlářské konstr., výšky do 12 m</t>
  </si>
  <si>
    <t>Nátěry</t>
  </si>
  <si>
    <t>1,4+87,15*2+290,5   </t>
  </si>
  <si>
    <t>Nátěr lazurovací truhlářských výrobků 2+1, Paulín</t>
  </si>
  <si>
    <t>(19,2+19,2+5,3+9,9+9,9+6,25+6,25)*0,45*2   </t>
  </si>
  <si>
    <t>Hodinové zúčtovací sazby (HZS)</t>
  </si>
  <si>
    <t>HZS-PRÁCE NEOBSAŽENÉ V CENÍKU MOŽNOST FAKTURACE PO SCHVÁLENÍ STAVEBNÍM DOZOREM NEBO INVESTOREM</t>
  </si>
  <si>
    <t>70   </t>
  </si>
  <si>
    <t>Lešení a stavební výtahy</t>
  </si>
  <si>
    <t>Výsuvná šplhací plošina, motorický zdvih, H 21 m</t>
  </si>
  <si>
    <t>20   </t>
  </si>
  <si>
    <t>Bourání konstrukcí</t>
  </si>
  <si>
    <t>Demontáž krytiny střech</t>
  </si>
  <si>
    <t>Demontáž závětrné lišty, rš 250 a 330 mm, do 30°</t>
  </si>
  <si>
    <t>Demontáž úžlabí,  do rš 660 mm, sklon do 30°</t>
  </si>
  <si>
    <t>Demontáž hřebene střechy, rš do 400 mm, do 30°</t>
  </si>
  <si>
    <t>Demontáž lemování komínů v ploše, hl. kryt, do 30°</t>
  </si>
  <si>
    <t>Demontáž oplechování okapů, , rš 250 mm, do 30°</t>
  </si>
  <si>
    <t>Demontáž podokapních žlabů půlkruhových</t>
  </si>
  <si>
    <t>Demontáž střešního okna, hladká krytina, do 30°</t>
  </si>
  <si>
    <t>Odstranění asfaltové krytiny střech do 10° 1vrstvé</t>
  </si>
  <si>
    <t>Demontáž bednění střech rovných z prken hrubých</t>
  </si>
  <si>
    <t>Odstranění živičného šindele střech do 10° 2vrstvé</t>
  </si>
  <si>
    <t>75   </t>
  </si>
  <si>
    <t>Elektromontáže</t>
  </si>
  <si>
    <t>Zdemontování  a zpětná montáž  hromosvodu dle PD včetně revize</t>
  </si>
  <si>
    <t>Montáže ocelových konstrukcí</t>
  </si>
  <si>
    <t>Pronájem plošiny do 24m</t>
  </si>
  <si>
    <t>48   </t>
  </si>
  <si>
    <t>Přesuny sutí</t>
  </si>
  <si>
    <t>Svislá doprava suti a vybour. hmot za 2.NP a 1.PP</t>
  </si>
  <si>
    <t>6,3   </t>
  </si>
  <si>
    <t>Příplatek za každé další podlaží</t>
  </si>
  <si>
    <t>6,3*2   </t>
  </si>
  <si>
    <t>Vnitrostaveništní doprava suti do 10 m</t>
  </si>
  <si>
    <t>Příplatek k vnitrost. dopravě suti za dalších 5 m</t>
  </si>
  <si>
    <t>6,3*3   </t>
  </si>
  <si>
    <t>Odvoz suti a vybour. hmot na skládku do 1 km</t>
  </si>
  <si>
    <t>Příplatek k odvozu za každý další 1 km</t>
  </si>
  <si>
    <t>6,3*43   </t>
  </si>
  <si>
    <t>Nakládání vybouraných hmot na dopravní prostředek</t>
  </si>
  <si>
    <t>Poplatek za skládku stavební suti</t>
  </si>
  <si>
    <t>6,3-(1,743+0,75)   </t>
  </si>
  <si>
    <t>Poplatek za skládku suti - asfaltové pásy-šindel</t>
  </si>
  <si>
    <t>1,743+0,75   </t>
  </si>
  <si>
    <t>Doba výstavby:</t>
  </si>
  <si>
    <t>Začátek výstavby:</t>
  </si>
  <si>
    <t>Konec výstavby:</t>
  </si>
  <si>
    <t>Zpracováno dne:</t>
  </si>
  <si>
    <t>19.05.2020</t>
  </si>
  <si>
    <t>MJ</t>
  </si>
  <si>
    <t>soub</t>
  </si>
  <si>
    <t>m2</t>
  </si>
  <si>
    <t>t</t>
  </si>
  <si>
    <t>m3</t>
  </si>
  <si>
    <t>kus</t>
  </si>
  <si>
    <t>m</t>
  </si>
  <si>
    <t>h</t>
  </si>
  <si>
    <t>den</t>
  </si>
  <si>
    <t>hod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</si>
  <si>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</si>
  <si>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</si>
  <si>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</si>
  <si>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</si>
  <si>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</si>
  <si>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</si>
  <si>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</si>
  <si>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IIng. David Dvořák Tř. 9. května 1127/25 Rumburk</t>
  </si>
  <si>
    <t>Bude vybrán ve výběrovém řízení</t>
  </si>
  <si>
    <t>Ing. David Dvořák</t>
  </si>
  <si>
    <t>Náklady (Kč)</t>
  </si>
  <si>
    <t>Dodávka</t>
  </si>
  <si>
    <t>Celkem:</t>
  </si>
  <si>
    <t>Montáž</t>
  </si>
  <si>
    <t>Celkem</t>
  </si>
  <si>
    <t>Cenová</t>
  </si>
  <si>
    <t>soustava</t>
  </si>
  <si>
    <t>RTS II / 2019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</si>
  <si>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</si>
  <si>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</si>
  <si>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</si>
  <si>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</si>
  <si>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</si>
  <si>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</si>
  <si>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</si>
  <si>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</si>
  <si>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</si>
  <si>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1b</t>
  </si>
  <si>
    <t>0_</t>
  </si>
  <si>
    <t>762_</t>
  </si>
  <si>
    <t>764_</t>
  </si>
  <si>
    <t>766_</t>
  </si>
  <si>
    <t>783_</t>
  </si>
  <si>
    <t>90_</t>
  </si>
  <si>
    <t>94_</t>
  </si>
  <si>
    <t>96_</t>
  </si>
  <si>
    <t>M21_</t>
  </si>
  <si>
    <t>M43_</t>
  </si>
  <si>
    <t>S_</t>
  </si>
  <si>
    <t>76_</t>
  </si>
  <si>
    <t>78_</t>
  </si>
  <si>
    <t>9_</t>
  </si>
  <si>
    <t>1b_</t>
  </si>
  <si>
    <t>_</t>
  </si>
  <si>
    <t>MAT</t>
  </si>
  <si>
    <t>WORK</t>
  </si>
  <si>
    <t>CELK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</si>
  <si>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</si>
  <si>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</si>
  <si>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</si>
  <si>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</si>
  <si>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</si>
  <si>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</si>
  <si>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</si>
  <si>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</si>
  <si>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</si>
  <si>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</si>
  <si>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</si>
  <si>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</si>
  <si>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</si>
  <si>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</si>
  <si>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</si>
  <si>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</si>
  <si>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</si>
  <si>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</si>
  <si>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</si>
  <si>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</si>
  <si>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</si>
  <si>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</si>
  <si>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</si>
  <si>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</si>
  <si>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</si>
  <si>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</si>
  <si>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</si>
  <si>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Mimostav. doprava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</si>
  <si>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</si>
  <si>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</si>
  <si>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</si>
  <si>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</si>
  <si>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</si>
  <si>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</si>
  <si>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</si>
  <si>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</si>
  <si>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</si>
  <si>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</si>
  <si>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</si>
  <si>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</si>
  <si>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</si>
  <si>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</si>
  <si>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Montáž velkoformátové profilované střešní plech krytiny imit.střeš.tašky na latě</t>
  </si>
  <si>
    <t>Velkoformátová profilovaná střešní plech.krytina imit.střeš.tašky barva dle  výběru investora</t>
  </si>
  <si>
    <t>Střešní VÝLEZ dle PD 60 x 60 cm</t>
  </si>
  <si>
    <t xml:space="preserve"> K-2 D+M systémové úžlabí z ocel. lak. plechu, rš nad 500 mm</t>
  </si>
  <si>
    <t xml:space="preserve"> K-1 D+M systémová závětrná lišta z ocel. lakovaného plechu 330</t>
  </si>
  <si>
    <t>K-3 D+M systémový hřeben střechy z lakovaného plechu</t>
  </si>
  <si>
    <t xml:space="preserve">KONCOVÝ SYST.HŘEBENÁČ </t>
  </si>
  <si>
    <t>Rozddělovač hřebenáče</t>
  </si>
  <si>
    <t>Technický prostup</t>
  </si>
  <si>
    <t>K-4D+M lemování komínů PZ lakovaný plech rš 300mm</t>
  </si>
  <si>
    <t>K-5 D+M systém. lemov. na plochých střech. rš 250</t>
  </si>
  <si>
    <t>K-6 D+M systémového přechodového plechu s těsněním zlak.plech. rš 300</t>
  </si>
  <si>
    <t>Nátěr tesařských konstrukcí impregnační prostředek 2x</t>
  </si>
  <si>
    <t>Dětský domov Palackého třída 515, 288 02 Nymburk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</si>
</sst>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11" fillId="34" borderId="26" xfId="0" applyNumberFormat="1" applyFont="1" applyFill="1" applyBorder="1" applyAlignment="1" applyProtection="1">
      <alignment horizontal="center" vertical="center"/>
      <protection/>
    </xf>
    <xf numFmtId="49" fontId="12" fillId="0" borderId="27" xfId="0" applyNumberFormat="1" applyFont="1" applyFill="1" applyBorder="1" applyAlignment="1" applyProtection="1">
      <alignment horizontal="left" vertical="center"/>
      <protection/>
    </xf>
    <xf numFmtId="49" fontId="12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3" fillId="0" borderId="26" xfId="0" applyNumberFormat="1" applyFont="1" applyFill="1" applyBorder="1" applyAlignment="1" applyProtection="1">
      <alignment horizontal="right" vertical="center"/>
      <protection/>
    </xf>
    <xf numFmtId="49" fontId="13" fillId="0" borderId="26" xfId="0" applyNumberFormat="1" applyFont="1" applyFill="1" applyBorder="1" applyAlignment="1" applyProtection="1">
      <alignment horizontal="right" vertical="center"/>
      <protection/>
    </xf>
    <xf numFmtId="4" fontId="13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2" fillId="34" borderId="35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left" vertical="center"/>
      <protection/>
    </xf>
    <xf numFmtId="0" fontId="3" fillId="0" borderId="37" xfId="0" applyNumberFormat="1" applyFont="1" applyFill="1" applyBorder="1" applyAlignment="1" applyProtection="1">
      <alignment horizontal="left" vertical="center"/>
      <protection/>
    </xf>
    <xf numFmtId="0" fontId="3" fillId="0" borderId="38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32" xfId="0" applyNumberFormat="1" applyFont="1" applyFill="1" applyBorder="1" applyAlignment="1" applyProtection="1">
      <alignment horizontal="left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44" xfId="0" applyNumberFormat="1" applyFont="1" applyFill="1" applyBorder="1" applyAlignment="1" applyProtection="1">
      <alignment horizontal="left" vertical="center"/>
      <protection/>
    </xf>
    <xf numFmtId="49" fontId="13" fillId="0" borderId="45" xfId="0" applyNumberFormat="1" applyFont="1" applyFill="1" applyBorder="1" applyAlignment="1" applyProtection="1">
      <alignment horizontal="left" vertical="center"/>
      <protection/>
    </xf>
    <xf numFmtId="0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46" xfId="0" applyNumberFormat="1" applyFont="1" applyFill="1" applyBorder="1" applyAlignment="1" applyProtection="1">
      <alignment horizontal="left" vertical="center"/>
      <protection/>
    </xf>
    <xf numFmtId="49" fontId="12" fillId="34" borderId="34" xfId="0" applyNumberFormat="1" applyFont="1" applyFill="1" applyBorder="1" applyAlignment="1" applyProtection="1">
      <alignment horizontal="left" vertical="center"/>
      <protection/>
    </xf>
    <xf numFmtId="0" fontId="12" fillId="34" borderId="47" xfId="0" applyNumberFormat="1" applyFont="1" applyFill="1" applyBorder="1" applyAlignment="1" applyProtection="1">
      <alignment horizontal="left" vertical="center"/>
      <protection/>
    </xf>
    <xf numFmtId="49" fontId="13" fillId="0" borderId="48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49" xfId="0" applyNumberFormat="1" applyFont="1" applyFill="1" applyBorder="1" applyAlignment="1" applyProtection="1">
      <alignment horizontal="left" vertical="center"/>
      <protection/>
    </xf>
    <xf numFmtId="49" fontId="12" fillId="0" borderId="34" xfId="0" applyNumberFormat="1" applyFont="1" applyFill="1" applyBorder="1" applyAlignment="1" applyProtection="1">
      <alignment horizontal="left" vertical="center"/>
      <protection/>
    </xf>
    <xf numFmtId="0" fontId="12" fillId="0" borderId="35" xfId="0" applyNumberFormat="1" applyFont="1" applyFill="1" applyBorder="1" applyAlignment="1" applyProtection="1">
      <alignment horizontal="left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0" fontId="13" fillId="0" borderId="35" xfId="0" applyNumberFormat="1" applyFont="1" applyFill="1" applyBorder="1" applyAlignment="1" applyProtection="1">
      <alignment horizontal="left" vertical="center"/>
      <protection/>
    </xf>
    <xf numFmtId="49" fontId="10" fillId="0" borderId="47" xfId="0" applyNumberFormat="1" applyFont="1" applyFill="1" applyBorder="1" applyAlignment="1" applyProtection="1">
      <alignment horizontal="center" vertical="center"/>
      <protection/>
    </xf>
    <xf numFmtId="0" fontId="10" fillId="0" borderId="47" xfId="0" applyNumberFormat="1" applyFont="1" applyFill="1" applyBorder="1" applyAlignment="1" applyProtection="1">
      <alignment horizontal="center" vertical="center"/>
      <protection/>
    </xf>
    <xf numFmtId="49" fontId="14" fillId="0" borderId="34" xfId="0" applyNumberFormat="1" applyFont="1" applyFill="1" applyBorder="1" applyAlignment="1" applyProtection="1">
      <alignment horizontal="left" vertical="center"/>
      <protection/>
    </xf>
    <xf numFmtId="0" fontId="14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40"/>
  <sheetViews>
    <sheetView tabSelected="1" zoomScalePageLayoutView="0" workbookViewId="0" topLeftCell="A1">
      <pane ySplit="11" topLeftCell="A15" activePane="bottomLeft" state="frozen"/>
      <selection pane="topLeft" activeCell="A1" sqref="A1"/>
      <selection pane="bottomLeft" activeCell="C2" sqref="C2:C3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135.421875" style="0" customWidth="1"/>
    <col min="4" max="5" width="12.140625" style="0" customWidth="1"/>
    <col min="6" max="6" width="5.7109375" style="0" customWidth="1"/>
    <col min="7" max="7" width="12.7109375" style="0" customWidth="1"/>
    <col min="8" max="8" width="12.00390625" style="0" customWidth="1"/>
    <col min="9" max="11" width="14.28125" style="0" customWidth="1"/>
    <col min="12" max="12" width="14.7109375" style="0" customWidth="1"/>
    <col min="13" max="24" width="11.57421875" style="0" customWidth="1"/>
    <col min="25" max="62" width="9.7109375" style="0" hidden="1" customWidth="1"/>
  </cols>
  <sheetData>
    <row r="1" spans="1:12" ht="72.75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3" ht="12.75">
      <c r="A2" s="88" t="s">
        <v>1</v>
      </c>
      <c r="B2" s="89"/>
      <c r="C2" s="90" t="s">
        <v>131</v>
      </c>
      <c r="D2" s="92" t="s">
        <v>221</v>
      </c>
      <c r="E2" s="89"/>
      <c r="F2" s="92" t="s">
        <v>6</v>
      </c>
      <c r="G2" s="89"/>
      <c r="H2" s="93" t="s">
        <v>237</v>
      </c>
      <c r="I2" s="93" t="s">
        <v>338</v>
      </c>
      <c r="J2" s="89"/>
      <c r="K2" s="89"/>
      <c r="L2" s="94"/>
      <c r="M2" s="30"/>
    </row>
    <row r="3" spans="1:13" ht="12.75">
      <c r="A3" s="85"/>
      <c r="B3" s="55"/>
      <c r="C3" s="91"/>
      <c r="D3" s="55"/>
      <c r="E3" s="55"/>
      <c r="F3" s="55"/>
      <c r="G3" s="55"/>
      <c r="H3" s="55"/>
      <c r="I3" s="55"/>
      <c r="J3" s="55"/>
      <c r="K3" s="55"/>
      <c r="L3" s="74"/>
      <c r="M3" s="30"/>
    </row>
    <row r="4" spans="1:13" ht="12.75">
      <c r="A4" s="82" t="s">
        <v>2</v>
      </c>
      <c r="B4" s="55"/>
      <c r="C4" s="54" t="s">
        <v>132</v>
      </c>
      <c r="D4" s="84" t="s">
        <v>222</v>
      </c>
      <c r="E4" s="55"/>
      <c r="F4" s="84" t="s">
        <v>6</v>
      </c>
      <c r="G4" s="55"/>
      <c r="H4" s="54" t="s">
        <v>238</v>
      </c>
      <c r="I4" s="54" t="s">
        <v>243</v>
      </c>
      <c r="J4" s="55"/>
      <c r="K4" s="55"/>
      <c r="L4" s="74"/>
      <c r="M4" s="30"/>
    </row>
    <row r="5" spans="1:13" ht="12.75">
      <c r="A5" s="85"/>
      <c r="B5" s="55"/>
      <c r="C5" s="55"/>
      <c r="D5" s="55"/>
      <c r="E5" s="55"/>
      <c r="F5" s="55"/>
      <c r="G5" s="55"/>
      <c r="H5" s="55"/>
      <c r="I5" s="55"/>
      <c r="J5" s="55"/>
      <c r="K5" s="55"/>
      <c r="L5" s="74"/>
      <c r="M5" s="30"/>
    </row>
    <row r="6" spans="1:13" ht="12.75">
      <c r="A6" s="82" t="s">
        <v>3</v>
      </c>
      <c r="B6" s="55"/>
      <c r="C6" s="54" t="s">
        <v>133</v>
      </c>
      <c r="D6" s="84" t="s">
        <v>223</v>
      </c>
      <c r="E6" s="55"/>
      <c r="F6" s="84" t="s">
        <v>6</v>
      </c>
      <c r="G6" s="55"/>
      <c r="H6" s="54" t="s">
        <v>239</v>
      </c>
      <c r="I6" s="54" t="s">
        <v>244</v>
      </c>
      <c r="J6" s="55"/>
      <c r="K6" s="55"/>
      <c r="L6" s="74"/>
      <c r="M6" s="30"/>
    </row>
    <row r="7" spans="1:13" ht="12.75">
      <c r="A7" s="85"/>
      <c r="B7" s="55"/>
      <c r="C7" s="55"/>
      <c r="D7" s="55"/>
      <c r="E7" s="55"/>
      <c r="F7" s="55"/>
      <c r="G7" s="55"/>
      <c r="H7" s="55"/>
      <c r="I7" s="55"/>
      <c r="J7" s="55"/>
      <c r="K7" s="55"/>
      <c r="L7" s="74"/>
      <c r="M7" s="30"/>
    </row>
    <row r="8" spans="1:13" ht="12.75">
      <c r="A8" s="82" t="s">
        <v>4</v>
      </c>
      <c r="B8" s="55"/>
      <c r="C8" s="54" t="s">
        <v>6</v>
      </c>
      <c r="D8" s="84" t="s">
        <v>224</v>
      </c>
      <c r="E8" s="55"/>
      <c r="F8" s="84" t="s">
        <v>225</v>
      </c>
      <c r="G8" s="55"/>
      <c r="H8" s="54" t="s">
        <v>240</v>
      </c>
      <c r="I8" s="54" t="s">
        <v>245</v>
      </c>
      <c r="J8" s="55"/>
      <c r="K8" s="55"/>
      <c r="L8" s="74"/>
      <c r="M8" s="30"/>
    </row>
    <row r="9" spans="1:13" ht="12.75">
      <c r="A9" s="83"/>
      <c r="B9" s="73"/>
      <c r="C9" s="73"/>
      <c r="D9" s="73"/>
      <c r="E9" s="73"/>
      <c r="F9" s="73"/>
      <c r="G9" s="73"/>
      <c r="H9" s="73"/>
      <c r="I9" s="73"/>
      <c r="J9" s="73"/>
      <c r="K9" s="73"/>
      <c r="L9" s="75"/>
      <c r="M9" s="30"/>
    </row>
    <row r="10" spans="1:13" ht="12.75">
      <c r="A10" s="1" t="s">
        <v>5</v>
      </c>
      <c r="B10" s="10" t="s">
        <v>66</v>
      </c>
      <c r="C10" s="76" t="s">
        <v>134</v>
      </c>
      <c r="D10" s="77"/>
      <c r="E10" s="78"/>
      <c r="F10" s="10" t="s">
        <v>226</v>
      </c>
      <c r="G10" s="14" t="s">
        <v>236</v>
      </c>
      <c r="H10" s="19" t="s">
        <v>241</v>
      </c>
      <c r="I10" s="79" t="s">
        <v>246</v>
      </c>
      <c r="J10" s="80"/>
      <c r="K10" s="81"/>
      <c r="L10" s="24" t="s">
        <v>251</v>
      </c>
      <c r="M10" s="31"/>
    </row>
    <row r="11" spans="1:62" ht="12.75">
      <c r="A11" s="2" t="s">
        <v>6</v>
      </c>
      <c r="B11" s="11" t="s">
        <v>6</v>
      </c>
      <c r="C11" s="68" t="s">
        <v>135</v>
      </c>
      <c r="D11" s="69"/>
      <c r="E11" s="70"/>
      <c r="F11" s="11" t="s">
        <v>6</v>
      </c>
      <c r="G11" s="11" t="s">
        <v>6</v>
      </c>
      <c r="H11" s="20" t="s">
        <v>242</v>
      </c>
      <c r="I11" s="21" t="s">
        <v>247</v>
      </c>
      <c r="J11" s="22" t="s">
        <v>249</v>
      </c>
      <c r="K11" s="23" t="s">
        <v>250</v>
      </c>
      <c r="L11" s="25" t="s">
        <v>252</v>
      </c>
      <c r="M11" s="31"/>
      <c r="Z11" s="28" t="s">
        <v>254</v>
      </c>
      <c r="AA11" s="28" t="s">
        <v>255</v>
      </c>
      <c r="AB11" s="28" t="s">
        <v>256</v>
      </c>
      <c r="AC11" s="28" t="s">
        <v>257</v>
      </c>
      <c r="AD11" s="28" t="s">
        <v>258</v>
      </c>
      <c r="AE11" s="28" t="s">
        <v>259</v>
      </c>
      <c r="AF11" s="28" t="s">
        <v>260</v>
      </c>
      <c r="AG11" s="28" t="s">
        <v>261</v>
      </c>
      <c r="AH11" s="28" t="s">
        <v>262</v>
      </c>
      <c r="BH11" s="28" t="s">
        <v>280</v>
      </c>
      <c r="BI11" s="28" t="s">
        <v>281</v>
      </c>
      <c r="BJ11" s="28" t="s">
        <v>282</v>
      </c>
    </row>
    <row r="12" spans="1:47" ht="12.75">
      <c r="A12" s="3"/>
      <c r="B12" s="12" t="s">
        <v>67</v>
      </c>
      <c r="C12" s="71" t="s">
        <v>136</v>
      </c>
      <c r="D12" s="72"/>
      <c r="E12" s="72"/>
      <c r="F12" s="3" t="s">
        <v>6</v>
      </c>
      <c r="G12" s="3" t="s">
        <v>6</v>
      </c>
      <c r="H12" s="3" t="s">
        <v>6</v>
      </c>
      <c r="I12" s="34">
        <f>SUM(I13:I19)</f>
        <v>0</v>
      </c>
      <c r="J12" s="34">
        <f>SUM(J13:J19)</f>
        <v>0</v>
      </c>
      <c r="K12" s="34">
        <f>SUM(K13:K19)</f>
        <v>0</v>
      </c>
      <c r="L12" s="26"/>
      <c r="AI12" s="28"/>
      <c r="AS12" s="35">
        <f>SUM(AJ13:AJ19)</f>
        <v>0</v>
      </c>
      <c r="AT12" s="35">
        <f>SUM(AK13:AK19)</f>
        <v>0</v>
      </c>
      <c r="AU12" s="35">
        <f>SUM(AL13:AL19)</f>
        <v>0</v>
      </c>
    </row>
    <row r="13" spans="1:62" ht="12.75">
      <c r="A13" s="4" t="s">
        <v>7</v>
      </c>
      <c r="B13" s="4" t="s">
        <v>68</v>
      </c>
      <c r="C13" s="58" t="s">
        <v>137</v>
      </c>
      <c r="D13" s="59"/>
      <c r="E13" s="59"/>
      <c r="F13" s="4" t="s">
        <v>227</v>
      </c>
      <c r="G13" s="15">
        <v>1</v>
      </c>
      <c r="H13" s="15">
        <v>0</v>
      </c>
      <c r="I13" s="15">
        <f>G13*AO13</f>
        <v>0</v>
      </c>
      <c r="J13" s="15">
        <f>G13*AP13</f>
        <v>0</v>
      </c>
      <c r="K13" s="15">
        <f>G13*H13</f>
        <v>0</v>
      </c>
      <c r="L13" s="27" t="s">
        <v>253</v>
      </c>
      <c r="Z13" s="32">
        <f>IF(AQ13="5",BJ13,0)</f>
        <v>0</v>
      </c>
      <c r="AB13" s="32">
        <f>IF(AQ13="1",BH13,0)</f>
        <v>0</v>
      </c>
      <c r="AC13" s="32">
        <f>IF(AQ13="1",BI13,0)</f>
        <v>0</v>
      </c>
      <c r="AD13" s="32">
        <f>IF(AQ13="7",BH13,0)</f>
        <v>0</v>
      </c>
      <c r="AE13" s="32">
        <f>IF(AQ13="7",BI13,0)</f>
        <v>0</v>
      </c>
      <c r="AF13" s="32">
        <f>IF(AQ13="2",BH13,0)</f>
        <v>0</v>
      </c>
      <c r="AG13" s="32">
        <f>IF(AQ13="2",BI13,0)</f>
        <v>0</v>
      </c>
      <c r="AH13" s="32">
        <f>IF(AQ13="0",BJ13,0)</f>
        <v>0</v>
      </c>
      <c r="AI13" s="28" t="s">
        <v>263</v>
      </c>
      <c r="AJ13" s="15">
        <f>IF(AN13=0,K13,0)</f>
        <v>0</v>
      </c>
      <c r="AK13" s="15">
        <f>IF(AN13=15,K13,0)</f>
        <v>0</v>
      </c>
      <c r="AL13" s="15">
        <f>IF(AN13=21,K13,0)</f>
        <v>0</v>
      </c>
      <c r="AN13" s="32">
        <v>21</v>
      </c>
      <c r="AO13" s="32">
        <f>H13*0</f>
        <v>0</v>
      </c>
      <c r="AP13" s="32">
        <f>H13*(1-0)</f>
        <v>0</v>
      </c>
      <c r="AQ13" s="27" t="s">
        <v>7</v>
      </c>
      <c r="AV13" s="32">
        <f>AW13+AX13</f>
        <v>0</v>
      </c>
      <c r="AW13" s="32">
        <f>G13*AO13</f>
        <v>0</v>
      </c>
      <c r="AX13" s="32">
        <f>G13*AP13</f>
        <v>0</v>
      </c>
      <c r="AY13" s="33" t="s">
        <v>264</v>
      </c>
      <c r="AZ13" s="33" t="s">
        <v>264</v>
      </c>
      <c r="BA13" s="28" t="s">
        <v>278</v>
      </c>
      <c r="BC13" s="32">
        <f>AW13+AX13</f>
        <v>0</v>
      </c>
      <c r="BD13" s="32">
        <f>H13/(100-BE13)*100</f>
        <v>0</v>
      </c>
      <c r="BE13" s="32">
        <v>0</v>
      </c>
      <c r="BF13" s="32">
        <f>13</f>
        <v>13</v>
      </c>
      <c r="BH13" s="15">
        <f>G13*AO13</f>
        <v>0</v>
      </c>
      <c r="BI13" s="15">
        <f>G13*AP13</f>
        <v>0</v>
      </c>
      <c r="BJ13" s="15">
        <f>G13*H13</f>
        <v>0</v>
      </c>
    </row>
    <row r="14" spans="3:7" ht="10.5" customHeight="1">
      <c r="C14" s="56" t="s">
        <v>138</v>
      </c>
      <c r="D14" s="57"/>
      <c r="E14" s="57"/>
      <c r="G14" s="16">
        <v>1</v>
      </c>
    </row>
    <row r="15" spans="1:62" ht="12.75">
      <c r="A15" s="4" t="s">
        <v>8</v>
      </c>
      <c r="B15" s="4" t="s">
        <v>69</v>
      </c>
      <c r="C15" s="58" t="s">
        <v>139</v>
      </c>
      <c r="D15" s="59"/>
      <c r="E15" s="59"/>
      <c r="F15" s="4" t="s">
        <v>227</v>
      </c>
      <c r="G15" s="15">
        <v>1</v>
      </c>
      <c r="H15" s="15">
        <v>0</v>
      </c>
      <c r="I15" s="15">
        <f>G15*AO15</f>
        <v>0</v>
      </c>
      <c r="J15" s="15">
        <f>G15*AP15</f>
        <v>0</v>
      </c>
      <c r="K15" s="15">
        <f>G15*H15</f>
        <v>0</v>
      </c>
      <c r="L15" s="27" t="s">
        <v>253</v>
      </c>
      <c r="Z15" s="32">
        <f>IF(AQ15="5",BJ15,0)</f>
        <v>0</v>
      </c>
      <c r="AB15" s="32">
        <f>IF(AQ15="1",BH15,0)</f>
        <v>0</v>
      </c>
      <c r="AC15" s="32">
        <f>IF(AQ15="1",BI15,0)</f>
        <v>0</v>
      </c>
      <c r="AD15" s="32">
        <f>IF(AQ15="7",BH15,0)</f>
        <v>0</v>
      </c>
      <c r="AE15" s="32">
        <f>IF(AQ15="7",BI15,0)</f>
        <v>0</v>
      </c>
      <c r="AF15" s="32">
        <f>IF(AQ15="2",BH15,0)</f>
        <v>0</v>
      </c>
      <c r="AG15" s="32">
        <f>IF(AQ15="2",BI15,0)</f>
        <v>0</v>
      </c>
      <c r="AH15" s="32">
        <f>IF(AQ15="0",BJ15,0)</f>
        <v>0</v>
      </c>
      <c r="AI15" s="28" t="s">
        <v>263</v>
      </c>
      <c r="AJ15" s="15">
        <f>IF(AN15=0,K15,0)</f>
        <v>0</v>
      </c>
      <c r="AK15" s="15">
        <f>IF(AN15=15,K15,0)</f>
        <v>0</v>
      </c>
      <c r="AL15" s="15">
        <f>IF(AN15=21,K15,0)</f>
        <v>0</v>
      </c>
      <c r="AN15" s="32">
        <v>21</v>
      </c>
      <c r="AO15" s="32">
        <f>H15*0</f>
        <v>0</v>
      </c>
      <c r="AP15" s="32">
        <f>H15*(1-0)</f>
        <v>0</v>
      </c>
      <c r="AQ15" s="27" t="s">
        <v>7</v>
      </c>
      <c r="AV15" s="32">
        <f>AW15+AX15</f>
        <v>0</v>
      </c>
      <c r="AW15" s="32">
        <f>G15*AO15</f>
        <v>0</v>
      </c>
      <c r="AX15" s="32">
        <f>G15*AP15</f>
        <v>0</v>
      </c>
      <c r="AY15" s="33" t="s">
        <v>264</v>
      </c>
      <c r="AZ15" s="33" t="s">
        <v>264</v>
      </c>
      <c r="BA15" s="28" t="s">
        <v>278</v>
      </c>
      <c r="BC15" s="32">
        <f>AW15+AX15</f>
        <v>0</v>
      </c>
      <c r="BD15" s="32">
        <f>H15/(100-BE15)*100</f>
        <v>0</v>
      </c>
      <c r="BE15" s="32">
        <v>0</v>
      </c>
      <c r="BF15" s="32">
        <f>15</f>
        <v>15</v>
      </c>
      <c r="BH15" s="15">
        <f>G15*AO15</f>
        <v>0</v>
      </c>
      <c r="BI15" s="15">
        <f>G15*AP15</f>
        <v>0</v>
      </c>
      <c r="BJ15" s="15">
        <f>G15*H15</f>
        <v>0</v>
      </c>
    </row>
    <row r="16" spans="3:7" ht="10.5" customHeight="1">
      <c r="C16" s="56" t="s">
        <v>138</v>
      </c>
      <c r="D16" s="57"/>
      <c r="E16" s="57"/>
      <c r="G16" s="16">
        <v>1</v>
      </c>
    </row>
    <row r="17" spans="1:62" ht="12.75">
      <c r="A17" s="4" t="s">
        <v>9</v>
      </c>
      <c r="B17" s="4" t="s">
        <v>70</v>
      </c>
      <c r="C17" s="58" t="s">
        <v>140</v>
      </c>
      <c r="D17" s="59"/>
      <c r="E17" s="59"/>
      <c r="F17" s="4" t="s">
        <v>227</v>
      </c>
      <c r="G17" s="15">
        <v>1</v>
      </c>
      <c r="H17" s="15">
        <v>0</v>
      </c>
      <c r="I17" s="15">
        <f>G17*AO17</f>
        <v>0</v>
      </c>
      <c r="J17" s="15">
        <f>G17*AP17</f>
        <v>0</v>
      </c>
      <c r="K17" s="15">
        <f>G17*H17</f>
        <v>0</v>
      </c>
      <c r="L17" s="27" t="s">
        <v>253</v>
      </c>
      <c r="Z17" s="32">
        <f>IF(AQ17="5",BJ17,0)</f>
        <v>0</v>
      </c>
      <c r="AB17" s="32">
        <f>IF(AQ17="1",BH17,0)</f>
        <v>0</v>
      </c>
      <c r="AC17" s="32">
        <f>IF(AQ17="1",BI17,0)</f>
        <v>0</v>
      </c>
      <c r="AD17" s="32">
        <f>IF(AQ17="7",BH17,0)</f>
        <v>0</v>
      </c>
      <c r="AE17" s="32">
        <f>IF(AQ17="7",BI17,0)</f>
        <v>0</v>
      </c>
      <c r="AF17" s="32">
        <f>IF(AQ17="2",BH17,0)</f>
        <v>0</v>
      </c>
      <c r="AG17" s="32">
        <f>IF(AQ17="2",BI17,0)</f>
        <v>0</v>
      </c>
      <c r="AH17" s="32">
        <f>IF(AQ17="0",BJ17,0)</f>
        <v>0</v>
      </c>
      <c r="AI17" s="28" t="s">
        <v>263</v>
      </c>
      <c r="AJ17" s="15">
        <f>IF(AN17=0,K17,0)</f>
        <v>0</v>
      </c>
      <c r="AK17" s="15">
        <f>IF(AN17=15,K17,0)</f>
        <v>0</v>
      </c>
      <c r="AL17" s="15">
        <f>IF(AN17=21,K17,0)</f>
        <v>0</v>
      </c>
      <c r="AN17" s="32">
        <v>21</v>
      </c>
      <c r="AO17" s="32">
        <f>H17*0</f>
        <v>0</v>
      </c>
      <c r="AP17" s="32">
        <f>H17*(1-0)</f>
        <v>0</v>
      </c>
      <c r="AQ17" s="27" t="s">
        <v>7</v>
      </c>
      <c r="AV17" s="32">
        <f>AW17+AX17</f>
        <v>0</v>
      </c>
      <c r="AW17" s="32">
        <f>G17*AO17</f>
        <v>0</v>
      </c>
      <c r="AX17" s="32">
        <f>G17*AP17</f>
        <v>0</v>
      </c>
      <c r="AY17" s="33" t="s">
        <v>264</v>
      </c>
      <c r="AZ17" s="33" t="s">
        <v>264</v>
      </c>
      <c r="BA17" s="28" t="s">
        <v>278</v>
      </c>
      <c r="BC17" s="32">
        <f>AW17+AX17</f>
        <v>0</v>
      </c>
      <c r="BD17" s="32">
        <f>H17/(100-BE17)*100</f>
        <v>0</v>
      </c>
      <c r="BE17" s="32">
        <v>0</v>
      </c>
      <c r="BF17" s="32">
        <f>17</f>
        <v>17</v>
      </c>
      <c r="BH17" s="15">
        <f>G17*AO17</f>
        <v>0</v>
      </c>
      <c r="BI17" s="15">
        <f>G17*AP17</f>
        <v>0</v>
      </c>
      <c r="BJ17" s="15">
        <f>G17*H17</f>
        <v>0</v>
      </c>
    </row>
    <row r="18" spans="3:7" ht="10.5" customHeight="1">
      <c r="C18" s="56" t="s">
        <v>138</v>
      </c>
      <c r="D18" s="57"/>
      <c r="E18" s="57"/>
      <c r="G18" s="16">
        <v>1</v>
      </c>
    </row>
    <row r="19" spans="1:62" ht="12.75">
      <c r="A19" s="4" t="s">
        <v>10</v>
      </c>
      <c r="B19" s="4" t="s">
        <v>70</v>
      </c>
      <c r="C19" s="58" t="s">
        <v>141</v>
      </c>
      <c r="D19" s="59"/>
      <c r="E19" s="59"/>
      <c r="F19" s="4" t="s">
        <v>227</v>
      </c>
      <c r="G19" s="15">
        <v>1</v>
      </c>
      <c r="H19" s="15">
        <v>0</v>
      </c>
      <c r="I19" s="15">
        <f>G19*AO19</f>
        <v>0</v>
      </c>
      <c r="J19" s="15">
        <f>G19*AP19</f>
        <v>0</v>
      </c>
      <c r="K19" s="15">
        <f>G19*H19</f>
        <v>0</v>
      </c>
      <c r="L19" s="27" t="s">
        <v>253</v>
      </c>
      <c r="Z19" s="32">
        <f>IF(AQ19="5",BJ19,0)</f>
        <v>0</v>
      </c>
      <c r="AB19" s="32">
        <f>IF(AQ19="1",BH19,0)</f>
        <v>0</v>
      </c>
      <c r="AC19" s="32">
        <f>IF(AQ19="1",BI19,0)</f>
        <v>0</v>
      </c>
      <c r="AD19" s="32">
        <f>IF(AQ19="7",BH19,0)</f>
        <v>0</v>
      </c>
      <c r="AE19" s="32">
        <f>IF(AQ19="7",BI19,0)</f>
        <v>0</v>
      </c>
      <c r="AF19" s="32">
        <f>IF(AQ19="2",BH19,0)</f>
        <v>0</v>
      </c>
      <c r="AG19" s="32">
        <f>IF(AQ19="2",BI19,0)</f>
        <v>0</v>
      </c>
      <c r="AH19" s="32">
        <f>IF(AQ19="0",BJ19,0)</f>
        <v>0</v>
      </c>
      <c r="AI19" s="28" t="s">
        <v>263</v>
      </c>
      <c r="AJ19" s="15">
        <f>IF(AN19=0,K19,0)</f>
        <v>0</v>
      </c>
      <c r="AK19" s="15">
        <f>IF(AN19=15,K19,0)</f>
        <v>0</v>
      </c>
      <c r="AL19" s="15">
        <f>IF(AN19=21,K19,0)</f>
        <v>0</v>
      </c>
      <c r="AN19" s="32">
        <v>21</v>
      </c>
      <c r="AO19" s="32">
        <f>H19*0</f>
        <v>0</v>
      </c>
      <c r="AP19" s="32">
        <f>H19*(1-0)</f>
        <v>0</v>
      </c>
      <c r="AQ19" s="27" t="s">
        <v>7</v>
      </c>
      <c r="AV19" s="32">
        <f>AW19+AX19</f>
        <v>0</v>
      </c>
      <c r="AW19" s="32">
        <f>G19*AO19</f>
        <v>0</v>
      </c>
      <c r="AX19" s="32">
        <f>G19*AP19</f>
        <v>0</v>
      </c>
      <c r="AY19" s="33" t="s">
        <v>264</v>
      </c>
      <c r="AZ19" s="33" t="s">
        <v>264</v>
      </c>
      <c r="BA19" s="28" t="s">
        <v>278</v>
      </c>
      <c r="BC19" s="32">
        <f>AW19+AX19</f>
        <v>0</v>
      </c>
      <c r="BD19" s="32">
        <f>H19/(100-BE19)*100</f>
        <v>0</v>
      </c>
      <c r="BE19" s="32">
        <v>0</v>
      </c>
      <c r="BF19" s="32">
        <f>19</f>
        <v>19</v>
      </c>
      <c r="BH19" s="15">
        <f>G19*AO19</f>
        <v>0</v>
      </c>
      <c r="BI19" s="15">
        <f>G19*AP19</f>
        <v>0</v>
      </c>
      <c r="BJ19" s="15">
        <f>G19*H19</f>
        <v>0</v>
      </c>
    </row>
    <row r="20" spans="3:7" ht="10.5" customHeight="1">
      <c r="C20" s="56" t="s">
        <v>138</v>
      </c>
      <c r="D20" s="57"/>
      <c r="E20" s="57"/>
      <c r="G20" s="16">
        <v>1</v>
      </c>
    </row>
    <row r="21" spans="1:47" ht="12.75">
      <c r="A21" s="5"/>
      <c r="B21" s="13" t="s">
        <v>71</v>
      </c>
      <c r="C21" s="64" t="s">
        <v>142</v>
      </c>
      <c r="D21" s="65"/>
      <c r="E21" s="65"/>
      <c r="F21" s="5" t="s">
        <v>6</v>
      </c>
      <c r="G21" s="5" t="s">
        <v>6</v>
      </c>
      <c r="H21" s="5" t="s">
        <v>6</v>
      </c>
      <c r="I21" s="35">
        <f>SUM(I22:I34)</f>
        <v>0</v>
      </c>
      <c r="J21" s="35">
        <f>SUM(J22:J34)</f>
        <v>0</v>
      </c>
      <c r="K21" s="35">
        <f>SUM(K22:K34)</f>
        <v>0</v>
      </c>
      <c r="L21" s="28"/>
      <c r="AI21" s="28"/>
      <c r="AS21" s="35">
        <f>SUM(AJ22:AJ34)</f>
        <v>0</v>
      </c>
      <c r="AT21" s="35">
        <f>SUM(AK22:AK34)</f>
        <v>0</v>
      </c>
      <c r="AU21" s="35">
        <f>SUM(AL22:AL34)</f>
        <v>0</v>
      </c>
    </row>
    <row r="22" spans="1:62" ht="12.75">
      <c r="A22" s="4" t="s">
        <v>11</v>
      </c>
      <c r="B22" s="4" t="s">
        <v>72</v>
      </c>
      <c r="C22" s="58" t="s">
        <v>143</v>
      </c>
      <c r="D22" s="59"/>
      <c r="E22" s="59"/>
      <c r="F22" s="4" t="s">
        <v>228</v>
      </c>
      <c r="G22" s="15">
        <v>290.5</v>
      </c>
      <c r="H22" s="15">
        <v>0</v>
      </c>
      <c r="I22" s="15">
        <f>G22*AO22</f>
        <v>0</v>
      </c>
      <c r="J22" s="15">
        <f>G22*AP22</f>
        <v>0</v>
      </c>
      <c r="K22" s="15">
        <f>G22*H22</f>
        <v>0</v>
      </c>
      <c r="L22" s="27" t="s">
        <v>253</v>
      </c>
      <c r="Z22" s="32">
        <f>IF(AQ22="5",BJ22,0)</f>
        <v>0</v>
      </c>
      <c r="AB22" s="32">
        <f>IF(AQ22="1",BH22,0)</f>
        <v>0</v>
      </c>
      <c r="AC22" s="32">
        <f>IF(AQ22="1",BI22,0)</f>
        <v>0</v>
      </c>
      <c r="AD22" s="32">
        <f>IF(AQ22="7",BH22,0)</f>
        <v>0</v>
      </c>
      <c r="AE22" s="32">
        <f>IF(AQ22="7",BI22,0)</f>
        <v>0</v>
      </c>
      <c r="AF22" s="32">
        <f>IF(AQ22="2",BH22,0)</f>
        <v>0</v>
      </c>
      <c r="AG22" s="32">
        <f>IF(AQ22="2",BI22,0)</f>
        <v>0</v>
      </c>
      <c r="AH22" s="32">
        <f>IF(AQ22="0",BJ22,0)</f>
        <v>0</v>
      </c>
      <c r="AI22" s="28"/>
      <c r="AJ22" s="15">
        <f>IF(AN22=0,K22,0)</f>
        <v>0</v>
      </c>
      <c r="AK22" s="15">
        <f>IF(AN22=15,K22,0)</f>
        <v>0</v>
      </c>
      <c r="AL22" s="15">
        <f>IF(AN22=21,K22,0)</f>
        <v>0</v>
      </c>
      <c r="AN22" s="32">
        <v>21</v>
      </c>
      <c r="AO22" s="32">
        <f>H22*0.371302428256071</f>
        <v>0</v>
      </c>
      <c r="AP22" s="32">
        <f>H22*(1-0.371302428256071)</f>
        <v>0</v>
      </c>
      <c r="AQ22" s="27" t="s">
        <v>13</v>
      </c>
      <c r="AV22" s="32">
        <f>AW22+AX22</f>
        <v>0</v>
      </c>
      <c r="AW22" s="32">
        <f>G22*AO22</f>
        <v>0</v>
      </c>
      <c r="AX22" s="32">
        <f>G22*AP22</f>
        <v>0</v>
      </c>
      <c r="AY22" s="33" t="s">
        <v>265</v>
      </c>
      <c r="AZ22" s="33" t="s">
        <v>275</v>
      </c>
      <c r="BA22" s="28" t="s">
        <v>279</v>
      </c>
      <c r="BC22" s="32">
        <f>AW22+AX22</f>
        <v>0</v>
      </c>
      <c r="BD22" s="32">
        <f>H22/(100-BE22)*100</f>
        <v>0</v>
      </c>
      <c r="BE22" s="32">
        <v>0</v>
      </c>
      <c r="BF22" s="32">
        <f>22</f>
        <v>22</v>
      </c>
      <c r="BH22" s="15">
        <f>G22*AO22</f>
        <v>0</v>
      </c>
      <c r="BI22" s="15">
        <f>G22*AP22</f>
        <v>0</v>
      </c>
      <c r="BJ22" s="15">
        <f>G22*H22</f>
        <v>0</v>
      </c>
    </row>
    <row r="23" spans="3:7" ht="10.5" customHeight="1">
      <c r="C23" s="56" t="s">
        <v>144</v>
      </c>
      <c r="D23" s="57"/>
      <c r="E23" s="57"/>
      <c r="G23" s="16">
        <v>290.5</v>
      </c>
    </row>
    <row r="24" spans="1:62" ht="12.75">
      <c r="A24" s="4" t="s">
        <v>12</v>
      </c>
      <c r="B24" s="4" t="s">
        <v>73</v>
      </c>
      <c r="C24" s="58" t="s">
        <v>145</v>
      </c>
      <c r="D24" s="59"/>
      <c r="E24" s="59"/>
      <c r="F24" s="4" t="s">
        <v>228</v>
      </c>
      <c r="G24" s="15">
        <v>290.5</v>
      </c>
      <c r="H24" s="15">
        <v>0</v>
      </c>
      <c r="I24" s="15">
        <f>G24*AO24</f>
        <v>0</v>
      </c>
      <c r="J24" s="15">
        <f>G24*AP24</f>
        <v>0</v>
      </c>
      <c r="K24" s="15">
        <f>G24*H24</f>
        <v>0</v>
      </c>
      <c r="L24" s="27" t="s">
        <v>253</v>
      </c>
      <c r="Z24" s="32">
        <f>IF(AQ24="5",BJ24,0)</f>
        <v>0</v>
      </c>
      <c r="AB24" s="32">
        <f>IF(AQ24="1",BH24,0)</f>
        <v>0</v>
      </c>
      <c r="AC24" s="32">
        <f>IF(AQ24="1",BI24,0)</f>
        <v>0</v>
      </c>
      <c r="AD24" s="32">
        <f>IF(AQ24="7",BH24,0)</f>
        <v>0</v>
      </c>
      <c r="AE24" s="32">
        <f>IF(AQ24="7",BI24,0)</f>
        <v>0</v>
      </c>
      <c r="AF24" s="32">
        <f>IF(AQ24="2",BH24,0)</f>
        <v>0</v>
      </c>
      <c r="AG24" s="32">
        <f>IF(AQ24="2",BI24,0)</f>
        <v>0</v>
      </c>
      <c r="AH24" s="32">
        <f>IF(AQ24="0",BJ24,0)</f>
        <v>0</v>
      </c>
      <c r="AI24" s="28"/>
      <c r="AJ24" s="15">
        <f>IF(AN24=0,K24,0)</f>
        <v>0</v>
      </c>
      <c r="AK24" s="15">
        <f>IF(AN24=15,K24,0)</f>
        <v>0</v>
      </c>
      <c r="AL24" s="15">
        <f>IF(AN24=21,K24,0)</f>
        <v>0</v>
      </c>
      <c r="AN24" s="32">
        <v>21</v>
      </c>
      <c r="AO24" s="32">
        <f>H24*0.366460065045085</f>
        <v>0</v>
      </c>
      <c r="AP24" s="32">
        <f>H24*(1-0.366460065045085)</f>
        <v>0</v>
      </c>
      <c r="AQ24" s="27" t="s">
        <v>13</v>
      </c>
      <c r="AV24" s="32">
        <f>AW24+AX24</f>
        <v>0</v>
      </c>
      <c r="AW24" s="32">
        <f>G24*AO24</f>
        <v>0</v>
      </c>
      <c r="AX24" s="32">
        <f>G24*AP24</f>
        <v>0</v>
      </c>
      <c r="AY24" s="33" t="s">
        <v>265</v>
      </c>
      <c r="AZ24" s="33" t="s">
        <v>275</v>
      </c>
      <c r="BA24" s="28" t="s">
        <v>279</v>
      </c>
      <c r="BC24" s="32">
        <f>AW24+AX24</f>
        <v>0</v>
      </c>
      <c r="BD24" s="32">
        <f>H24/(100-BE24)*100</f>
        <v>0</v>
      </c>
      <c r="BE24" s="32">
        <v>0</v>
      </c>
      <c r="BF24" s="32">
        <f>24</f>
        <v>24</v>
      </c>
      <c r="BH24" s="15">
        <f>G24*AO24</f>
        <v>0</v>
      </c>
      <c r="BI24" s="15">
        <f>G24*AP24</f>
        <v>0</v>
      </c>
      <c r="BJ24" s="15">
        <f>G24*H24</f>
        <v>0</v>
      </c>
    </row>
    <row r="25" spans="3:7" ht="10.5" customHeight="1">
      <c r="C25" s="56" t="s">
        <v>144</v>
      </c>
      <c r="D25" s="57"/>
      <c r="E25" s="57"/>
      <c r="G25" s="16">
        <v>290.5</v>
      </c>
    </row>
    <row r="26" spans="1:62" ht="12.75">
      <c r="A26" s="4" t="s">
        <v>13</v>
      </c>
      <c r="B26" s="4" t="s">
        <v>74</v>
      </c>
      <c r="C26" s="58" t="s">
        <v>146</v>
      </c>
      <c r="D26" s="59"/>
      <c r="E26" s="59"/>
      <c r="F26" s="4" t="s">
        <v>229</v>
      </c>
      <c r="G26" s="15">
        <v>1.59194</v>
      </c>
      <c r="H26" s="15">
        <v>0</v>
      </c>
      <c r="I26" s="15">
        <f>G26*AO26</f>
        <v>0</v>
      </c>
      <c r="J26" s="15">
        <f>G26*AP26</f>
        <v>0</v>
      </c>
      <c r="K26" s="15">
        <f>G26*H26</f>
        <v>0</v>
      </c>
      <c r="L26" s="27" t="s">
        <v>253</v>
      </c>
      <c r="Z26" s="32">
        <f>IF(AQ26="5",BJ26,0)</f>
        <v>0</v>
      </c>
      <c r="AB26" s="32">
        <f>IF(AQ26="1",BH26,0)</f>
        <v>0</v>
      </c>
      <c r="AC26" s="32">
        <f>IF(AQ26="1",BI26,0)</f>
        <v>0</v>
      </c>
      <c r="AD26" s="32">
        <f>IF(AQ26="7",BH26,0)</f>
        <v>0</v>
      </c>
      <c r="AE26" s="32">
        <f>IF(AQ26="7",BI26,0)</f>
        <v>0</v>
      </c>
      <c r="AF26" s="32">
        <f>IF(AQ26="2",BH26,0)</f>
        <v>0</v>
      </c>
      <c r="AG26" s="32">
        <f>IF(AQ26="2",BI26,0)</f>
        <v>0</v>
      </c>
      <c r="AH26" s="32">
        <f>IF(AQ26="0",BJ26,0)</f>
        <v>0</v>
      </c>
      <c r="AI26" s="28"/>
      <c r="AJ26" s="15">
        <f>IF(AN26=0,K26,0)</f>
        <v>0</v>
      </c>
      <c r="AK26" s="15">
        <f>IF(AN26=15,K26,0)</f>
        <v>0</v>
      </c>
      <c r="AL26" s="15">
        <f>IF(AN26=21,K26,0)</f>
        <v>0</v>
      </c>
      <c r="AN26" s="32">
        <v>21</v>
      </c>
      <c r="AO26" s="32">
        <f>H26*0</f>
        <v>0</v>
      </c>
      <c r="AP26" s="32">
        <f>H26*(1-0)</f>
        <v>0</v>
      </c>
      <c r="AQ26" s="27" t="s">
        <v>11</v>
      </c>
      <c r="AV26" s="32">
        <f>AW26+AX26</f>
        <v>0</v>
      </c>
      <c r="AW26" s="32">
        <f>G26*AO26</f>
        <v>0</v>
      </c>
      <c r="AX26" s="32">
        <f>G26*AP26</f>
        <v>0</v>
      </c>
      <c r="AY26" s="33" t="s">
        <v>265</v>
      </c>
      <c r="AZ26" s="33" t="s">
        <v>275</v>
      </c>
      <c r="BA26" s="28" t="s">
        <v>279</v>
      </c>
      <c r="BC26" s="32">
        <f>AW26+AX26</f>
        <v>0</v>
      </c>
      <c r="BD26" s="32">
        <f>H26/(100-BE26)*100</f>
        <v>0</v>
      </c>
      <c r="BE26" s="32">
        <v>0</v>
      </c>
      <c r="BF26" s="32">
        <f>26</f>
        <v>26</v>
      </c>
      <c r="BH26" s="15">
        <f>G26*AO26</f>
        <v>0</v>
      </c>
      <c r="BI26" s="15">
        <f>G26*AP26</f>
        <v>0</v>
      </c>
      <c r="BJ26" s="15">
        <f>G26*H26</f>
        <v>0</v>
      </c>
    </row>
    <row r="27" spans="1:62" ht="12.75">
      <c r="A27" s="4" t="s">
        <v>14</v>
      </c>
      <c r="B27" s="4" t="s">
        <v>75</v>
      </c>
      <c r="C27" s="58" t="s">
        <v>147</v>
      </c>
      <c r="D27" s="59"/>
      <c r="E27" s="59"/>
      <c r="F27" s="4" t="s">
        <v>228</v>
      </c>
      <c r="G27" s="15">
        <v>87.15</v>
      </c>
      <c r="H27" s="15">
        <v>0</v>
      </c>
      <c r="I27" s="15">
        <f>G27*AO27</f>
        <v>0</v>
      </c>
      <c r="J27" s="15">
        <f>G27*AP27</f>
        <v>0</v>
      </c>
      <c r="K27" s="15">
        <f>G27*H27</f>
        <v>0</v>
      </c>
      <c r="L27" s="27" t="s">
        <v>253</v>
      </c>
      <c r="Z27" s="32">
        <f>IF(AQ27="5",BJ27,0)</f>
        <v>0</v>
      </c>
      <c r="AB27" s="32">
        <f>IF(AQ27="1",BH27,0)</f>
        <v>0</v>
      </c>
      <c r="AC27" s="32">
        <f>IF(AQ27="1",BI27,0)</f>
        <v>0</v>
      </c>
      <c r="AD27" s="32">
        <f>IF(AQ27="7",BH27,0)</f>
        <v>0</v>
      </c>
      <c r="AE27" s="32">
        <f>IF(AQ27="7",BI27,0)</f>
        <v>0</v>
      </c>
      <c r="AF27" s="32">
        <f>IF(AQ27="2",BH27,0)</f>
        <v>0</v>
      </c>
      <c r="AG27" s="32">
        <f>IF(AQ27="2",BI27,0)</f>
        <v>0</v>
      </c>
      <c r="AH27" s="32">
        <f>IF(AQ27="0",BJ27,0)</f>
        <v>0</v>
      </c>
      <c r="AI27" s="28"/>
      <c r="AJ27" s="15">
        <f>IF(AN27=0,K27,0)</f>
        <v>0</v>
      </c>
      <c r="AK27" s="15">
        <f>IF(AN27=15,K27,0)</f>
        <v>0</v>
      </c>
      <c r="AL27" s="15">
        <f>IF(AN27=21,K27,0)</f>
        <v>0</v>
      </c>
      <c r="AN27" s="32">
        <v>21</v>
      </c>
      <c r="AO27" s="32">
        <f>H27*0</f>
        <v>0</v>
      </c>
      <c r="AP27" s="32">
        <f>H27*(1-0)</f>
        <v>0</v>
      </c>
      <c r="AQ27" s="27" t="s">
        <v>13</v>
      </c>
      <c r="AV27" s="32">
        <f>AW27+AX27</f>
        <v>0</v>
      </c>
      <c r="AW27" s="32">
        <f>G27*AO27</f>
        <v>0</v>
      </c>
      <c r="AX27" s="32">
        <f>G27*AP27</f>
        <v>0</v>
      </c>
      <c r="AY27" s="33" t="s">
        <v>265</v>
      </c>
      <c r="AZ27" s="33" t="s">
        <v>275</v>
      </c>
      <c r="BA27" s="28" t="s">
        <v>279</v>
      </c>
      <c r="BC27" s="32">
        <f>AW27+AX27</f>
        <v>0</v>
      </c>
      <c r="BD27" s="32">
        <f>H27/(100-BE27)*100</f>
        <v>0</v>
      </c>
      <c r="BE27" s="32">
        <v>0</v>
      </c>
      <c r="BF27" s="32">
        <f>27</f>
        <v>27</v>
      </c>
      <c r="BH27" s="15">
        <f>G27*AO27</f>
        <v>0</v>
      </c>
      <c r="BI27" s="15">
        <f>G27*AP27</f>
        <v>0</v>
      </c>
      <c r="BJ27" s="15">
        <f>G27*H27</f>
        <v>0</v>
      </c>
    </row>
    <row r="28" spans="3:7" ht="10.5" customHeight="1">
      <c r="C28" s="56" t="s">
        <v>148</v>
      </c>
      <c r="D28" s="57"/>
      <c r="E28" s="57"/>
      <c r="G28" s="16">
        <v>87.15</v>
      </c>
    </row>
    <row r="29" spans="1:62" ht="12.75">
      <c r="A29" s="6" t="s">
        <v>15</v>
      </c>
      <c r="B29" s="6" t="s">
        <v>76</v>
      </c>
      <c r="C29" s="66" t="s">
        <v>149</v>
      </c>
      <c r="D29" s="67"/>
      <c r="E29" s="67"/>
      <c r="F29" s="6" t="s">
        <v>230</v>
      </c>
      <c r="G29" s="17">
        <v>2.30076</v>
      </c>
      <c r="H29" s="17">
        <v>0</v>
      </c>
      <c r="I29" s="17">
        <f>G29*AO29</f>
        <v>0</v>
      </c>
      <c r="J29" s="17">
        <f>G29*AP29</f>
        <v>0</v>
      </c>
      <c r="K29" s="17">
        <f>G29*H29</f>
        <v>0</v>
      </c>
      <c r="L29" s="29" t="s">
        <v>253</v>
      </c>
      <c r="Z29" s="32">
        <f>IF(AQ29="5",BJ29,0)</f>
        <v>0</v>
      </c>
      <c r="AB29" s="32">
        <f>IF(AQ29="1",BH29,0)</f>
        <v>0</v>
      </c>
      <c r="AC29" s="32">
        <f>IF(AQ29="1",BI29,0)</f>
        <v>0</v>
      </c>
      <c r="AD29" s="32">
        <f>IF(AQ29="7",BH29,0)</f>
        <v>0</v>
      </c>
      <c r="AE29" s="32">
        <f>IF(AQ29="7",BI29,0)</f>
        <v>0</v>
      </c>
      <c r="AF29" s="32">
        <f>IF(AQ29="2",BH29,0)</f>
        <v>0</v>
      </c>
      <c r="AG29" s="32">
        <f>IF(AQ29="2",BI29,0)</f>
        <v>0</v>
      </c>
      <c r="AH29" s="32">
        <f>IF(AQ29="0",BJ29,0)</f>
        <v>0</v>
      </c>
      <c r="AI29" s="28"/>
      <c r="AJ29" s="17">
        <f>IF(AN29=0,K29,0)</f>
        <v>0</v>
      </c>
      <c r="AK29" s="17">
        <f>IF(AN29=15,K29,0)</f>
        <v>0</v>
      </c>
      <c r="AL29" s="17">
        <f>IF(AN29=21,K29,0)</f>
        <v>0</v>
      </c>
      <c r="AN29" s="32">
        <v>21</v>
      </c>
      <c r="AO29" s="32">
        <f>H29*1</f>
        <v>0</v>
      </c>
      <c r="AP29" s="32">
        <f>H29*(1-1)</f>
        <v>0</v>
      </c>
      <c r="AQ29" s="29" t="s">
        <v>13</v>
      </c>
      <c r="AV29" s="32">
        <f>AW29+AX29</f>
        <v>0</v>
      </c>
      <c r="AW29" s="32">
        <f>G29*AO29</f>
        <v>0</v>
      </c>
      <c r="AX29" s="32">
        <f>G29*AP29</f>
        <v>0</v>
      </c>
      <c r="AY29" s="33" t="s">
        <v>265</v>
      </c>
      <c r="AZ29" s="33" t="s">
        <v>275</v>
      </c>
      <c r="BA29" s="28" t="s">
        <v>279</v>
      </c>
      <c r="BC29" s="32">
        <f>AW29+AX29</f>
        <v>0</v>
      </c>
      <c r="BD29" s="32">
        <f>H29/(100-BE29)*100</f>
        <v>0</v>
      </c>
      <c r="BE29" s="32">
        <v>0</v>
      </c>
      <c r="BF29" s="32">
        <f>29</f>
        <v>29</v>
      </c>
      <c r="BH29" s="17">
        <f>G29*AO29</f>
        <v>0</v>
      </c>
      <c r="BI29" s="17">
        <f>G29*AP29</f>
        <v>0</v>
      </c>
      <c r="BJ29" s="17">
        <f>G29*H29</f>
        <v>0</v>
      </c>
    </row>
    <row r="30" spans="3:7" ht="10.5" customHeight="1">
      <c r="C30" s="56" t="s">
        <v>150</v>
      </c>
      <c r="D30" s="57"/>
      <c r="E30" s="57"/>
      <c r="G30" s="16">
        <v>2.0916</v>
      </c>
    </row>
    <row r="31" spans="3:7" ht="10.5" customHeight="1">
      <c r="C31" s="56" t="s">
        <v>151</v>
      </c>
      <c r="D31" s="57"/>
      <c r="E31" s="57"/>
      <c r="G31" s="16">
        <v>0.20916</v>
      </c>
    </row>
    <row r="32" spans="1:62" ht="12.75">
      <c r="A32" s="4" t="s">
        <v>16</v>
      </c>
      <c r="B32" s="4" t="s">
        <v>77</v>
      </c>
      <c r="C32" s="58" t="s">
        <v>152</v>
      </c>
      <c r="D32" s="59"/>
      <c r="E32" s="59"/>
      <c r="F32" s="4" t="s">
        <v>230</v>
      </c>
      <c r="G32" s="15">
        <v>4.4916</v>
      </c>
      <c r="H32" s="15">
        <v>0</v>
      </c>
      <c r="I32" s="15">
        <f>G32*AO32</f>
        <v>0</v>
      </c>
      <c r="J32" s="15">
        <f>G32*AP32</f>
        <v>0</v>
      </c>
      <c r="K32" s="15">
        <f>G32*H32</f>
        <v>0</v>
      </c>
      <c r="L32" s="27" t="s">
        <v>253</v>
      </c>
      <c r="Z32" s="32">
        <f>IF(AQ32="5",BJ32,0)</f>
        <v>0</v>
      </c>
      <c r="AB32" s="32">
        <f>IF(AQ32="1",BH32,0)</f>
        <v>0</v>
      </c>
      <c r="AC32" s="32">
        <f>IF(AQ32="1",BI32,0)</f>
        <v>0</v>
      </c>
      <c r="AD32" s="32">
        <f>IF(AQ32="7",BH32,0)</f>
        <v>0</v>
      </c>
      <c r="AE32" s="32">
        <f>IF(AQ32="7",BI32,0)</f>
        <v>0</v>
      </c>
      <c r="AF32" s="32">
        <f>IF(AQ32="2",BH32,0)</f>
        <v>0</v>
      </c>
      <c r="AG32" s="32">
        <f>IF(AQ32="2",BI32,0)</f>
        <v>0</v>
      </c>
      <c r="AH32" s="32">
        <f>IF(AQ32="0",BJ32,0)</f>
        <v>0</v>
      </c>
      <c r="AI32" s="28"/>
      <c r="AJ32" s="15">
        <f>IF(AN32=0,K32,0)</f>
        <v>0</v>
      </c>
      <c r="AK32" s="15">
        <f>IF(AN32=15,K32,0)</f>
        <v>0</v>
      </c>
      <c r="AL32" s="15">
        <f>IF(AN32=21,K32,0)</f>
        <v>0</v>
      </c>
      <c r="AN32" s="32">
        <v>21</v>
      </c>
      <c r="AO32" s="32">
        <f>H32*0.999999801068263</f>
        <v>0</v>
      </c>
      <c r="AP32" s="32">
        <f>H32*(1-0.999999801068263)</f>
        <v>0</v>
      </c>
      <c r="AQ32" s="27" t="s">
        <v>13</v>
      </c>
      <c r="AV32" s="32">
        <f>AW32+AX32</f>
        <v>0</v>
      </c>
      <c r="AW32" s="32">
        <f>G32*AO32</f>
        <v>0</v>
      </c>
      <c r="AX32" s="32">
        <f>G32*AP32</f>
        <v>0</v>
      </c>
      <c r="AY32" s="33" t="s">
        <v>265</v>
      </c>
      <c r="AZ32" s="33" t="s">
        <v>275</v>
      </c>
      <c r="BA32" s="28" t="s">
        <v>279</v>
      </c>
      <c r="BC32" s="32">
        <f>AW32+AX32</f>
        <v>0</v>
      </c>
      <c r="BD32" s="32">
        <f>H32/(100-BE32)*100</f>
        <v>0</v>
      </c>
      <c r="BE32" s="32">
        <v>0</v>
      </c>
      <c r="BF32" s="32">
        <f>32</f>
        <v>32</v>
      </c>
      <c r="BH32" s="15">
        <f>G32*AO32</f>
        <v>0</v>
      </c>
      <c r="BI32" s="15">
        <f>G32*AP32</f>
        <v>0</v>
      </c>
      <c r="BJ32" s="15">
        <f>G32*H32</f>
        <v>0</v>
      </c>
    </row>
    <row r="33" spans="3:7" ht="10.5" customHeight="1">
      <c r="C33" s="56" t="s">
        <v>153</v>
      </c>
      <c r="D33" s="57"/>
      <c r="E33" s="57"/>
      <c r="G33" s="16">
        <v>4.4916</v>
      </c>
    </row>
    <row r="34" spans="1:62" ht="12.75">
      <c r="A34" s="4" t="s">
        <v>17</v>
      </c>
      <c r="B34" s="4" t="s">
        <v>74</v>
      </c>
      <c r="C34" s="58" t="s">
        <v>146</v>
      </c>
      <c r="D34" s="59"/>
      <c r="E34" s="59"/>
      <c r="F34" s="4" t="s">
        <v>229</v>
      </c>
      <c r="G34" s="15">
        <v>2.96323</v>
      </c>
      <c r="H34" s="15">
        <v>0</v>
      </c>
      <c r="I34" s="15">
        <f>G34*AO34</f>
        <v>0</v>
      </c>
      <c r="J34" s="15">
        <f>G34*AP34</f>
        <v>0</v>
      </c>
      <c r="K34" s="15">
        <f>G34*H34</f>
        <v>0</v>
      </c>
      <c r="L34" s="27" t="s">
        <v>253</v>
      </c>
      <c r="Z34" s="32">
        <f>IF(AQ34="5",BJ34,0)</f>
        <v>0</v>
      </c>
      <c r="AB34" s="32">
        <f>IF(AQ34="1",BH34,0)</f>
        <v>0</v>
      </c>
      <c r="AC34" s="32">
        <f>IF(AQ34="1",BI34,0)</f>
        <v>0</v>
      </c>
      <c r="AD34" s="32">
        <f>IF(AQ34="7",BH34,0)</f>
        <v>0</v>
      </c>
      <c r="AE34" s="32">
        <f>IF(AQ34="7",BI34,0)</f>
        <v>0</v>
      </c>
      <c r="AF34" s="32">
        <f>IF(AQ34="2",BH34,0)</f>
        <v>0</v>
      </c>
      <c r="AG34" s="32">
        <f>IF(AQ34="2",BI34,0)</f>
        <v>0</v>
      </c>
      <c r="AH34" s="32">
        <f>IF(AQ34="0",BJ34,0)</f>
        <v>0</v>
      </c>
      <c r="AI34" s="28"/>
      <c r="AJ34" s="15">
        <f>IF(AN34=0,K34,0)</f>
        <v>0</v>
      </c>
      <c r="AK34" s="15">
        <f>IF(AN34=15,K34,0)</f>
        <v>0</v>
      </c>
      <c r="AL34" s="15">
        <f>IF(AN34=21,K34,0)</f>
        <v>0</v>
      </c>
      <c r="AN34" s="32">
        <v>21</v>
      </c>
      <c r="AO34" s="32">
        <f>H34*0</f>
        <v>0</v>
      </c>
      <c r="AP34" s="32">
        <f>H34*(1-0)</f>
        <v>0</v>
      </c>
      <c r="AQ34" s="27" t="s">
        <v>11</v>
      </c>
      <c r="AV34" s="32">
        <f>AW34+AX34</f>
        <v>0</v>
      </c>
      <c r="AW34" s="32">
        <f>G34*AO34</f>
        <v>0</v>
      </c>
      <c r="AX34" s="32">
        <f>G34*AP34</f>
        <v>0</v>
      </c>
      <c r="AY34" s="33" t="s">
        <v>265</v>
      </c>
      <c r="AZ34" s="33" t="s">
        <v>275</v>
      </c>
      <c r="BA34" s="28" t="s">
        <v>279</v>
      </c>
      <c r="BC34" s="32">
        <f>AW34+AX34</f>
        <v>0</v>
      </c>
      <c r="BD34" s="32">
        <f>H34/(100-BE34)*100</f>
        <v>0</v>
      </c>
      <c r="BE34" s="32">
        <v>0</v>
      </c>
      <c r="BF34" s="32">
        <f>34</f>
        <v>34</v>
      </c>
      <c r="BH34" s="15">
        <f>G34*AO34</f>
        <v>0</v>
      </c>
      <c r="BI34" s="15">
        <f>G34*AP34</f>
        <v>0</v>
      </c>
      <c r="BJ34" s="15">
        <f>G34*H34</f>
        <v>0</v>
      </c>
    </row>
    <row r="35" spans="1:47" ht="12.75">
      <c r="A35" s="5"/>
      <c r="B35" s="13" t="s">
        <v>78</v>
      </c>
      <c r="C35" s="64" t="s">
        <v>154</v>
      </c>
      <c r="D35" s="65"/>
      <c r="E35" s="65"/>
      <c r="F35" s="5" t="s">
        <v>6</v>
      </c>
      <c r="G35" s="5" t="s">
        <v>6</v>
      </c>
      <c r="H35" s="5" t="s">
        <v>6</v>
      </c>
      <c r="I35" s="35">
        <f>SUM(I36:I69)</f>
        <v>0</v>
      </c>
      <c r="J35" s="35">
        <f>SUM(J36:J69)</f>
        <v>0</v>
      </c>
      <c r="K35" s="35">
        <f>SUM(K36:K69)</f>
        <v>0</v>
      </c>
      <c r="L35" s="28"/>
      <c r="AI35" s="28"/>
      <c r="AS35" s="35">
        <f>SUM(AJ36:AJ69)</f>
        <v>0</v>
      </c>
      <c r="AT35" s="35">
        <f>SUM(AK36:AK69)</f>
        <v>0</v>
      </c>
      <c r="AU35" s="35">
        <f>SUM(AL36:AL69)</f>
        <v>0</v>
      </c>
    </row>
    <row r="36" spans="1:62" ht="12.75">
      <c r="A36" s="4" t="s">
        <v>18</v>
      </c>
      <c r="B36" s="4" t="s">
        <v>79</v>
      </c>
      <c r="C36" s="58" t="s">
        <v>325</v>
      </c>
      <c r="D36" s="59"/>
      <c r="E36" s="59"/>
      <c r="F36" s="4" t="s">
        <v>228</v>
      </c>
      <c r="G36" s="15">
        <v>290.5</v>
      </c>
      <c r="H36" s="15">
        <v>0</v>
      </c>
      <c r="I36" s="15">
        <f>G36*AO36</f>
        <v>0</v>
      </c>
      <c r="J36" s="15">
        <f>G36*AP36</f>
        <v>0</v>
      </c>
      <c r="K36" s="15">
        <f>G36*H36</f>
        <v>0</v>
      </c>
      <c r="L36" s="27" t="s">
        <v>253</v>
      </c>
      <c r="Z36" s="32">
        <f>IF(AQ36="5",BJ36,0)</f>
        <v>0</v>
      </c>
      <c r="AB36" s="32">
        <f>IF(AQ36="1",BH36,0)</f>
        <v>0</v>
      </c>
      <c r="AC36" s="32">
        <f>IF(AQ36="1",BI36,0)</f>
        <v>0</v>
      </c>
      <c r="AD36" s="32">
        <f>IF(AQ36="7",BH36,0)</f>
        <v>0</v>
      </c>
      <c r="AE36" s="32">
        <f>IF(AQ36="7",BI36,0)</f>
        <v>0</v>
      </c>
      <c r="AF36" s="32">
        <f>IF(AQ36="2",BH36,0)</f>
        <v>0</v>
      </c>
      <c r="AG36" s="32">
        <f>IF(AQ36="2",BI36,0)</f>
        <v>0</v>
      </c>
      <c r="AH36" s="32">
        <f>IF(AQ36="0",BJ36,0)</f>
        <v>0</v>
      </c>
      <c r="AI36" s="28"/>
      <c r="AJ36" s="15">
        <f>IF(AN36=0,K36,0)</f>
        <v>0</v>
      </c>
      <c r="AK36" s="15">
        <f>IF(AN36=15,K36,0)</f>
        <v>0</v>
      </c>
      <c r="AL36" s="15">
        <f>IF(AN36=21,K36,0)</f>
        <v>0</v>
      </c>
      <c r="AN36" s="32">
        <v>21</v>
      </c>
      <c r="AO36" s="32">
        <f>H36*0.0453257790368272</f>
        <v>0</v>
      </c>
      <c r="AP36" s="32">
        <f>H36*(1-0.0453257790368272)</f>
        <v>0</v>
      </c>
      <c r="AQ36" s="27" t="s">
        <v>13</v>
      </c>
      <c r="AV36" s="32">
        <f>AW36+AX36</f>
        <v>0</v>
      </c>
      <c r="AW36" s="32">
        <f>G36*AO36</f>
        <v>0</v>
      </c>
      <c r="AX36" s="32">
        <f>G36*AP36</f>
        <v>0</v>
      </c>
      <c r="AY36" s="33" t="s">
        <v>266</v>
      </c>
      <c r="AZ36" s="33" t="s">
        <v>275</v>
      </c>
      <c r="BA36" s="28" t="s">
        <v>279</v>
      </c>
      <c r="BC36" s="32">
        <f>AW36+AX36</f>
        <v>0</v>
      </c>
      <c r="BD36" s="32">
        <f>H36/(100-BE36)*100</f>
        <v>0</v>
      </c>
      <c r="BE36" s="32">
        <v>0</v>
      </c>
      <c r="BF36" s="32">
        <f>36</f>
        <v>36</v>
      </c>
      <c r="BH36" s="15">
        <f>G36*AO36</f>
        <v>0</v>
      </c>
      <c r="BI36" s="15">
        <f>G36*AP36</f>
        <v>0</v>
      </c>
      <c r="BJ36" s="15">
        <f>G36*H36</f>
        <v>0</v>
      </c>
    </row>
    <row r="37" spans="3:7" ht="10.5" customHeight="1">
      <c r="C37" s="56" t="s">
        <v>144</v>
      </c>
      <c r="D37" s="57"/>
      <c r="E37" s="57"/>
      <c r="G37" s="16">
        <v>290.5</v>
      </c>
    </row>
    <row r="38" spans="1:62" ht="12.75">
      <c r="A38" s="6" t="s">
        <v>19</v>
      </c>
      <c r="B38" s="6" t="s">
        <v>80</v>
      </c>
      <c r="C38" s="66" t="s">
        <v>326</v>
      </c>
      <c r="D38" s="67"/>
      <c r="E38" s="67"/>
      <c r="F38" s="6" t="s">
        <v>231</v>
      </c>
      <c r="G38" s="17">
        <v>328.265</v>
      </c>
      <c r="H38" s="17">
        <v>0</v>
      </c>
      <c r="I38" s="17">
        <f>G38*AO38</f>
        <v>0</v>
      </c>
      <c r="J38" s="17">
        <f>G38*AP38</f>
        <v>0</v>
      </c>
      <c r="K38" s="17">
        <f>G38*H38</f>
        <v>0</v>
      </c>
      <c r="L38" s="29" t="s">
        <v>253</v>
      </c>
      <c r="Z38" s="32">
        <f>IF(AQ38="5",BJ38,0)</f>
        <v>0</v>
      </c>
      <c r="AB38" s="32">
        <f>IF(AQ38="1",BH38,0)</f>
        <v>0</v>
      </c>
      <c r="AC38" s="32">
        <f>IF(AQ38="1",BI38,0)</f>
        <v>0</v>
      </c>
      <c r="AD38" s="32">
        <f>IF(AQ38="7",BH38,0)</f>
        <v>0</v>
      </c>
      <c r="AE38" s="32">
        <f>IF(AQ38="7",BI38,0)</f>
        <v>0</v>
      </c>
      <c r="AF38" s="32">
        <f>IF(AQ38="2",BH38,0)</f>
        <v>0</v>
      </c>
      <c r="AG38" s="32">
        <f>IF(AQ38="2",BI38,0)</f>
        <v>0</v>
      </c>
      <c r="AH38" s="32">
        <f>IF(AQ38="0",BJ38,0)</f>
        <v>0</v>
      </c>
      <c r="AI38" s="28"/>
      <c r="AJ38" s="17">
        <f>IF(AN38=0,K38,0)</f>
        <v>0</v>
      </c>
      <c r="AK38" s="17">
        <f>IF(AN38=15,K38,0)</f>
        <v>0</v>
      </c>
      <c r="AL38" s="17">
        <f>IF(AN38=21,K38,0)</f>
        <v>0</v>
      </c>
      <c r="AN38" s="32">
        <v>21</v>
      </c>
      <c r="AO38" s="32">
        <f>H38*1</f>
        <v>0</v>
      </c>
      <c r="AP38" s="32">
        <f>H38*(1-1)</f>
        <v>0</v>
      </c>
      <c r="AQ38" s="29" t="s">
        <v>13</v>
      </c>
      <c r="AV38" s="32">
        <f>AW38+AX38</f>
        <v>0</v>
      </c>
      <c r="AW38" s="32">
        <f>G38*AO38</f>
        <v>0</v>
      </c>
      <c r="AX38" s="32">
        <f>G38*AP38</f>
        <v>0</v>
      </c>
      <c r="AY38" s="33" t="s">
        <v>266</v>
      </c>
      <c r="AZ38" s="33" t="s">
        <v>275</v>
      </c>
      <c r="BA38" s="28" t="s">
        <v>279</v>
      </c>
      <c r="BC38" s="32">
        <f>AW38+AX38</f>
        <v>0</v>
      </c>
      <c r="BD38" s="32">
        <f>H38/(100-BE38)*100</f>
        <v>0</v>
      </c>
      <c r="BE38" s="32">
        <v>0</v>
      </c>
      <c r="BF38" s="32">
        <f>38</f>
        <v>38</v>
      </c>
      <c r="BH38" s="17">
        <f>G38*AO38</f>
        <v>0</v>
      </c>
      <c r="BI38" s="17">
        <f>G38*AP38</f>
        <v>0</v>
      </c>
      <c r="BJ38" s="17">
        <f>G38*H38</f>
        <v>0</v>
      </c>
    </row>
    <row r="39" spans="3:7" ht="10.5" customHeight="1">
      <c r="C39" s="56" t="s">
        <v>144</v>
      </c>
      <c r="D39" s="57"/>
      <c r="E39" s="57"/>
      <c r="G39" s="16">
        <v>290.5</v>
      </c>
    </row>
    <row r="40" spans="3:7" ht="10.5" customHeight="1">
      <c r="C40" s="56" t="s">
        <v>155</v>
      </c>
      <c r="D40" s="57"/>
      <c r="E40" s="57"/>
      <c r="G40" s="16">
        <v>37.765</v>
      </c>
    </row>
    <row r="41" spans="1:62" ht="12.75">
      <c r="A41" s="4" t="s">
        <v>20</v>
      </c>
      <c r="B41" s="4" t="s">
        <v>81</v>
      </c>
      <c r="C41" s="58" t="s">
        <v>156</v>
      </c>
      <c r="D41" s="59"/>
      <c r="E41" s="59"/>
      <c r="F41" s="4" t="s">
        <v>228</v>
      </c>
      <c r="G41" s="15">
        <v>290.5</v>
      </c>
      <c r="H41" s="15">
        <v>0</v>
      </c>
      <c r="I41" s="15">
        <f>G41*AO41</f>
        <v>0</v>
      </c>
      <c r="J41" s="15">
        <f>G41*AP41</f>
        <v>0</v>
      </c>
      <c r="K41" s="15">
        <f>G41*H41</f>
        <v>0</v>
      </c>
      <c r="L41" s="27" t="s">
        <v>253</v>
      </c>
      <c r="Z41" s="32">
        <f>IF(AQ41="5",BJ41,0)</f>
        <v>0</v>
      </c>
      <c r="AB41" s="32">
        <f>IF(AQ41="1",BH41,0)</f>
        <v>0</v>
      </c>
      <c r="AC41" s="32">
        <f>IF(AQ41="1",BI41,0)</f>
        <v>0</v>
      </c>
      <c r="AD41" s="32">
        <f>IF(AQ41="7",BH41,0)</f>
        <v>0</v>
      </c>
      <c r="AE41" s="32">
        <f>IF(AQ41="7",BI41,0)</f>
        <v>0</v>
      </c>
      <c r="AF41" s="32">
        <f>IF(AQ41="2",BH41,0)</f>
        <v>0</v>
      </c>
      <c r="AG41" s="32">
        <f>IF(AQ41="2",BI41,0)</f>
        <v>0</v>
      </c>
      <c r="AH41" s="32">
        <f>IF(AQ41="0",BJ41,0)</f>
        <v>0</v>
      </c>
      <c r="AI41" s="28"/>
      <c r="AJ41" s="15">
        <f>IF(AN41=0,K41,0)</f>
        <v>0</v>
      </c>
      <c r="AK41" s="15">
        <f>IF(AN41=15,K41,0)</f>
        <v>0</v>
      </c>
      <c r="AL41" s="15">
        <f>IF(AN41=21,K41,0)</f>
        <v>0</v>
      </c>
      <c r="AN41" s="32">
        <v>21</v>
      </c>
      <c r="AO41" s="32">
        <f>H41*0.44543575187069</f>
        <v>0</v>
      </c>
      <c r="AP41" s="32">
        <f>H41*(1-0.44543575187069)</f>
        <v>0</v>
      </c>
      <c r="AQ41" s="27" t="s">
        <v>13</v>
      </c>
      <c r="AV41" s="32">
        <f>AW41+AX41</f>
        <v>0</v>
      </c>
      <c r="AW41" s="32">
        <f>G41*AO41</f>
        <v>0</v>
      </c>
      <c r="AX41" s="32">
        <f>G41*AP41</f>
        <v>0</v>
      </c>
      <c r="AY41" s="33" t="s">
        <v>266</v>
      </c>
      <c r="AZ41" s="33" t="s">
        <v>275</v>
      </c>
      <c r="BA41" s="28" t="s">
        <v>279</v>
      </c>
      <c r="BC41" s="32">
        <f>AW41+AX41</f>
        <v>0</v>
      </c>
      <c r="BD41" s="32">
        <f>H41/(100-BE41)*100</f>
        <v>0</v>
      </c>
      <c r="BE41" s="32">
        <v>0</v>
      </c>
      <c r="BF41" s="32">
        <f>41</f>
        <v>41</v>
      </c>
      <c r="BH41" s="15">
        <f>G41*AO41</f>
        <v>0</v>
      </c>
      <c r="BI41" s="15">
        <f>G41*AP41</f>
        <v>0</v>
      </c>
      <c r="BJ41" s="15">
        <f>G41*H41</f>
        <v>0</v>
      </c>
    </row>
    <row r="42" spans="3:7" ht="10.5" customHeight="1">
      <c r="C42" s="56" t="s">
        <v>144</v>
      </c>
      <c r="D42" s="57"/>
      <c r="E42" s="57"/>
      <c r="G42" s="16">
        <v>290.5</v>
      </c>
    </row>
    <row r="43" spans="1:62" ht="12.75">
      <c r="A43" s="6" t="s">
        <v>21</v>
      </c>
      <c r="B43" s="6" t="s">
        <v>82</v>
      </c>
      <c r="C43" s="66" t="s">
        <v>157</v>
      </c>
      <c r="D43" s="67"/>
      <c r="E43" s="67"/>
      <c r="F43" s="6" t="s">
        <v>231</v>
      </c>
      <c r="G43" s="17">
        <v>4</v>
      </c>
      <c r="H43" s="17">
        <v>0</v>
      </c>
      <c r="I43" s="17">
        <f>G43*AO43</f>
        <v>0</v>
      </c>
      <c r="J43" s="17">
        <f>G43*AP43</f>
        <v>0</v>
      </c>
      <c r="K43" s="17">
        <f>G43*H43</f>
        <v>0</v>
      </c>
      <c r="L43" s="29" t="s">
        <v>253</v>
      </c>
      <c r="Z43" s="32">
        <f>IF(AQ43="5",BJ43,0)</f>
        <v>0</v>
      </c>
      <c r="AB43" s="32">
        <f>IF(AQ43="1",BH43,0)</f>
        <v>0</v>
      </c>
      <c r="AC43" s="32">
        <f>IF(AQ43="1",BI43,0)</f>
        <v>0</v>
      </c>
      <c r="AD43" s="32">
        <f>IF(AQ43="7",BH43,0)</f>
        <v>0</v>
      </c>
      <c r="AE43" s="32">
        <f>IF(AQ43="7",BI43,0)</f>
        <v>0</v>
      </c>
      <c r="AF43" s="32">
        <f>IF(AQ43="2",BH43,0)</f>
        <v>0</v>
      </c>
      <c r="AG43" s="32">
        <f>IF(AQ43="2",BI43,0)</f>
        <v>0</v>
      </c>
      <c r="AH43" s="32">
        <f>IF(AQ43="0",BJ43,0)</f>
        <v>0</v>
      </c>
      <c r="AI43" s="28"/>
      <c r="AJ43" s="17">
        <f>IF(AN43=0,K43,0)</f>
        <v>0</v>
      </c>
      <c r="AK43" s="17">
        <f>IF(AN43=15,K43,0)</f>
        <v>0</v>
      </c>
      <c r="AL43" s="17">
        <f>IF(AN43=21,K43,0)</f>
        <v>0</v>
      </c>
      <c r="AN43" s="32">
        <v>21</v>
      </c>
      <c r="AO43" s="32">
        <f>H43*1</f>
        <v>0</v>
      </c>
      <c r="AP43" s="32">
        <f>H43*(1-1)</f>
        <v>0</v>
      </c>
      <c r="AQ43" s="29" t="s">
        <v>13</v>
      </c>
      <c r="AV43" s="32">
        <f>AW43+AX43</f>
        <v>0</v>
      </c>
      <c r="AW43" s="32">
        <f>G43*AO43</f>
        <v>0</v>
      </c>
      <c r="AX43" s="32">
        <f>G43*AP43</f>
        <v>0</v>
      </c>
      <c r="AY43" s="33" t="s">
        <v>266</v>
      </c>
      <c r="AZ43" s="33" t="s">
        <v>275</v>
      </c>
      <c r="BA43" s="28" t="s">
        <v>279</v>
      </c>
      <c r="BC43" s="32">
        <f>AW43+AX43</f>
        <v>0</v>
      </c>
      <c r="BD43" s="32">
        <f>H43/(100-BE43)*100</f>
        <v>0</v>
      </c>
      <c r="BE43" s="32">
        <v>0</v>
      </c>
      <c r="BF43" s="32">
        <f>43</f>
        <v>43</v>
      </c>
      <c r="BH43" s="17">
        <f>G43*AO43</f>
        <v>0</v>
      </c>
      <c r="BI43" s="17">
        <f>G43*AP43</f>
        <v>0</v>
      </c>
      <c r="BJ43" s="17">
        <f>G43*H43</f>
        <v>0</v>
      </c>
    </row>
    <row r="44" spans="3:7" ht="10.5" customHeight="1">
      <c r="C44" s="56" t="s">
        <v>158</v>
      </c>
      <c r="D44" s="57"/>
      <c r="E44" s="57"/>
      <c r="G44" s="16">
        <v>4</v>
      </c>
    </row>
    <row r="45" spans="1:62" ht="12.75">
      <c r="A45" s="4" t="s">
        <v>22</v>
      </c>
      <c r="B45" s="4" t="s">
        <v>83</v>
      </c>
      <c r="C45" s="58" t="s">
        <v>327</v>
      </c>
      <c r="D45" s="59"/>
      <c r="E45" s="59"/>
      <c r="F45" s="4" t="s">
        <v>231</v>
      </c>
      <c r="G45" s="15">
        <v>4</v>
      </c>
      <c r="H45" s="15">
        <v>0</v>
      </c>
      <c r="I45" s="15">
        <f>G45*AO45</f>
        <v>0</v>
      </c>
      <c r="J45" s="15">
        <f>G45*AP45</f>
        <v>0</v>
      </c>
      <c r="K45" s="15">
        <f>G45*H45</f>
        <v>0</v>
      </c>
      <c r="L45" s="27" t="s">
        <v>253</v>
      </c>
      <c r="Z45" s="32">
        <f>IF(AQ45="5",BJ45,0)</f>
        <v>0</v>
      </c>
      <c r="AB45" s="32">
        <f>IF(AQ45="1",BH45,0)</f>
        <v>0</v>
      </c>
      <c r="AC45" s="32">
        <f>IF(AQ45="1",BI45,0)</f>
        <v>0</v>
      </c>
      <c r="AD45" s="32">
        <f>IF(AQ45="7",BH45,0)</f>
        <v>0</v>
      </c>
      <c r="AE45" s="32">
        <f>IF(AQ45="7",BI45,0)</f>
        <v>0</v>
      </c>
      <c r="AF45" s="32">
        <f>IF(AQ45="2",BH45,0)</f>
        <v>0</v>
      </c>
      <c r="AG45" s="32">
        <f>IF(AQ45="2",BI45,0)</f>
        <v>0</v>
      </c>
      <c r="AH45" s="32">
        <f>IF(AQ45="0",BJ45,0)</f>
        <v>0</v>
      </c>
      <c r="AI45" s="28"/>
      <c r="AJ45" s="15">
        <f>IF(AN45=0,K45,0)</f>
        <v>0</v>
      </c>
      <c r="AK45" s="15">
        <f>IF(AN45=15,K45,0)</f>
        <v>0</v>
      </c>
      <c r="AL45" s="15">
        <f>IF(AN45=21,K45,0)</f>
        <v>0</v>
      </c>
      <c r="AN45" s="32">
        <v>21</v>
      </c>
      <c r="AO45" s="32">
        <f>H45*0.948560240963855</f>
        <v>0</v>
      </c>
      <c r="AP45" s="32">
        <f>H45*(1-0.948560240963855)</f>
        <v>0</v>
      </c>
      <c r="AQ45" s="27" t="s">
        <v>13</v>
      </c>
      <c r="AV45" s="32">
        <f>AW45+AX45</f>
        <v>0</v>
      </c>
      <c r="AW45" s="32">
        <f>G45*AO45</f>
        <v>0</v>
      </c>
      <c r="AX45" s="32">
        <f>G45*AP45</f>
        <v>0</v>
      </c>
      <c r="AY45" s="33" t="s">
        <v>266</v>
      </c>
      <c r="AZ45" s="33" t="s">
        <v>275</v>
      </c>
      <c r="BA45" s="28" t="s">
        <v>279</v>
      </c>
      <c r="BC45" s="32">
        <f>AW45+AX45</f>
        <v>0</v>
      </c>
      <c r="BD45" s="32">
        <f>H45/(100-BE45)*100</f>
        <v>0</v>
      </c>
      <c r="BE45" s="32">
        <v>0</v>
      </c>
      <c r="BF45" s="32">
        <f>45</f>
        <v>45</v>
      </c>
      <c r="BH45" s="15">
        <f>G45*AO45</f>
        <v>0</v>
      </c>
      <c r="BI45" s="15">
        <f>G45*AP45</f>
        <v>0</v>
      </c>
      <c r="BJ45" s="15">
        <f>G45*H45</f>
        <v>0</v>
      </c>
    </row>
    <row r="46" spans="3:7" ht="10.5" customHeight="1">
      <c r="C46" s="56" t="s">
        <v>158</v>
      </c>
      <c r="D46" s="57"/>
      <c r="E46" s="57"/>
      <c r="G46" s="16">
        <v>4</v>
      </c>
    </row>
    <row r="47" spans="1:62" ht="12.75">
      <c r="A47" s="4" t="s">
        <v>23</v>
      </c>
      <c r="B47" s="4" t="s">
        <v>84</v>
      </c>
      <c r="C47" s="58" t="s">
        <v>329</v>
      </c>
      <c r="D47" s="59"/>
      <c r="E47" s="59"/>
      <c r="F47" s="4" t="s">
        <v>232</v>
      </c>
      <c r="G47" s="15">
        <v>36.8</v>
      </c>
      <c r="H47" s="15">
        <v>0</v>
      </c>
      <c r="I47" s="15">
        <f>G47*AO47</f>
        <v>0</v>
      </c>
      <c r="J47" s="15">
        <f>G47*AP47</f>
        <v>0</v>
      </c>
      <c r="K47" s="15">
        <f>G47*H47</f>
        <v>0</v>
      </c>
      <c r="L47" s="27" t="s">
        <v>253</v>
      </c>
      <c r="Z47" s="32">
        <f>IF(AQ47="5",BJ47,0)</f>
        <v>0</v>
      </c>
      <c r="AB47" s="32">
        <f>IF(AQ47="1",BH47,0)</f>
        <v>0</v>
      </c>
      <c r="AC47" s="32">
        <f>IF(AQ47="1",BI47,0)</f>
        <v>0</v>
      </c>
      <c r="AD47" s="32">
        <f>IF(AQ47="7",BH47,0)</f>
        <v>0</v>
      </c>
      <c r="AE47" s="32">
        <f>IF(AQ47="7",BI47,0)</f>
        <v>0</v>
      </c>
      <c r="AF47" s="32">
        <f>IF(AQ47="2",BH47,0)</f>
        <v>0</v>
      </c>
      <c r="AG47" s="32">
        <f>IF(AQ47="2",BI47,0)</f>
        <v>0</v>
      </c>
      <c r="AH47" s="32">
        <f>IF(AQ47="0",BJ47,0)</f>
        <v>0</v>
      </c>
      <c r="AI47" s="28"/>
      <c r="AJ47" s="15">
        <f>IF(AN47=0,K47,0)</f>
        <v>0</v>
      </c>
      <c r="AK47" s="15">
        <f>IF(AN47=15,K47,0)</f>
        <v>0</v>
      </c>
      <c r="AL47" s="15">
        <f>IF(AN47=21,K47,0)</f>
        <v>0</v>
      </c>
      <c r="AN47" s="32">
        <v>21</v>
      </c>
      <c r="AO47" s="32">
        <f>H47*0.633049302154891</f>
        <v>0</v>
      </c>
      <c r="AP47" s="32">
        <f>H47*(1-0.633049302154891)</f>
        <v>0</v>
      </c>
      <c r="AQ47" s="27" t="s">
        <v>13</v>
      </c>
      <c r="AV47" s="32">
        <f>AW47+AX47</f>
        <v>0</v>
      </c>
      <c r="AW47" s="32">
        <f>G47*AO47</f>
        <v>0</v>
      </c>
      <c r="AX47" s="32">
        <f>G47*AP47</f>
        <v>0</v>
      </c>
      <c r="AY47" s="33" t="s">
        <v>266</v>
      </c>
      <c r="AZ47" s="33" t="s">
        <v>275</v>
      </c>
      <c r="BA47" s="28" t="s">
        <v>279</v>
      </c>
      <c r="BC47" s="32">
        <f>AW47+AX47</f>
        <v>0</v>
      </c>
      <c r="BD47" s="32">
        <f>H47/(100-BE47)*100</f>
        <v>0</v>
      </c>
      <c r="BE47" s="32">
        <v>0</v>
      </c>
      <c r="BF47" s="32">
        <f>47</f>
        <v>47</v>
      </c>
      <c r="BH47" s="15">
        <f>G47*AO47</f>
        <v>0</v>
      </c>
      <c r="BI47" s="15">
        <f>G47*AP47</f>
        <v>0</v>
      </c>
      <c r="BJ47" s="15">
        <f>G47*H47</f>
        <v>0</v>
      </c>
    </row>
    <row r="48" spans="3:7" ht="10.5" customHeight="1">
      <c r="C48" s="56" t="s">
        <v>159</v>
      </c>
      <c r="D48" s="57"/>
      <c r="E48" s="57"/>
      <c r="G48" s="16">
        <v>36.8</v>
      </c>
    </row>
    <row r="49" spans="1:62" ht="12.75">
      <c r="A49" s="4" t="s">
        <v>24</v>
      </c>
      <c r="B49" s="4" t="s">
        <v>85</v>
      </c>
      <c r="C49" s="58" t="s">
        <v>328</v>
      </c>
      <c r="D49" s="59"/>
      <c r="E49" s="59"/>
      <c r="F49" s="4" t="s">
        <v>232</v>
      </c>
      <c r="G49" s="15">
        <v>6</v>
      </c>
      <c r="H49" s="15">
        <v>0</v>
      </c>
      <c r="I49" s="15">
        <f>G49*AO49</f>
        <v>0</v>
      </c>
      <c r="J49" s="15">
        <f>G49*AP49</f>
        <v>0</v>
      </c>
      <c r="K49" s="15">
        <f>G49*H49</f>
        <v>0</v>
      </c>
      <c r="L49" s="27" t="s">
        <v>253</v>
      </c>
      <c r="Z49" s="32">
        <f>IF(AQ49="5",BJ49,0)</f>
        <v>0</v>
      </c>
      <c r="AB49" s="32">
        <f>IF(AQ49="1",BH49,0)</f>
        <v>0</v>
      </c>
      <c r="AC49" s="32">
        <f>IF(AQ49="1",BI49,0)</f>
        <v>0</v>
      </c>
      <c r="AD49" s="32">
        <f>IF(AQ49="7",BH49,0)</f>
        <v>0</v>
      </c>
      <c r="AE49" s="32">
        <f>IF(AQ49="7",BI49,0)</f>
        <v>0</v>
      </c>
      <c r="AF49" s="32">
        <f>IF(AQ49="2",BH49,0)</f>
        <v>0</v>
      </c>
      <c r="AG49" s="32">
        <f>IF(AQ49="2",BI49,0)</f>
        <v>0</v>
      </c>
      <c r="AH49" s="32">
        <f>IF(AQ49="0",BJ49,0)</f>
        <v>0</v>
      </c>
      <c r="AI49" s="28"/>
      <c r="AJ49" s="15">
        <f>IF(AN49=0,K49,0)</f>
        <v>0</v>
      </c>
      <c r="AK49" s="15">
        <f>IF(AN49=15,K49,0)</f>
        <v>0</v>
      </c>
      <c r="AL49" s="15">
        <f>IF(AN49=21,K49,0)</f>
        <v>0</v>
      </c>
      <c r="AN49" s="32">
        <v>21</v>
      </c>
      <c r="AO49" s="32">
        <f>H49*0.666198656141206</f>
        <v>0</v>
      </c>
      <c r="AP49" s="32">
        <f>H49*(1-0.666198656141206)</f>
        <v>0</v>
      </c>
      <c r="AQ49" s="27" t="s">
        <v>13</v>
      </c>
      <c r="AV49" s="32">
        <f>AW49+AX49</f>
        <v>0</v>
      </c>
      <c r="AW49" s="32">
        <f>G49*AO49</f>
        <v>0</v>
      </c>
      <c r="AX49" s="32">
        <f>G49*AP49</f>
        <v>0</v>
      </c>
      <c r="AY49" s="33" t="s">
        <v>266</v>
      </c>
      <c r="AZ49" s="33" t="s">
        <v>275</v>
      </c>
      <c r="BA49" s="28" t="s">
        <v>279</v>
      </c>
      <c r="BC49" s="32">
        <f>AW49+AX49</f>
        <v>0</v>
      </c>
      <c r="BD49" s="32">
        <f>H49/(100-BE49)*100</f>
        <v>0</v>
      </c>
      <c r="BE49" s="32">
        <v>0</v>
      </c>
      <c r="BF49" s="32">
        <f>49</f>
        <v>49</v>
      </c>
      <c r="BH49" s="15">
        <f>G49*AO49</f>
        <v>0</v>
      </c>
      <c r="BI49" s="15">
        <f>G49*AP49</f>
        <v>0</v>
      </c>
      <c r="BJ49" s="15">
        <f>G49*H49</f>
        <v>0</v>
      </c>
    </row>
    <row r="50" spans="3:7" ht="10.5" customHeight="1">
      <c r="C50" s="56" t="s">
        <v>160</v>
      </c>
      <c r="D50" s="57"/>
      <c r="E50" s="57"/>
      <c r="G50" s="16">
        <v>6</v>
      </c>
    </row>
    <row r="51" spans="1:62" ht="12.75">
      <c r="A51" s="4" t="s">
        <v>25</v>
      </c>
      <c r="B51" s="4" t="s">
        <v>86</v>
      </c>
      <c r="C51" s="58" t="s">
        <v>330</v>
      </c>
      <c r="D51" s="59"/>
      <c r="E51" s="59"/>
      <c r="F51" s="4" t="s">
        <v>232</v>
      </c>
      <c r="G51" s="15">
        <v>19.3</v>
      </c>
      <c r="H51" s="15">
        <v>0</v>
      </c>
      <c r="I51" s="15">
        <f>G51*AO51</f>
        <v>0</v>
      </c>
      <c r="J51" s="15">
        <f>G51*AP51</f>
        <v>0</v>
      </c>
      <c r="K51" s="15">
        <f>G51*H51</f>
        <v>0</v>
      </c>
      <c r="L51" s="27" t="s">
        <v>253</v>
      </c>
      <c r="Z51" s="32">
        <f>IF(AQ51="5",BJ51,0)</f>
        <v>0</v>
      </c>
      <c r="AB51" s="32">
        <f>IF(AQ51="1",BH51,0)</f>
        <v>0</v>
      </c>
      <c r="AC51" s="32">
        <f>IF(AQ51="1",BI51,0)</f>
        <v>0</v>
      </c>
      <c r="AD51" s="32">
        <f>IF(AQ51="7",BH51,0)</f>
        <v>0</v>
      </c>
      <c r="AE51" s="32">
        <f>IF(AQ51="7",BI51,0)</f>
        <v>0</v>
      </c>
      <c r="AF51" s="32">
        <f>IF(AQ51="2",BH51,0)</f>
        <v>0</v>
      </c>
      <c r="AG51" s="32">
        <f>IF(AQ51="2",BI51,0)</f>
        <v>0</v>
      </c>
      <c r="AH51" s="32">
        <f>IF(AQ51="0",BJ51,0)</f>
        <v>0</v>
      </c>
      <c r="AI51" s="28"/>
      <c r="AJ51" s="15">
        <f>IF(AN51=0,K51,0)</f>
        <v>0</v>
      </c>
      <c r="AK51" s="15">
        <f>IF(AN51=15,K51,0)</f>
        <v>0</v>
      </c>
      <c r="AL51" s="15">
        <f>IF(AN51=21,K51,0)</f>
        <v>0</v>
      </c>
      <c r="AN51" s="32">
        <v>21</v>
      </c>
      <c r="AO51" s="32">
        <f>H51*0.723814864947513</f>
        <v>0</v>
      </c>
      <c r="AP51" s="32">
        <f>H51*(1-0.723814864947513)</f>
        <v>0</v>
      </c>
      <c r="AQ51" s="27" t="s">
        <v>13</v>
      </c>
      <c r="AV51" s="32">
        <f>AW51+AX51</f>
        <v>0</v>
      </c>
      <c r="AW51" s="32">
        <f>G51*AO51</f>
        <v>0</v>
      </c>
      <c r="AX51" s="32">
        <f>G51*AP51</f>
        <v>0</v>
      </c>
      <c r="AY51" s="33" t="s">
        <v>266</v>
      </c>
      <c r="AZ51" s="33" t="s">
        <v>275</v>
      </c>
      <c r="BA51" s="28" t="s">
        <v>279</v>
      </c>
      <c r="BC51" s="32">
        <f>AW51+AX51</f>
        <v>0</v>
      </c>
      <c r="BD51" s="32">
        <f>H51/(100-BE51)*100</f>
        <v>0</v>
      </c>
      <c r="BE51" s="32">
        <v>0</v>
      </c>
      <c r="BF51" s="32">
        <f>51</f>
        <v>51</v>
      </c>
      <c r="BH51" s="15">
        <f>G51*AO51</f>
        <v>0</v>
      </c>
      <c r="BI51" s="15">
        <f>G51*AP51</f>
        <v>0</v>
      </c>
      <c r="BJ51" s="15">
        <f>G51*H51</f>
        <v>0</v>
      </c>
    </row>
    <row r="52" spans="3:7" ht="10.5" customHeight="1">
      <c r="C52" s="56" t="s">
        <v>161</v>
      </c>
      <c r="D52" s="57"/>
      <c r="E52" s="57"/>
      <c r="G52" s="16">
        <v>19.3</v>
      </c>
    </row>
    <row r="53" spans="1:62" ht="12.75">
      <c r="A53" s="6" t="s">
        <v>26</v>
      </c>
      <c r="B53" s="6" t="s">
        <v>80</v>
      </c>
      <c r="C53" s="66" t="s">
        <v>331</v>
      </c>
      <c r="D53" s="67"/>
      <c r="E53" s="67"/>
      <c r="F53" s="6" t="s">
        <v>231</v>
      </c>
      <c r="G53" s="17">
        <v>4</v>
      </c>
      <c r="H53" s="17">
        <v>0</v>
      </c>
      <c r="I53" s="17">
        <f>G53*AO53</f>
        <v>0</v>
      </c>
      <c r="J53" s="17">
        <f>G53*AP53</f>
        <v>0</v>
      </c>
      <c r="K53" s="17">
        <f>G53*H53</f>
        <v>0</v>
      </c>
      <c r="L53" s="29" t="s">
        <v>253</v>
      </c>
      <c r="Z53" s="32">
        <f>IF(AQ53="5",BJ53,0)</f>
        <v>0</v>
      </c>
      <c r="AB53" s="32">
        <f>IF(AQ53="1",BH53,0)</f>
        <v>0</v>
      </c>
      <c r="AC53" s="32">
        <f>IF(AQ53="1",BI53,0)</f>
        <v>0</v>
      </c>
      <c r="AD53" s="32">
        <f>IF(AQ53="7",BH53,0)</f>
        <v>0</v>
      </c>
      <c r="AE53" s="32">
        <f>IF(AQ53="7",BI53,0)</f>
        <v>0</v>
      </c>
      <c r="AF53" s="32">
        <f>IF(AQ53="2",BH53,0)</f>
        <v>0</v>
      </c>
      <c r="AG53" s="32">
        <f>IF(AQ53="2",BI53,0)</f>
        <v>0</v>
      </c>
      <c r="AH53" s="32">
        <f>IF(AQ53="0",BJ53,0)</f>
        <v>0</v>
      </c>
      <c r="AI53" s="28"/>
      <c r="AJ53" s="17">
        <f>IF(AN53=0,K53,0)</f>
        <v>0</v>
      </c>
      <c r="AK53" s="17">
        <f>IF(AN53=15,K53,0)</f>
        <v>0</v>
      </c>
      <c r="AL53" s="17">
        <f>IF(AN53=21,K53,0)</f>
        <v>0</v>
      </c>
      <c r="AN53" s="32">
        <v>21</v>
      </c>
      <c r="AO53" s="32">
        <f>H53*1</f>
        <v>0</v>
      </c>
      <c r="AP53" s="32">
        <f>H53*(1-1)</f>
        <v>0</v>
      </c>
      <c r="AQ53" s="29" t="s">
        <v>13</v>
      </c>
      <c r="AV53" s="32">
        <f>AW53+AX53</f>
        <v>0</v>
      </c>
      <c r="AW53" s="32">
        <f>G53*AO53</f>
        <v>0</v>
      </c>
      <c r="AX53" s="32">
        <f>G53*AP53</f>
        <v>0</v>
      </c>
      <c r="AY53" s="33" t="s">
        <v>266</v>
      </c>
      <c r="AZ53" s="33" t="s">
        <v>275</v>
      </c>
      <c r="BA53" s="28" t="s">
        <v>279</v>
      </c>
      <c r="BC53" s="32">
        <f>AW53+AX53</f>
        <v>0</v>
      </c>
      <c r="BD53" s="32">
        <f>H53/(100-BE53)*100</f>
        <v>0</v>
      </c>
      <c r="BE53" s="32">
        <v>0</v>
      </c>
      <c r="BF53" s="32">
        <f>53</f>
        <v>53</v>
      </c>
      <c r="BH53" s="17">
        <f>G53*AO53</f>
        <v>0</v>
      </c>
      <c r="BI53" s="17">
        <f>G53*AP53</f>
        <v>0</v>
      </c>
      <c r="BJ53" s="17">
        <f>G53*H53</f>
        <v>0</v>
      </c>
    </row>
    <row r="54" spans="3:7" ht="10.5" customHeight="1">
      <c r="C54" s="56" t="s">
        <v>158</v>
      </c>
      <c r="D54" s="57"/>
      <c r="E54" s="57"/>
      <c r="G54" s="16">
        <v>4</v>
      </c>
    </row>
    <row r="55" spans="1:62" ht="12.75">
      <c r="A55" s="6" t="s">
        <v>27</v>
      </c>
      <c r="B55" s="6" t="s">
        <v>80</v>
      </c>
      <c r="C55" s="66" t="s">
        <v>332</v>
      </c>
      <c r="D55" s="67"/>
      <c r="E55" s="67"/>
      <c r="F55" s="6" t="s">
        <v>231</v>
      </c>
      <c r="G55" s="17">
        <v>1</v>
      </c>
      <c r="H55" s="17">
        <v>0</v>
      </c>
      <c r="I55" s="17">
        <f>G55*AO55</f>
        <v>0</v>
      </c>
      <c r="J55" s="17">
        <f>G55*AP55</f>
        <v>0</v>
      </c>
      <c r="K55" s="17">
        <f>G55*H55</f>
        <v>0</v>
      </c>
      <c r="L55" s="29" t="s">
        <v>253</v>
      </c>
      <c r="Z55" s="32">
        <f>IF(AQ55="5",BJ55,0)</f>
        <v>0</v>
      </c>
      <c r="AB55" s="32">
        <f>IF(AQ55="1",BH55,0)</f>
        <v>0</v>
      </c>
      <c r="AC55" s="32">
        <f>IF(AQ55="1",BI55,0)</f>
        <v>0</v>
      </c>
      <c r="AD55" s="32">
        <f>IF(AQ55="7",BH55,0)</f>
        <v>0</v>
      </c>
      <c r="AE55" s="32">
        <f>IF(AQ55="7",BI55,0)</f>
        <v>0</v>
      </c>
      <c r="AF55" s="32">
        <f>IF(AQ55="2",BH55,0)</f>
        <v>0</v>
      </c>
      <c r="AG55" s="32">
        <f>IF(AQ55="2",BI55,0)</f>
        <v>0</v>
      </c>
      <c r="AH55" s="32">
        <f>IF(AQ55="0",BJ55,0)</f>
        <v>0</v>
      </c>
      <c r="AI55" s="28"/>
      <c r="AJ55" s="17">
        <f>IF(AN55=0,K55,0)</f>
        <v>0</v>
      </c>
      <c r="AK55" s="17">
        <f>IF(AN55=15,K55,0)</f>
        <v>0</v>
      </c>
      <c r="AL55" s="17">
        <f>IF(AN55=21,K55,0)</f>
        <v>0</v>
      </c>
      <c r="AN55" s="32">
        <v>21</v>
      </c>
      <c r="AO55" s="32">
        <f>H55*1</f>
        <v>0</v>
      </c>
      <c r="AP55" s="32">
        <f>H55*(1-1)</f>
        <v>0</v>
      </c>
      <c r="AQ55" s="29" t="s">
        <v>13</v>
      </c>
      <c r="AV55" s="32">
        <f>AW55+AX55</f>
        <v>0</v>
      </c>
      <c r="AW55" s="32">
        <f>G55*AO55</f>
        <v>0</v>
      </c>
      <c r="AX55" s="32">
        <f>G55*AP55</f>
        <v>0</v>
      </c>
      <c r="AY55" s="33" t="s">
        <v>266</v>
      </c>
      <c r="AZ55" s="33" t="s">
        <v>275</v>
      </c>
      <c r="BA55" s="28" t="s">
        <v>279</v>
      </c>
      <c r="BC55" s="32">
        <f>AW55+AX55</f>
        <v>0</v>
      </c>
      <c r="BD55" s="32">
        <f>H55/(100-BE55)*100</f>
        <v>0</v>
      </c>
      <c r="BE55" s="32">
        <v>0</v>
      </c>
      <c r="BF55" s="32">
        <f>55</f>
        <v>55</v>
      </c>
      <c r="BH55" s="17">
        <f>G55*AO55</f>
        <v>0</v>
      </c>
      <c r="BI55" s="17">
        <f>G55*AP55</f>
        <v>0</v>
      </c>
      <c r="BJ55" s="17">
        <f>G55*H55</f>
        <v>0</v>
      </c>
    </row>
    <row r="56" spans="3:7" ht="10.5" customHeight="1">
      <c r="C56" s="56" t="s">
        <v>138</v>
      </c>
      <c r="D56" s="57"/>
      <c r="E56" s="57"/>
      <c r="G56" s="16">
        <v>1</v>
      </c>
    </row>
    <row r="57" spans="1:62" ht="12.75">
      <c r="A57" s="6" t="s">
        <v>28</v>
      </c>
      <c r="B57" s="6" t="s">
        <v>80</v>
      </c>
      <c r="C57" s="66" t="s">
        <v>333</v>
      </c>
      <c r="D57" s="67"/>
      <c r="E57" s="67"/>
      <c r="F57" s="6" t="s">
        <v>231</v>
      </c>
      <c r="G57" s="17">
        <v>1</v>
      </c>
      <c r="H57" s="17">
        <v>0</v>
      </c>
      <c r="I57" s="17">
        <f>G57*AO57</f>
        <v>0</v>
      </c>
      <c r="J57" s="17">
        <f>G57*AP57</f>
        <v>0</v>
      </c>
      <c r="K57" s="17">
        <f>G57*H57</f>
        <v>0</v>
      </c>
      <c r="L57" s="29" t="s">
        <v>253</v>
      </c>
      <c r="Z57" s="32">
        <f>IF(AQ57="5",BJ57,0)</f>
        <v>0</v>
      </c>
      <c r="AB57" s="32">
        <f>IF(AQ57="1",BH57,0)</f>
        <v>0</v>
      </c>
      <c r="AC57" s="32">
        <f>IF(AQ57="1",BI57,0)</f>
        <v>0</v>
      </c>
      <c r="AD57" s="32">
        <f>IF(AQ57="7",BH57,0)</f>
        <v>0</v>
      </c>
      <c r="AE57" s="32">
        <f>IF(AQ57="7",BI57,0)</f>
        <v>0</v>
      </c>
      <c r="AF57" s="32">
        <f>IF(AQ57="2",BH57,0)</f>
        <v>0</v>
      </c>
      <c r="AG57" s="32">
        <f>IF(AQ57="2",BI57,0)</f>
        <v>0</v>
      </c>
      <c r="AH57" s="32">
        <f>IF(AQ57="0",BJ57,0)</f>
        <v>0</v>
      </c>
      <c r="AI57" s="28"/>
      <c r="AJ57" s="17">
        <f>IF(AN57=0,K57,0)</f>
        <v>0</v>
      </c>
      <c r="AK57" s="17">
        <f>IF(AN57=15,K57,0)</f>
        <v>0</v>
      </c>
      <c r="AL57" s="17">
        <f>IF(AN57=21,K57,0)</f>
        <v>0</v>
      </c>
      <c r="AN57" s="32">
        <v>21</v>
      </c>
      <c r="AO57" s="32">
        <f>H57*1</f>
        <v>0</v>
      </c>
      <c r="AP57" s="32">
        <f>H57*(1-1)</f>
        <v>0</v>
      </c>
      <c r="AQ57" s="29" t="s">
        <v>13</v>
      </c>
      <c r="AV57" s="32">
        <f>AW57+AX57</f>
        <v>0</v>
      </c>
      <c r="AW57" s="32">
        <f>G57*AO57</f>
        <v>0</v>
      </c>
      <c r="AX57" s="32">
        <f>G57*AP57</f>
        <v>0</v>
      </c>
      <c r="AY57" s="33" t="s">
        <v>266</v>
      </c>
      <c r="AZ57" s="33" t="s">
        <v>275</v>
      </c>
      <c r="BA57" s="28" t="s">
        <v>279</v>
      </c>
      <c r="BC57" s="32">
        <f>AW57+AX57</f>
        <v>0</v>
      </c>
      <c r="BD57" s="32">
        <f>H57/(100-BE57)*100</f>
        <v>0</v>
      </c>
      <c r="BE57" s="32">
        <v>0</v>
      </c>
      <c r="BF57" s="32">
        <f>57</f>
        <v>57</v>
      </c>
      <c r="BH57" s="17">
        <f>G57*AO57</f>
        <v>0</v>
      </c>
      <c r="BI57" s="17">
        <f>G57*AP57</f>
        <v>0</v>
      </c>
      <c r="BJ57" s="17">
        <f>G57*H57</f>
        <v>0</v>
      </c>
    </row>
    <row r="58" spans="3:7" ht="10.5" customHeight="1">
      <c r="C58" s="56" t="s">
        <v>138</v>
      </c>
      <c r="D58" s="57"/>
      <c r="E58" s="57"/>
      <c r="G58" s="16">
        <v>1</v>
      </c>
    </row>
    <row r="59" spans="1:62" ht="12.75">
      <c r="A59" s="4" t="s">
        <v>29</v>
      </c>
      <c r="B59" s="4" t="s">
        <v>87</v>
      </c>
      <c r="C59" s="58" t="s">
        <v>334</v>
      </c>
      <c r="D59" s="59"/>
      <c r="E59" s="59"/>
      <c r="F59" s="4" t="s">
        <v>228</v>
      </c>
      <c r="G59" s="15">
        <v>2.07</v>
      </c>
      <c r="H59" s="15">
        <v>0</v>
      </c>
      <c r="I59" s="15">
        <f>G59*AO59</f>
        <v>0</v>
      </c>
      <c r="J59" s="15">
        <f>G59*AP59</f>
        <v>0</v>
      </c>
      <c r="K59" s="15">
        <f>G59*H59</f>
        <v>0</v>
      </c>
      <c r="L59" s="27" t="s">
        <v>253</v>
      </c>
      <c r="Z59" s="32">
        <f>IF(AQ59="5",BJ59,0)</f>
        <v>0</v>
      </c>
      <c r="AB59" s="32">
        <f>IF(AQ59="1",BH59,0)</f>
        <v>0</v>
      </c>
      <c r="AC59" s="32">
        <f>IF(AQ59="1",BI59,0)</f>
        <v>0</v>
      </c>
      <c r="AD59" s="32">
        <f>IF(AQ59="7",BH59,0)</f>
        <v>0</v>
      </c>
      <c r="AE59" s="32">
        <f>IF(AQ59="7",BI59,0)</f>
        <v>0</v>
      </c>
      <c r="AF59" s="32">
        <f>IF(AQ59="2",BH59,0)</f>
        <v>0</v>
      </c>
      <c r="AG59" s="32">
        <f>IF(AQ59="2",BI59,0)</f>
        <v>0</v>
      </c>
      <c r="AH59" s="32">
        <f>IF(AQ59="0",BJ59,0)</f>
        <v>0</v>
      </c>
      <c r="AI59" s="28"/>
      <c r="AJ59" s="15">
        <f>IF(AN59=0,K59,0)</f>
        <v>0</v>
      </c>
      <c r="AK59" s="15">
        <f>IF(AN59=15,K59,0)</f>
        <v>0</v>
      </c>
      <c r="AL59" s="15">
        <f>IF(AN59=21,K59,0)</f>
        <v>0</v>
      </c>
      <c r="AN59" s="32">
        <v>21</v>
      </c>
      <c r="AO59" s="32">
        <f>H59*0.367197282229267</f>
        <v>0</v>
      </c>
      <c r="AP59" s="32">
        <f>H59*(1-0.367197282229267)</f>
        <v>0</v>
      </c>
      <c r="AQ59" s="27" t="s">
        <v>13</v>
      </c>
      <c r="AV59" s="32">
        <f>AW59+AX59</f>
        <v>0</v>
      </c>
      <c r="AW59" s="32">
        <f>G59*AO59</f>
        <v>0</v>
      </c>
      <c r="AX59" s="32">
        <f>G59*AP59</f>
        <v>0</v>
      </c>
      <c r="AY59" s="33" t="s">
        <v>266</v>
      </c>
      <c r="AZ59" s="33" t="s">
        <v>275</v>
      </c>
      <c r="BA59" s="28" t="s">
        <v>279</v>
      </c>
      <c r="BC59" s="32">
        <f>AW59+AX59</f>
        <v>0</v>
      </c>
      <c r="BD59" s="32">
        <f>H59/(100-BE59)*100</f>
        <v>0</v>
      </c>
      <c r="BE59" s="32">
        <v>0</v>
      </c>
      <c r="BF59" s="32">
        <f>59</f>
        <v>59</v>
      </c>
      <c r="BH59" s="15">
        <f>G59*AO59</f>
        <v>0</v>
      </c>
      <c r="BI59" s="15">
        <f>G59*AP59</f>
        <v>0</v>
      </c>
      <c r="BJ59" s="15">
        <f>G59*H59</f>
        <v>0</v>
      </c>
    </row>
    <row r="60" spans="3:7" ht="10.5" customHeight="1">
      <c r="C60" s="56" t="s">
        <v>162</v>
      </c>
      <c r="D60" s="57"/>
      <c r="E60" s="57"/>
      <c r="G60" s="16">
        <v>2.07</v>
      </c>
    </row>
    <row r="61" spans="1:62" ht="12.75">
      <c r="A61" s="4" t="s">
        <v>30</v>
      </c>
      <c r="B61" s="4" t="s">
        <v>88</v>
      </c>
      <c r="C61" s="58" t="s">
        <v>335</v>
      </c>
      <c r="D61" s="59"/>
      <c r="E61" s="59"/>
      <c r="F61" s="4" t="s">
        <v>232</v>
      </c>
      <c r="G61" s="15">
        <v>34.3</v>
      </c>
      <c r="H61" s="15">
        <v>0</v>
      </c>
      <c r="I61" s="15">
        <f>G61*AO61</f>
        <v>0</v>
      </c>
      <c r="J61" s="15">
        <f>G61*AP61</f>
        <v>0</v>
      </c>
      <c r="K61" s="15">
        <f>G61*H61</f>
        <v>0</v>
      </c>
      <c r="L61" s="27" t="s">
        <v>253</v>
      </c>
      <c r="Z61" s="32">
        <f>IF(AQ61="5",BJ61,0)</f>
        <v>0</v>
      </c>
      <c r="AB61" s="32">
        <f>IF(AQ61="1",BH61,0)</f>
        <v>0</v>
      </c>
      <c r="AC61" s="32">
        <f>IF(AQ61="1",BI61,0)</f>
        <v>0</v>
      </c>
      <c r="AD61" s="32">
        <f>IF(AQ61="7",BH61,0)</f>
        <v>0</v>
      </c>
      <c r="AE61" s="32">
        <f>IF(AQ61="7",BI61,0)</f>
        <v>0</v>
      </c>
      <c r="AF61" s="32">
        <f>IF(AQ61="2",BH61,0)</f>
        <v>0</v>
      </c>
      <c r="AG61" s="32">
        <f>IF(AQ61="2",BI61,0)</f>
        <v>0</v>
      </c>
      <c r="AH61" s="32">
        <f>IF(AQ61="0",BJ61,0)</f>
        <v>0</v>
      </c>
      <c r="AI61" s="28"/>
      <c r="AJ61" s="15">
        <f>IF(AN61=0,K61,0)</f>
        <v>0</v>
      </c>
      <c r="AK61" s="15">
        <f>IF(AN61=15,K61,0)</f>
        <v>0</v>
      </c>
      <c r="AL61" s="15">
        <f>IF(AN61=21,K61,0)</f>
        <v>0</v>
      </c>
      <c r="AN61" s="32">
        <v>21</v>
      </c>
      <c r="AO61" s="32">
        <f>H61*0.487454963788425</f>
        <v>0</v>
      </c>
      <c r="AP61" s="32">
        <f>H61*(1-0.487454963788425)</f>
        <v>0</v>
      </c>
      <c r="AQ61" s="27" t="s">
        <v>13</v>
      </c>
      <c r="AV61" s="32">
        <f>AW61+AX61</f>
        <v>0</v>
      </c>
      <c r="AW61" s="32">
        <f>G61*AO61</f>
        <v>0</v>
      </c>
      <c r="AX61" s="32">
        <f>G61*AP61</f>
        <v>0</v>
      </c>
      <c r="AY61" s="33" t="s">
        <v>266</v>
      </c>
      <c r="AZ61" s="33" t="s">
        <v>275</v>
      </c>
      <c r="BA61" s="28" t="s">
        <v>279</v>
      </c>
      <c r="BC61" s="32">
        <f>AW61+AX61</f>
        <v>0</v>
      </c>
      <c r="BD61" s="32">
        <f>H61/(100-BE61)*100</f>
        <v>0</v>
      </c>
      <c r="BE61" s="32">
        <v>0</v>
      </c>
      <c r="BF61" s="32">
        <f>61</f>
        <v>61</v>
      </c>
      <c r="BH61" s="15">
        <f>G61*AO61</f>
        <v>0</v>
      </c>
      <c r="BI61" s="15">
        <f>G61*AP61</f>
        <v>0</v>
      </c>
      <c r="BJ61" s="15">
        <f>G61*H61</f>
        <v>0</v>
      </c>
    </row>
    <row r="62" spans="3:7" ht="10.5" customHeight="1">
      <c r="C62" s="56" t="s">
        <v>163</v>
      </c>
      <c r="D62" s="57"/>
      <c r="E62" s="57"/>
      <c r="G62" s="16">
        <v>34.3</v>
      </c>
    </row>
    <row r="63" spans="1:62" ht="12.75">
      <c r="A63" s="4" t="s">
        <v>31</v>
      </c>
      <c r="B63" s="4" t="s">
        <v>89</v>
      </c>
      <c r="C63" s="58" t="s">
        <v>336</v>
      </c>
      <c r="D63" s="59"/>
      <c r="E63" s="59"/>
      <c r="F63" s="4" t="s">
        <v>232</v>
      </c>
      <c r="G63" s="15">
        <v>13.6</v>
      </c>
      <c r="H63" s="15">
        <v>0</v>
      </c>
      <c r="I63" s="15">
        <f>G63*AO63</f>
        <v>0</v>
      </c>
      <c r="J63" s="15">
        <f>G63*AP63</f>
        <v>0</v>
      </c>
      <c r="K63" s="15">
        <f>G63*H63</f>
        <v>0</v>
      </c>
      <c r="L63" s="27" t="s">
        <v>253</v>
      </c>
      <c r="Z63" s="32">
        <f>IF(AQ63="5",BJ63,0)</f>
        <v>0</v>
      </c>
      <c r="AB63" s="32">
        <f>IF(AQ63="1",BH63,0)</f>
        <v>0</v>
      </c>
      <c r="AC63" s="32">
        <f>IF(AQ63="1",BI63,0)</f>
        <v>0</v>
      </c>
      <c r="AD63" s="32">
        <f>IF(AQ63="7",BH63,0)</f>
        <v>0</v>
      </c>
      <c r="AE63" s="32">
        <f>IF(AQ63="7",BI63,0)</f>
        <v>0</v>
      </c>
      <c r="AF63" s="32">
        <f>IF(AQ63="2",BH63,0)</f>
        <v>0</v>
      </c>
      <c r="AG63" s="32">
        <f>IF(AQ63="2",BI63,0)</f>
        <v>0</v>
      </c>
      <c r="AH63" s="32">
        <f>IF(AQ63="0",BJ63,0)</f>
        <v>0</v>
      </c>
      <c r="AI63" s="28"/>
      <c r="AJ63" s="15">
        <f>IF(AN63=0,K63,0)</f>
        <v>0</v>
      </c>
      <c r="AK63" s="15">
        <f>IF(AN63=15,K63,0)</f>
        <v>0</v>
      </c>
      <c r="AL63" s="15">
        <f>IF(AN63=21,K63,0)</f>
        <v>0</v>
      </c>
      <c r="AN63" s="32">
        <v>21</v>
      </c>
      <c r="AO63" s="32">
        <f>H63*0.527142860478529</f>
        <v>0</v>
      </c>
      <c r="AP63" s="32">
        <f>H63*(1-0.527142860478529)</f>
        <v>0</v>
      </c>
      <c r="AQ63" s="27" t="s">
        <v>13</v>
      </c>
      <c r="AV63" s="32">
        <f>AW63+AX63</f>
        <v>0</v>
      </c>
      <c r="AW63" s="32">
        <f>G63*AO63</f>
        <v>0</v>
      </c>
      <c r="AX63" s="32">
        <f>G63*AP63</f>
        <v>0</v>
      </c>
      <c r="AY63" s="33" t="s">
        <v>266</v>
      </c>
      <c r="AZ63" s="33" t="s">
        <v>275</v>
      </c>
      <c r="BA63" s="28" t="s">
        <v>279</v>
      </c>
      <c r="BC63" s="32">
        <f>AW63+AX63</f>
        <v>0</v>
      </c>
      <c r="BD63" s="32">
        <f>H63/(100-BE63)*100</f>
        <v>0</v>
      </c>
      <c r="BE63" s="32">
        <v>0</v>
      </c>
      <c r="BF63" s="32">
        <f>63</f>
        <v>63</v>
      </c>
      <c r="BH63" s="15">
        <f>G63*AO63</f>
        <v>0</v>
      </c>
      <c r="BI63" s="15">
        <f>G63*AP63</f>
        <v>0</v>
      </c>
      <c r="BJ63" s="15">
        <f>G63*H63</f>
        <v>0</v>
      </c>
    </row>
    <row r="64" spans="3:7" ht="10.5" customHeight="1">
      <c r="C64" s="56" t="s">
        <v>164</v>
      </c>
      <c r="D64" s="57"/>
      <c r="E64" s="57"/>
      <c r="G64" s="16">
        <v>13.6</v>
      </c>
    </row>
    <row r="65" spans="1:62" ht="12.75">
      <c r="A65" s="4" t="s">
        <v>32</v>
      </c>
      <c r="B65" s="4" t="s">
        <v>90</v>
      </c>
      <c r="C65" s="58" t="s">
        <v>165</v>
      </c>
      <c r="D65" s="59"/>
      <c r="E65" s="59"/>
      <c r="F65" s="4" t="s">
        <v>232</v>
      </c>
      <c r="G65" s="15">
        <v>34.3</v>
      </c>
      <c r="H65" s="15">
        <v>0</v>
      </c>
      <c r="I65" s="15">
        <f>G65*AO65</f>
        <v>0</v>
      </c>
      <c r="J65" s="15">
        <f>G65*AP65</f>
        <v>0</v>
      </c>
      <c r="K65" s="15">
        <f>G65*H65</f>
        <v>0</v>
      </c>
      <c r="L65" s="27" t="s">
        <v>253</v>
      </c>
      <c r="Z65" s="32">
        <f>IF(AQ65="5",BJ65,0)</f>
        <v>0</v>
      </c>
      <c r="AB65" s="32">
        <f>IF(AQ65="1",BH65,0)</f>
        <v>0</v>
      </c>
      <c r="AC65" s="32">
        <f>IF(AQ65="1",BI65,0)</f>
        <v>0</v>
      </c>
      <c r="AD65" s="32">
        <f>IF(AQ65="7",BH65,0)</f>
        <v>0</v>
      </c>
      <c r="AE65" s="32">
        <f>IF(AQ65="7",BI65,0)</f>
        <v>0</v>
      </c>
      <c r="AF65" s="32">
        <f>IF(AQ65="2",BH65,0)</f>
        <v>0</v>
      </c>
      <c r="AG65" s="32">
        <f>IF(AQ65="2",BI65,0)</f>
        <v>0</v>
      </c>
      <c r="AH65" s="32">
        <f>IF(AQ65="0",BJ65,0)</f>
        <v>0</v>
      </c>
      <c r="AI65" s="28"/>
      <c r="AJ65" s="15">
        <f>IF(AN65=0,K65,0)</f>
        <v>0</v>
      </c>
      <c r="AK65" s="15">
        <f>IF(AN65=15,K65,0)</f>
        <v>0</v>
      </c>
      <c r="AL65" s="15">
        <f>IF(AN65=21,K65,0)</f>
        <v>0</v>
      </c>
      <c r="AN65" s="32">
        <v>21</v>
      </c>
      <c r="AO65" s="32">
        <f>H65*0.703289564616448</f>
        <v>0</v>
      </c>
      <c r="AP65" s="32">
        <f>H65*(1-0.703289564616448)</f>
        <v>0</v>
      </c>
      <c r="AQ65" s="27" t="s">
        <v>13</v>
      </c>
      <c r="AV65" s="32">
        <f>AW65+AX65</f>
        <v>0</v>
      </c>
      <c r="AW65" s="32">
        <f>G65*AO65</f>
        <v>0</v>
      </c>
      <c r="AX65" s="32">
        <f>G65*AP65</f>
        <v>0</v>
      </c>
      <c r="AY65" s="33" t="s">
        <v>266</v>
      </c>
      <c r="AZ65" s="33" t="s">
        <v>275</v>
      </c>
      <c r="BA65" s="28" t="s">
        <v>279</v>
      </c>
      <c r="BC65" s="32">
        <f>AW65+AX65</f>
        <v>0</v>
      </c>
      <c r="BD65" s="32">
        <f>H65/(100-BE65)*100</f>
        <v>0</v>
      </c>
      <c r="BE65" s="32">
        <v>0</v>
      </c>
      <c r="BF65" s="32">
        <f>65</f>
        <v>65</v>
      </c>
      <c r="BH65" s="15">
        <f>G65*AO65</f>
        <v>0</v>
      </c>
      <c r="BI65" s="15">
        <f>G65*AP65</f>
        <v>0</v>
      </c>
      <c r="BJ65" s="15">
        <f>G65*H65</f>
        <v>0</v>
      </c>
    </row>
    <row r="66" spans="3:7" ht="10.5" customHeight="1">
      <c r="C66" s="56" t="s">
        <v>163</v>
      </c>
      <c r="D66" s="57"/>
      <c r="E66" s="57"/>
      <c r="G66" s="16">
        <v>34.3</v>
      </c>
    </row>
    <row r="67" spans="1:62" ht="12.75">
      <c r="A67" s="4" t="s">
        <v>33</v>
      </c>
      <c r="B67" s="4" t="s">
        <v>91</v>
      </c>
      <c r="C67" s="58" t="s">
        <v>166</v>
      </c>
      <c r="D67" s="59"/>
      <c r="E67" s="59"/>
      <c r="F67" s="4" t="s">
        <v>232</v>
      </c>
      <c r="G67" s="15">
        <v>7.5</v>
      </c>
      <c r="H67" s="15">
        <v>0</v>
      </c>
      <c r="I67" s="15">
        <f>G67*AO67</f>
        <v>0</v>
      </c>
      <c r="J67" s="15">
        <f>G67*AP67</f>
        <v>0</v>
      </c>
      <c r="K67" s="15">
        <f>G67*H67</f>
        <v>0</v>
      </c>
      <c r="L67" s="27" t="s">
        <v>253</v>
      </c>
      <c r="Z67" s="32">
        <f>IF(AQ67="5",BJ67,0)</f>
        <v>0</v>
      </c>
      <c r="AB67" s="32">
        <f>IF(AQ67="1",BH67,0)</f>
        <v>0</v>
      </c>
      <c r="AC67" s="32">
        <f>IF(AQ67="1",BI67,0)</f>
        <v>0</v>
      </c>
      <c r="AD67" s="32">
        <f>IF(AQ67="7",BH67,0)</f>
        <v>0</v>
      </c>
      <c r="AE67" s="32">
        <f>IF(AQ67="7",BI67,0)</f>
        <v>0</v>
      </c>
      <c r="AF67" s="32">
        <f>IF(AQ67="2",BH67,0)</f>
        <v>0</v>
      </c>
      <c r="AG67" s="32">
        <f>IF(AQ67="2",BI67,0)</f>
        <v>0</v>
      </c>
      <c r="AH67" s="32">
        <f>IF(AQ67="0",BJ67,0)</f>
        <v>0</v>
      </c>
      <c r="AI67" s="28"/>
      <c r="AJ67" s="15">
        <f>IF(AN67=0,K67,0)</f>
        <v>0</v>
      </c>
      <c r="AK67" s="15">
        <f>IF(AN67=15,K67,0)</f>
        <v>0</v>
      </c>
      <c r="AL67" s="15">
        <f>IF(AN67=21,K67,0)</f>
        <v>0</v>
      </c>
      <c r="AN67" s="32">
        <v>21</v>
      </c>
      <c r="AO67" s="32">
        <f>H67*0.64789933022123</f>
        <v>0</v>
      </c>
      <c r="AP67" s="32">
        <f>H67*(1-0.64789933022123)</f>
        <v>0</v>
      </c>
      <c r="AQ67" s="27" t="s">
        <v>13</v>
      </c>
      <c r="AV67" s="32">
        <f>AW67+AX67</f>
        <v>0</v>
      </c>
      <c r="AW67" s="32">
        <f>G67*AO67</f>
        <v>0</v>
      </c>
      <c r="AX67" s="32">
        <f>G67*AP67</f>
        <v>0</v>
      </c>
      <c r="AY67" s="33" t="s">
        <v>266</v>
      </c>
      <c r="AZ67" s="33" t="s">
        <v>275</v>
      </c>
      <c r="BA67" s="28" t="s">
        <v>279</v>
      </c>
      <c r="BC67" s="32">
        <f>AW67+AX67</f>
        <v>0</v>
      </c>
      <c r="BD67" s="32">
        <f>H67/(100-BE67)*100</f>
        <v>0</v>
      </c>
      <c r="BE67" s="32">
        <v>0</v>
      </c>
      <c r="BF67" s="32">
        <f>67</f>
        <v>67</v>
      </c>
      <c r="BH67" s="15">
        <f>G67*AO67</f>
        <v>0</v>
      </c>
      <c r="BI67" s="15">
        <f>G67*AP67</f>
        <v>0</v>
      </c>
      <c r="BJ67" s="15">
        <f>G67*H67</f>
        <v>0</v>
      </c>
    </row>
    <row r="68" spans="3:7" ht="10.5" customHeight="1">
      <c r="C68" s="56" t="s">
        <v>167</v>
      </c>
      <c r="D68" s="57"/>
      <c r="E68" s="57"/>
      <c r="G68" s="16">
        <v>7.5</v>
      </c>
    </row>
    <row r="69" spans="1:62" ht="12.75">
      <c r="A69" s="4" t="s">
        <v>34</v>
      </c>
      <c r="B69" s="4" t="s">
        <v>92</v>
      </c>
      <c r="C69" s="58" t="s">
        <v>168</v>
      </c>
      <c r="D69" s="59"/>
      <c r="E69" s="59"/>
      <c r="F69" s="4" t="s">
        <v>229</v>
      </c>
      <c r="G69" s="15">
        <v>2.2876</v>
      </c>
      <c r="H69" s="15">
        <v>0</v>
      </c>
      <c r="I69" s="15">
        <f>G69*AO69</f>
        <v>0</v>
      </c>
      <c r="J69" s="15">
        <f>G69*AP69</f>
        <v>0</v>
      </c>
      <c r="K69" s="15">
        <f>G69*H69</f>
        <v>0</v>
      </c>
      <c r="L69" s="27" t="s">
        <v>253</v>
      </c>
      <c r="Z69" s="32">
        <f>IF(AQ69="5",BJ69,0)</f>
        <v>0</v>
      </c>
      <c r="AB69" s="32">
        <f>IF(AQ69="1",BH69,0)</f>
        <v>0</v>
      </c>
      <c r="AC69" s="32">
        <f>IF(AQ69="1",BI69,0)</f>
        <v>0</v>
      </c>
      <c r="AD69" s="32">
        <f>IF(AQ69="7",BH69,0)</f>
        <v>0</v>
      </c>
      <c r="AE69" s="32">
        <f>IF(AQ69="7",BI69,0)</f>
        <v>0</v>
      </c>
      <c r="AF69" s="32">
        <f>IF(AQ69="2",BH69,0)</f>
        <v>0</v>
      </c>
      <c r="AG69" s="32">
        <f>IF(AQ69="2",BI69,0)</f>
        <v>0</v>
      </c>
      <c r="AH69" s="32">
        <f>IF(AQ69="0",BJ69,0)</f>
        <v>0</v>
      </c>
      <c r="AI69" s="28"/>
      <c r="AJ69" s="15">
        <f>IF(AN69=0,K69,0)</f>
        <v>0</v>
      </c>
      <c r="AK69" s="15">
        <f>IF(AN69=15,K69,0)</f>
        <v>0</v>
      </c>
      <c r="AL69" s="15">
        <f>IF(AN69=21,K69,0)</f>
        <v>0</v>
      </c>
      <c r="AN69" s="32">
        <v>21</v>
      </c>
      <c r="AO69" s="32">
        <f>H69*0</f>
        <v>0</v>
      </c>
      <c r="AP69" s="32">
        <f>H69*(1-0)</f>
        <v>0</v>
      </c>
      <c r="AQ69" s="27" t="s">
        <v>11</v>
      </c>
      <c r="AV69" s="32">
        <f>AW69+AX69</f>
        <v>0</v>
      </c>
      <c r="AW69" s="32">
        <f>G69*AO69</f>
        <v>0</v>
      </c>
      <c r="AX69" s="32">
        <f>G69*AP69</f>
        <v>0</v>
      </c>
      <c r="AY69" s="33" t="s">
        <v>266</v>
      </c>
      <c r="AZ69" s="33" t="s">
        <v>275</v>
      </c>
      <c r="BA69" s="28" t="s">
        <v>279</v>
      </c>
      <c r="BC69" s="32">
        <f>AW69+AX69</f>
        <v>0</v>
      </c>
      <c r="BD69" s="32">
        <f>H69/(100-BE69)*100</f>
        <v>0</v>
      </c>
      <c r="BE69" s="32">
        <v>0</v>
      </c>
      <c r="BF69" s="32">
        <f>69</f>
        <v>69</v>
      </c>
      <c r="BH69" s="15">
        <f>G69*AO69</f>
        <v>0</v>
      </c>
      <c r="BI69" s="15">
        <f>G69*AP69</f>
        <v>0</v>
      </c>
      <c r="BJ69" s="15">
        <f>G69*H69</f>
        <v>0</v>
      </c>
    </row>
    <row r="70" spans="1:47" ht="12.75">
      <c r="A70" s="5"/>
      <c r="B70" s="13" t="s">
        <v>93</v>
      </c>
      <c r="C70" s="64" t="s">
        <v>169</v>
      </c>
      <c r="D70" s="65"/>
      <c r="E70" s="65"/>
      <c r="F70" s="5" t="s">
        <v>6</v>
      </c>
      <c r="G70" s="5" t="s">
        <v>6</v>
      </c>
      <c r="H70" s="5" t="s">
        <v>6</v>
      </c>
      <c r="I70" s="35">
        <f>SUM(I71:I78)</f>
        <v>0</v>
      </c>
      <c r="J70" s="35">
        <f>SUM(J71:J78)</f>
        <v>0</v>
      </c>
      <c r="K70" s="35">
        <f>SUM(K71:K78)</f>
        <v>0</v>
      </c>
      <c r="L70" s="28"/>
      <c r="AI70" s="28"/>
      <c r="AS70" s="35">
        <f>SUM(AJ71:AJ78)</f>
        <v>0</v>
      </c>
      <c r="AT70" s="35">
        <f>SUM(AK71:AK78)</f>
        <v>0</v>
      </c>
      <c r="AU70" s="35">
        <f>SUM(AL71:AL78)</f>
        <v>0</v>
      </c>
    </row>
    <row r="71" spans="1:62" ht="12.75">
      <c r="A71" s="4" t="s">
        <v>35</v>
      </c>
      <c r="B71" s="4" t="s">
        <v>94</v>
      </c>
      <c r="C71" s="58" t="s">
        <v>170</v>
      </c>
      <c r="D71" s="59"/>
      <c r="E71" s="59"/>
      <c r="F71" s="4" t="s">
        <v>228</v>
      </c>
      <c r="G71" s="15">
        <v>34.2</v>
      </c>
      <c r="H71" s="15">
        <v>0</v>
      </c>
      <c r="I71" s="15">
        <f>G71*AO71</f>
        <v>0</v>
      </c>
      <c r="J71" s="15">
        <f>G71*AP71</f>
        <v>0</v>
      </c>
      <c r="K71" s="15">
        <f>G71*H71</f>
        <v>0</v>
      </c>
      <c r="L71" s="27" t="s">
        <v>253</v>
      </c>
      <c r="Z71" s="32">
        <f>IF(AQ71="5",BJ71,0)</f>
        <v>0</v>
      </c>
      <c r="AB71" s="32">
        <f>IF(AQ71="1",BH71,0)</f>
        <v>0</v>
      </c>
      <c r="AC71" s="32">
        <f>IF(AQ71="1",BI71,0)</f>
        <v>0</v>
      </c>
      <c r="AD71" s="32">
        <f>IF(AQ71="7",BH71,0)</f>
        <v>0</v>
      </c>
      <c r="AE71" s="32">
        <f>IF(AQ71="7",BI71,0)</f>
        <v>0</v>
      </c>
      <c r="AF71" s="32">
        <f>IF(AQ71="2",BH71,0)</f>
        <v>0</v>
      </c>
      <c r="AG71" s="32">
        <f>IF(AQ71="2",BI71,0)</f>
        <v>0</v>
      </c>
      <c r="AH71" s="32">
        <f>IF(AQ71="0",BJ71,0)</f>
        <v>0</v>
      </c>
      <c r="AI71" s="28"/>
      <c r="AJ71" s="15">
        <f>IF(AN71=0,K71,0)</f>
        <v>0</v>
      </c>
      <c r="AK71" s="15">
        <f>IF(AN71=15,K71,0)</f>
        <v>0</v>
      </c>
      <c r="AL71" s="15">
        <f>IF(AN71=21,K71,0)</f>
        <v>0</v>
      </c>
      <c r="AN71" s="32">
        <v>21</v>
      </c>
      <c r="AO71" s="32">
        <f>H71*0.0227322637151178</f>
        <v>0</v>
      </c>
      <c r="AP71" s="32">
        <f>H71*(1-0.0227322637151178)</f>
        <v>0</v>
      </c>
      <c r="AQ71" s="27" t="s">
        <v>13</v>
      </c>
      <c r="AV71" s="32">
        <f>AW71+AX71</f>
        <v>0</v>
      </c>
      <c r="AW71" s="32">
        <f>G71*AO71</f>
        <v>0</v>
      </c>
      <c r="AX71" s="32">
        <f>G71*AP71</f>
        <v>0</v>
      </c>
      <c r="AY71" s="33" t="s">
        <v>267</v>
      </c>
      <c r="AZ71" s="33" t="s">
        <v>275</v>
      </c>
      <c r="BA71" s="28" t="s">
        <v>279</v>
      </c>
      <c r="BC71" s="32">
        <f>AW71+AX71</f>
        <v>0</v>
      </c>
      <c r="BD71" s="32">
        <f>H71/(100-BE71)*100</f>
        <v>0</v>
      </c>
      <c r="BE71" s="32">
        <v>0</v>
      </c>
      <c r="BF71" s="32">
        <f>71</f>
        <v>71</v>
      </c>
      <c r="BH71" s="15">
        <f>G71*AO71</f>
        <v>0</v>
      </c>
      <c r="BI71" s="15">
        <f>G71*AP71</f>
        <v>0</v>
      </c>
      <c r="BJ71" s="15">
        <f>G71*H71</f>
        <v>0</v>
      </c>
    </row>
    <row r="72" spans="3:7" ht="10.5" customHeight="1">
      <c r="C72" s="56" t="s">
        <v>171</v>
      </c>
      <c r="D72" s="57"/>
      <c r="E72" s="57"/>
      <c r="G72" s="16">
        <v>34.2</v>
      </c>
    </row>
    <row r="73" spans="1:62" ht="12.75">
      <c r="A73" s="6" t="s">
        <v>36</v>
      </c>
      <c r="B73" s="6" t="s">
        <v>95</v>
      </c>
      <c r="C73" s="66" t="s">
        <v>172</v>
      </c>
      <c r="D73" s="67"/>
      <c r="E73" s="67"/>
      <c r="F73" s="6" t="s">
        <v>228</v>
      </c>
      <c r="G73" s="17">
        <v>38.988</v>
      </c>
      <c r="H73" s="17">
        <v>0</v>
      </c>
      <c r="I73" s="17">
        <f>G73*AO73</f>
        <v>0</v>
      </c>
      <c r="J73" s="17">
        <f>G73*AP73</f>
        <v>0</v>
      </c>
      <c r="K73" s="17">
        <f>G73*H73</f>
        <v>0</v>
      </c>
      <c r="L73" s="29" t="s">
        <v>253</v>
      </c>
      <c r="Z73" s="32">
        <f>IF(AQ73="5",BJ73,0)</f>
        <v>0</v>
      </c>
      <c r="AB73" s="32">
        <f>IF(AQ73="1",BH73,0)</f>
        <v>0</v>
      </c>
      <c r="AC73" s="32">
        <f>IF(AQ73="1",BI73,0)</f>
        <v>0</v>
      </c>
      <c r="AD73" s="32">
        <f>IF(AQ73="7",BH73,0)</f>
        <v>0</v>
      </c>
      <c r="AE73" s="32">
        <f>IF(AQ73="7",BI73,0)</f>
        <v>0</v>
      </c>
      <c r="AF73" s="32">
        <f>IF(AQ73="2",BH73,0)</f>
        <v>0</v>
      </c>
      <c r="AG73" s="32">
        <f>IF(AQ73="2",BI73,0)</f>
        <v>0</v>
      </c>
      <c r="AH73" s="32">
        <f>IF(AQ73="0",BJ73,0)</f>
        <v>0</v>
      </c>
      <c r="AI73" s="28"/>
      <c r="AJ73" s="17">
        <f>IF(AN73=0,K73,0)</f>
        <v>0</v>
      </c>
      <c r="AK73" s="17">
        <f>IF(AN73=15,K73,0)</f>
        <v>0</v>
      </c>
      <c r="AL73" s="17">
        <f>IF(AN73=21,K73,0)</f>
        <v>0</v>
      </c>
      <c r="AN73" s="32">
        <v>21</v>
      </c>
      <c r="AO73" s="32">
        <f>H73*1</f>
        <v>0</v>
      </c>
      <c r="AP73" s="32">
        <f>H73*(1-1)</f>
        <v>0</v>
      </c>
      <c r="AQ73" s="29" t="s">
        <v>13</v>
      </c>
      <c r="AV73" s="32">
        <f>AW73+AX73</f>
        <v>0</v>
      </c>
      <c r="AW73" s="32">
        <f>G73*AO73</f>
        <v>0</v>
      </c>
      <c r="AX73" s="32">
        <f>G73*AP73</f>
        <v>0</v>
      </c>
      <c r="AY73" s="33" t="s">
        <v>267</v>
      </c>
      <c r="AZ73" s="33" t="s">
        <v>275</v>
      </c>
      <c r="BA73" s="28" t="s">
        <v>279</v>
      </c>
      <c r="BC73" s="32">
        <f>AW73+AX73</f>
        <v>0</v>
      </c>
      <c r="BD73" s="32">
        <f>H73/(100-BE73)*100</f>
        <v>0</v>
      </c>
      <c r="BE73" s="32">
        <v>0</v>
      </c>
      <c r="BF73" s="32">
        <f>73</f>
        <v>73</v>
      </c>
      <c r="BH73" s="17">
        <f>G73*AO73</f>
        <v>0</v>
      </c>
      <c r="BI73" s="17">
        <f>G73*AP73</f>
        <v>0</v>
      </c>
      <c r="BJ73" s="17">
        <f>G73*H73</f>
        <v>0</v>
      </c>
    </row>
    <row r="74" spans="3:7" ht="10.5" customHeight="1">
      <c r="C74" s="56" t="s">
        <v>171</v>
      </c>
      <c r="D74" s="57"/>
      <c r="E74" s="57"/>
      <c r="G74" s="16">
        <v>34.2</v>
      </c>
    </row>
    <row r="75" spans="3:7" ht="10.5" customHeight="1">
      <c r="C75" s="56" t="s">
        <v>173</v>
      </c>
      <c r="D75" s="57"/>
      <c r="E75" s="57"/>
      <c r="G75" s="16">
        <v>4.788</v>
      </c>
    </row>
    <row r="76" spans="1:62" ht="12.75">
      <c r="A76" s="4" t="s">
        <v>37</v>
      </c>
      <c r="B76" s="4" t="s">
        <v>96</v>
      </c>
      <c r="C76" s="58" t="s">
        <v>174</v>
      </c>
      <c r="D76" s="59"/>
      <c r="E76" s="59"/>
      <c r="F76" s="4" t="s">
        <v>232</v>
      </c>
      <c r="G76" s="15">
        <v>152</v>
      </c>
      <c r="H76" s="15">
        <v>0</v>
      </c>
      <c r="I76" s="15">
        <f>G76*AO76</f>
        <v>0</v>
      </c>
      <c r="J76" s="15">
        <f>G76*AP76</f>
        <v>0</v>
      </c>
      <c r="K76" s="15">
        <f>G76*H76</f>
        <v>0</v>
      </c>
      <c r="L76" s="27" t="s">
        <v>253</v>
      </c>
      <c r="Z76" s="32">
        <f>IF(AQ76="5",BJ76,0)</f>
        <v>0</v>
      </c>
      <c r="AB76" s="32">
        <f>IF(AQ76="1",BH76,0)</f>
        <v>0</v>
      </c>
      <c r="AC76" s="32">
        <f>IF(AQ76="1",BI76,0)</f>
        <v>0</v>
      </c>
      <c r="AD76" s="32">
        <f>IF(AQ76="7",BH76,0)</f>
        <v>0</v>
      </c>
      <c r="AE76" s="32">
        <f>IF(AQ76="7",BI76,0)</f>
        <v>0</v>
      </c>
      <c r="AF76" s="32">
        <f>IF(AQ76="2",BH76,0)</f>
        <v>0</v>
      </c>
      <c r="AG76" s="32">
        <f>IF(AQ76="2",BI76,0)</f>
        <v>0</v>
      </c>
      <c r="AH76" s="32">
        <f>IF(AQ76="0",BJ76,0)</f>
        <v>0</v>
      </c>
      <c r="AI76" s="28"/>
      <c r="AJ76" s="15">
        <f>IF(AN76=0,K76,0)</f>
        <v>0</v>
      </c>
      <c r="AK76" s="15">
        <f>IF(AN76=15,K76,0)</f>
        <v>0</v>
      </c>
      <c r="AL76" s="15">
        <f>IF(AN76=21,K76,0)</f>
        <v>0</v>
      </c>
      <c r="AN76" s="32">
        <v>21</v>
      </c>
      <c r="AO76" s="32">
        <f>H76*0.146625766871166</f>
        <v>0</v>
      </c>
      <c r="AP76" s="32">
        <f>H76*(1-0.146625766871166)</f>
        <v>0</v>
      </c>
      <c r="AQ76" s="27" t="s">
        <v>13</v>
      </c>
      <c r="AV76" s="32">
        <f>AW76+AX76</f>
        <v>0</v>
      </c>
      <c r="AW76" s="32">
        <f>G76*AO76</f>
        <v>0</v>
      </c>
      <c r="AX76" s="32">
        <f>G76*AP76</f>
        <v>0</v>
      </c>
      <c r="AY76" s="33" t="s">
        <v>267</v>
      </c>
      <c r="AZ76" s="33" t="s">
        <v>275</v>
      </c>
      <c r="BA76" s="28" t="s">
        <v>279</v>
      </c>
      <c r="BC76" s="32">
        <f>AW76+AX76</f>
        <v>0</v>
      </c>
      <c r="BD76" s="32">
        <f>H76/(100-BE76)*100</f>
        <v>0</v>
      </c>
      <c r="BE76" s="32">
        <v>0</v>
      </c>
      <c r="BF76" s="32">
        <f>76</f>
        <v>76</v>
      </c>
      <c r="BH76" s="15">
        <f>G76*AO76</f>
        <v>0</v>
      </c>
      <c r="BI76" s="15">
        <f>G76*AP76</f>
        <v>0</v>
      </c>
      <c r="BJ76" s="15">
        <f>G76*H76</f>
        <v>0</v>
      </c>
    </row>
    <row r="77" spans="3:7" ht="10.5" customHeight="1">
      <c r="C77" s="56" t="s">
        <v>175</v>
      </c>
      <c r="D77" s="57"/>
      <c r="E77" s="57"/>
      <c r="G77" s="16">
        <v>152</v>
      </c>
    </row>
    <row r="78" spans="1:62" ht="12.75">
      <c r="A78" s="4" t="s">
        <v>38</v>
      </c>
      <c r="B78" s="4" t="s">
        <v>97</v>
      </c>
      <c r="C78" s="58" t="s">
        <v>176</v>
      </c>
      <c r="D78" s="59"/>
      <c r="E78" s="59"/>
      <c r="F78" s="4" t="s">
        <v>229</v>
      </c>
      <c r="G78" s="15">
        <v>0.33904</v>
      </c>
      <c r="H78" s="15">
        <v>0</v>
      </c>
      <c r="I78" s="15">
        <f>G78*AO78</f>
        <v>0</v>
      </c>
      <c r="J78" s="15">
        <f>G78*AP78</f>
        <v>0</v>
      </c>
      <c r="K78" s="15">
        <f>G78*H78</f>
        <v>0</v>
      </c>
      <c r="L78" s="27" t="s">
        <v>253</v>
      </c>
      <c r="Z78" s="32">
        <f>IF(AQ78="5",BJ78,0)</f>
        <v>0</v>
      </c>
      <c r="AB78" s="32">
        <f>IF(AQ78="1",BH78,0)</f>
        <v>0</v>
      </c>
      <c r="AC78" s="32">
        <f>IF(AQ78="1",BI78,0)</f>
        <v>0</v>
      </c>
      <c r="AD78" s="32">
        <f>IF(AQ78="7",BH78,0)</f>
        <v>0</v>
      </c>
      <c r="AE78" s="32">
        <f>IF(AQ78="7",BI78,0)</f>
        <v>0</v>
      </c>
      <c r="AF78" s="32">
        <f>IF(AQ78="2",BH78,0)</f>
        <v>0</v>
      </c>
      <c r="AG78" s="32">
        <f>IF(AQ78="2",BI78,0)</f>
        <v>0</v>
      </c>
      <c r="AH78" s="32">
        <f>IF(AQ78="0",BJ78,0)</f>
        <v>0</v>
      </c>
      <c r="AI78" s="28"/>
      <c r="AJ78" s="15">
        <f>IF(AN78=0,K78,0)</f>
        <v>0</v>
      </c>
      <c r="AK78" s="15">
        <f>IF(AN78=15,K78,0)</f>
        <v>0</v>
      </c>
      <c r="AL78" s="15">
        <f>IF(AN78=21,K78,0)</f>
        <v>0</v>
      </c>
      <c r="AN78" s="32">
        <v>21</v>
      </c>
      <c r="AO78" s="32">
        <f>H78*0</f>
        <v>0</v>
      </c>
      <c r="AP78" s="32">
        <f>H78*(1-0)</f>
        <v>0</v>
      </c>
      <c r="AQ78" s="27" t="s">
        <v>11</v>
      </c>
      <c r="AV78" s="32">
        <f>AW78+AX78</f>
        <v>0</v>
      </c>
      <c r="AW78" s="32">
        <f>G78*AO78</f>
        <v>0</v>
      </c>
      <c r="AX78" s="32">
        <f>G78*AP78</f>
        <v>0</v>
      </c>
      <c r="AY78" s="33" t="s">
        <v>267</v>
      </c>
      <c r="AZ78" s="33" t="s">
        <v>275</v>
      </c>
      <c r="BA78" s="28" t="s">
        <v>279</v>
      </c>
      <c r="BC78" s="32">
        <f>AW78+AX78</f>
        <v>0</v>
      </c>
      <c r="BD78" s="32">
        <f>H78/(100-BE78)*100</f>
        <v>0</v>
      </c>
      <c r="BE78" s="32">
        <v>0</v>
      </c>
      <c r="BF78" s="32">
        <f>78</f>
        <v>78</v>
      </c>
      <c r="BH78" s="15">
        <f>G78*AO78</f>
        <v>0</v>
      </c>
      <c r="BI78" s="15">
        <f>G78*AP78</f>
        <v>0</v>
      </c>
      <c r="BJ78" s="15">
        <f>G78*H78</f>
        <v>0</v>
      </c>
    </row>
    <row r="79" spans="1:47" ht="12.75">
      <c r="A79" s="5"/>
      <c r="B79" s="13" t="s">
        <v>98</v>
      </c>
      <c r="C79" s="64" t="s">
        <v>177</v>
      </c>
      <c r="D79" s="65"/>
      <c r="E79" s="65"/>
      <c r="F79" s="5" t="s">
        <v>6</v>
      </c>
      <c r="G79" s="5" t="s">
        <v>6</v>
      </c>
      <c r="H79" s="5" t="s">
        <v>6</v>
      </c>
      <c r="I79" s="35">
        <f>SUM(I80:I82)</f>
        <v>0</v>
      </c>
      <c r="J79" s="35">
        <f>SUM(J80:J82)</f>
        <v>0</v>
      </c>
      <c r="K79" s="35">
        <f>SUM(K80:K82)</f>
        <v>0</v>
      </c>
      <c r="L79" s="28"/>
      <c r="AI79" s="28"/>
      <c r="AS79" s="35">
        <f>SUM(AJ80:AJ82)</f>
        <v>0</v>
      </c>
      <c r="AT79" s="35">
        <f>SUM(AK80:AK82)</f>
        <v>0</v>
      </c>
      <c r="AU79" s="35">
        <f>SUM(AL80:AL82)</f>
        <v>0</v>
      </c>
    </row>
    <row r="80" spans="1:62" ht="12.75">
      <c r="A80" s="4" t="s">
        <v>39</v>
      </c>
      <c r="B80" s="4" t="s">
        <v>99</v>
      </c>
      <c r="C80" s="58" t="s">
        <v>337</v>
      </c>
      <c r="D80" s="59"/>
      <c r="E80" s="59"/>
      <c r="F80" s="4" t="s">
        <v>228</v>
      </c>
      <c r="G80" s="15">
        <v>466.2</v>
      </c>
      <c r="H80" s="15">
        <v>0</v>
      </c>
      <c r="I80" s="15">
        <f>G80*AO80</f>
        <v>0</v>
      </c>
      <c r="J80" s="15">
        <f>G80*AP80</f>
        <v>0</v>
      </c>
      <c r="K80" s="15">
        <f>G80*H80</f>
        <v>0</v>
      </c>
      <c r="L80" s="27" t="s">
        <v>253</v>
      </c>
      <c r="Z80" s="32">
        <f>IF(AQ80="5",BJ80,0)</f>
        <v>0</v>
      </c>
      <c r="AB80" s="32">
        <f>IF(AQ80="1",BH80,0)</f>
        <v>0</v>
      </c>
      <c r="AC80" s="32">
        <f>IF(AQ80="1",BI80,0)</f>
        <v>0</v>
      </c>
      <c r="AD80" s="32">
        <f>IF(AQ80="7",BH80,0)</f>
        <v>0</v>
      </c>
      <c r="AE80" s="32">
        <f>IF(AQ80="7",BI80,0)</f>
        <v>0</v>
      </c>
      <c r="AF80" s="32">
        <f>IF(AQ80="2",BH80,0)</f>
        <v>0</v>
      </c>
      <c r="AG80" s="32">
        <f>IF(AQ80="2",BI80,0)</f>
        <v>0</v>
      </c>
      <c r="AH80" s="32">
        <f>IF(AQ80="0",BJ80,0)</f>
        <v>0</v>
      </c>
      <c r="AI80" s="28"/>
      <c r="AJ80" s="15">
        <f>IF(AN80=0,K80,0)</f>
        <v>0</v>
      </c>
      <c r="AK80" s="15">
        <f>IF(AN80=15,K80,0)</f>
        <v>0</v>
      </c>
      <c r="AL80" s="15">
        <f>IF(AN80=21,K80,0)</f>
        <v>0</v>
      </c>
      <c r="AN80" s="32">
        <v>21</v>
      </c>
      <c r="AO80" s="32">
        <f>H80*0.150225563909774</f>
        <v>0</v>
      </c>
      <c r="AP80" s="32">
        <f>H80*(1-0.150225563909774)</f>
        <v>0</v>
      </c>
      <c r="AQ80" s="27" t="s">
        <v>13</v>
      </c>
      <c r="AV80" s="32">
        <f>AW80+AX80</f>
        <v>0</v>
      </c>
      <c r="AW80" s="32">
        <f>G80*AO80</f>
        <v>0</v>
      </c>
      <c r="AX80" s="32">
        <f>G80*AP80</f>
        <v>0</v>
      </c>
      <c r="AY80" s="33" t="s">
        <v>268</v>
      </c>
      <c r="AZ80" s="33" t="s">
        <v>276</v>
      </c>
      <c r="BA80" s="28" t="s">
        <v>279</v>
      </c>
      <c r="BC80" s="32">
        <f>AW80+AX80</f>
        <v>0</v>
      </c>
      <c r="BD80" s="32">
        <f>H80/(100-BE80)*100</f>
        <v>0</v>
      </c>
      <c r="BE80" s="32">
        <v>0</v>
      </c>
      <c r="BF80" s="32">
        <f>80</f>
        <v>80</v>
      </c>
      <c r="BH80" s="15">
        <f>G80*AO80</f>
        <v>0</v>
      </c>
      <c r="BI80" s="15">
        <f>G80*AP80</f>
        <v>0</v>
      </c>
      <c r="BJ80" s="15">
        <f>G80*H80</f>
        <v>0</v>
      </c>
    </row>
    <row r="81" spans="3:7" ht="10.5" customHeight="1">
      <c r="C81" s="56" t="s">
        <v>178</v>
      </c>
      <c r="D81" s="57"/>
      <c r="E81" s="57"/>
      <c r="G81" s="16">
        <v>466.2</v>
      </c>
    </row>
    <row r="82" spans="1:62" ht="12.75">
      <c r="A82" s="4" t="s">
        <v>40</v>
      </c>
      <c r="B82" s="4" t="s">
        <v>100</v>
      </c>
      <c r="C82" s="58" t="s">
        <v>179</v>
      </c>
      <c r="D82" s="59"/>
      <c r="E82" s="59"/>
      <c r="F82" s="4" t="s">
        <v>228</v>
      </c>
      <c r="G82" s="15">
        <v>68.4</v>
      </c>
      <c r="H82" s="15">
        <v>0</v>
      </c>
      <c r="I82" s="15">
        <f>G82*AO82</f>
        <v>0</v>
      </c>
      <c r="J82" s="15">
        <f>G82*AP82</f>
        <v>0</v>
      </c>
      <c r="K82" s="15">
        <f>G82*H82</f>
        <v>0</v>
      </c>
      <c r="L82" s="27" t="s">
        <v>253</v>
      </c>
      <c r="Z82" s="32">
        <f>IF(AQ82="5",BJ82,0)</f>
        <v>0</v>
      </c>
      <c r="AB82" s="32">
        <f>IF(AQ82="1",BH82,0)</f>
        <v>0</v>
      </c>
      <c r="AC82" s="32">
        <f>IF(AQ82="1",BI82,0)</f>
        <v>0</v>
      </c>
      <c r="AD82" s="32">
        <f>IF(AQ82="7",BH82,0)</f>
        <v>0</v>
      </c>
      <c r="AE82" s="32">
        <f>IF(AQ82="7",BI82,0)</f>
        <v>0</v>
      </c>
      <c r="AF82" s="32">
        <f>IF(AQ82="2",BH82,0)</f>
        <v>0</v>
      </c>
      <c r="AG82" s="32">
        <f>IF(AQ82="2",BI82,0)</f>
        <v>0</v>
      </c>
      <c r="AH82" s="32">
        <f>IF(AQ82="0",BJ82,0)</f>
        <v>0</v>
      </c>
      <c r="AI82" s="28"/>
      <c r="AJ82" s="15">
        <f>IF(AN82=0,K82,0)</f>
        <v>0</v>
      </c>
      <c r="AK82" s="15">
        <f>IF(AN82=15,K82,0)</f>
        <v>0</v>
      </c>
      <c r="AL82" s="15">
        <f>IF(AN82=21,K82,0)</f>
        <v>0</v>
      </c>
      <c r="AN82" s="32">
        <v>21</v>
      </c>
      <c r="AO82" s="32">
        <f>H82*0.312550607287449</f>
        <v>0</v>
      </c>
      <c r="AP82" s="32">
        <f>H82*(1-0.312550607287449)</f>
        <v>0</v>
      </c>
      <c r="AQ82" s="27" t="s">
        <v>13</v>
      </c>
      <c r="AV82" s="32">
        <f>AW82+AX82</f>
        <v>0</v>
      </c>
      <c r="AW82" s="32">
        <f>G82*AO82</f>
        <v>0</v>
      </c>
      <c r="AX82" s="32">
        <f>G82*AP82</f>
        <v>0</v>
      </c>
      <c r="AY82" s="33" t="s">
        <v>268</v>
      </c>
      <c r="AZ82" s="33" t="s">
        <v>276</v>
      </c>
      <c r="BA82" s="28" t="s">
        <v>279</v>
      </c>
      <c r="BC82" s="32">
        <f>AW82+AX82</f>
        <v>0</v>
      </c>
      <c r="BD82" s="32">
        <f>H82/(100-BE82)*100</f>
        <v>0</v>
      </c>
      <c r="BE82" s="32">
        <v>0</v>
      </c>
      <c r="BF82" s="32">
        <f>82</f>
        <v>82</v>
      </c>
      <c r="BH82" s="15">
        <f>G82*AO82</f>
        <v>0</v>
      </c>
      <c r="BI82" s="15">
        <f>G82*AP82</f>
        <v>0</v>
      </c>
      <c r="BJ82" s="15">
        <f>G82*H82</f>
        <v>0</v>
      </c>
    </row>
    <row r="83" spans="3:7" ht="10.5" customHeight="1">
      <c r="C83" s="56" t="s">
        <v>180</v>
      </c>
      <c r="D83" s="57"/>
      <c r="E83" s="57"/>
      <c r="G83" s="16">
        <v>68.4</v>
      </c>
    </row>
    <row r="84" spans="1:47" ht="12.75">
      <c r="A84" s="5"/>
      <c r="B84" s="13" t="s">
        <v>101</v>
      </c>
      <c r="C84" s="64" t="s">
        <v>181</v>
      </c>
      <c r="D84" s="65"/>
      <c r="E84" s="65"/>
      <c r="F84" s="5" t="s">
        <v>6</v>
      </c>
      <c r="G84" s="5" t="s">
        <v>6</v>
      </c>
      <c r="H84" s="5" t="s">
        <v>6</v>
      </c>
      <c r="I84" s="35">
        <f>SUM(I85:I85)</f>
        <v>0</v>
      </c>
      <c r="J84" s="35">
        <f>SUM(J85:J85)</f>
        <v>0</v>
      </c>
      <c r="K84" s="35">
        <f>SUM(K85:K85)</f>
        <v>0</v>
      </c>
      <c r="L84" s="28"/>
      <c r="AI84" s="28"/>
      <c r="AS84" s="35">
        <f>SUM(AJ85:AJ85)</f>
        <v>0</v>
      </c>
      <c r="AT84" s="35">
        <f>SUM(AK85:AK85)</f>
        <v>0</v>
      </c>
      <c r="AU84" s="35">
        <f>SUM(AL85:AL85)</f>
        <v>0</v>
      </c>
    </row>
    <row r="85" spans="1:62" ht="12.75">
      <c r="A85" s="4" t="s">
        <v>41</v>
      </c>
      <c r="B85" s="4" t="s">
        <v>102</v>
      </c>
      <c r="C85" s="58" t="s">
        <v>182</v>
      </c>
      <c r="D85" s="59"/>
      <c r="E85" s="59"/>
      <c r="F85" s="4" t="s">
        <v>233</v>
      </c>
      <c r="G85" s="15">
        <v>70</v>
      </c>
      <c r="H85" s="15">
        <v>0</v>
      </c>
      <c r="I85" s="15">
        <f>G85*AO85</f>
        <v>0</v>
      </c>
      <c r="J85" s="15">
        <f>G85*AP85</f>
        <v>0</v>
      </c>
      <c r="K85" s="15">
        <f>G85*H85</f>
        <v>0</v>
      </c>
      <c r="L85" s="27" t="s">
        <v>253</v>
      </c>
      <c r="Z85" s="32">
        <f>IF(AQ85="5",BJ85,0)</f>
        <v>0</v>
      </c>
      <c r="AB85" s="32">
        <f>IF(AQ85="1",BH85,0)</f>
        <v>0</v>
      </c>
      <c r="AC85" s="32">
        <f>IF(AQ85="1",BI85,0)</f>
        <v>0</v>
      </c>
      <c r="AD85" s="32">
        <f>IF(AQ85="7",BH85,0)</f>
        <v>0</v>
      </c>
      <c r="AE85" s="32">
        <f>IF(AQ85="7",BI85,0)</f>
        <v>0</v>
      </c>
      <c r="AF85" s="32">
        <f>IF(AQ85="2",BH85,0)</f>
        <v>0</v>
      </c>
      <c r="AG85" s="32">
        <f>IF(AQ85="2",BI85,0)</f>
        <v>0</v>
      </c>
      <c r="AH85" s="32">
        <f>IF(AQ85="0",BJ85,0)</f>
        <v>0</v>
      </c>
      <c r="AI85" s="28"/>
      <c r="AJ85" s="15">
        <f>IF(AN85=0,K85,0)</f>
        <v>0</v>
      </c>
      <c r="AK85" s="15">
        <f>IF(AN85=15,K85,0)</f>
        <v>0</v>
      </c>
      <c r="AL85" s="15">
        <f>IF(AN85=21,K85,0)</f>
        <v>0</v>
      </c>
      <c r="AN85" s="32">
        <v>21</v>
      </c>
      <c r="AO85" s="32">
        <f>H85*0</f>
        <v>0</v>
      </c>
      <c r="AP85" s="32">
        <f>H85*(1-0)</f>
        <v>0</v>
      </c>
      <c r="AQ85" s="27" t="s">
        <v>7</v>
      </c>
      <c r="AV85" s="32">
        <f>AW85+AX85</f>
        <v>0</v>
      </c>
      <c r="AW85" s="32">
        <f>G85*AO85</f>
        <v>0</v>
      </c>
      <c r="AX85" s="32">
        <f>G85*AP85</f>
        <v>0</v>
      </c>
      <c r="AY85" s="33" t="s">
        <v>269</v>
      </c>
      <c r="AZ85" s="33" t="s">
        <v>277</v>
      </c>
      <c r="BA85" s="28" t="s">
        <v>279</v>
      </c>
      <c r="BC85" s="32">
        <f>AW85+AX85</f>
        <v>0</v>
      </c>
      <c r="BD85" s="32">
        <f>H85/(100-BE85)*100</f>
        <v>0</v>
      </c>
      <c r="BE85" s="32">
        <v>0</v>
      </c>
      <c r="BF85" s="32">
        <f>85</f>
        <v>85</v>
      </c>
      <c r="BH85" s="15">
        <f>G85*AO85</f>
        <v>0</v>
      </c>
      <c r="BI85" s="15">
        <f>G85*AP85</f>
        <v>0</v>
      </c>
      <c r="BJ85" s="15">
        <f>G85*H85</f>
        <v>0</v>
      </c>
    </row>
    <row r="86" spans="3:7" ht="10.5" customHeight="1">
      <c r="C86" s="56" t="s">
        <v>183</v>
      </c>
      <c r="D86" s="57"/>
      <c r="E86" s="57"/>
      <c r="G86" s="16">
        <v>70</v>
      </c>
    </row>
    <row r="87" spans="1:47" ht="12.75">
      <c r="A87" s="5"/>
      <c r="B87" s="13" t="s">
        <v>103</v>
      </c>
      <c r="C87" s="64" t="s">
        <v>184</v>
      </c>
      <c r="D87" s="65"/>
      <c r="E87" s="65"/>
      <c r="F87" s="5" t="s">
        <v>6</v>
      </c>
      <c r="G87" s="5" t="s">
        <v>6</v>
      </c>
      <c r="H87" s="5" t="s">
        <v>6</v>
      </c>
      <c r="I87" s="35">
        <f>SUM(I88:I88)</f>
        <v>0</v>
      </c>
      <c r="J87" s="35">
        <f>SUM(J88:J88)</f>
        <v>0</v>
      </c>
      <c r="K87" s="35">
        <f>SUM(K88:K88)</f>
        <v>0</v>
      </c>
      <c r="L87" s="28"/>
      <c r="AI87" s="28"/>
      <c r="AS87" s="35">
        <f>SUM(AJ88:AJ88)</f>
        <v>0</v>
      </c>
      <c r="AT87" s="35">
        <f>SUM(AK88:AK88)</f>
        <v>0</v>
      </c>
      <c r="AU87" s="35">
        <f>SUM(AL88:AL88)</f>
        <v>0</v>
      </c>
    </row>
    <row r="88" spans="1:62" ht="12.75">
      <c r="A88" s="4" t="s">
        <v>42</v>
      </c>
      <c r="B88" s="4" t="s">
        <v>104</v>
      </c>
      <c r="C88" s="58" t="s">
        <v>185</v>
      </c>
      <c r="D88" s="59"/>
      <c r="E88" s="59"/>
      <c r="F88" s="4" t="s">
        <v>234</v>
      </c>
      <c r="G88" s="15">
        <v>20</v>
      </c>
      <c r="H88" s="15">
        <v>0</v>
      </c>
      <c r="I88" s="15">
        <f>G88*AO88</f>
        <v>0</v>
      </c>
      <c r="J88" s="15">
        <f>G88*AP88</f>
        <v>0</v>
      </c>
      <c r="K88" s="15">
        <f>G88*H88</f>
        <v>0</v>
      </c>
      <c r="L88" s="27" t="s">
        <v>253</v>
      </c>
      <c r="Z88" s="32">
        <f>IF(AQ88="5",BJ88,0)</f>
        <v>0</v>
      </c>
      <c r="AB88" s="32">
        <f>IF(AQ88="1",BH88,0)</f>
        <v>0</v>
      </c>
      <c r="AC88" s="32">
        <f>IF(AQ88="1",BI88,0)</f>
        <v>0</v>
      </c>
      <c r="AD88" s="32">
        <f>IF(AQ88="7",BH88,0)</f>
        <v>0</v>
      </c>
      <c r="AE88" s="32">
        <f>IF(AQ88="7",BI88,0)</f>
        <v>0</v>
      </c>
      <c r="AF88" s="32">
        <f>IF(AQ88="2",BH88,0)</f>
        <v>0</v>
      </c>
      <c r="AG88" s="32">
        <f>IF(AQ88="2",BI88,0)</f>
        <v>0</v>
      </c>
      <c r="AH88" s="32">
        <f>IF(AQ88="0",BJ88,0)</f>
        <v>0</v>
      </c>
      <c r="AI88" s="28"/>
      <c r="AJ88" s="15">
        <f>IF(AN88=0,K88,0)</f>
        <v>0</v>
      </c>
      <c r="AK88" s="15">
        <f>IF(AN88=15,K88,0)</f>
        <v>0</v>
      </c>
      <c r="AL88" s="15">
        <f>IF(AN88=21,K88,0)</f>
        <v>0</v>
      </c>
      <c r="AN88" s="32">
        <v>21</v>
      </c>
      <c r="AO88" s="32">
        <f>H88*0</f>
        <v>0</v>
      </c>
      <c r="AP88" s="32">
        <f>H88*(1-0)</f>
        <v>0</v>
      </c>
      <c r="AQ88" s="27" t="s">
        <v>7</v>
      </c>
      <c r="AV88" s="32">
        <f>AW88+AX88</f>
        <v>0</v>
      </c>
      <c r="AW88" s="32">
        <f>G88*AO88</f>
        <v>0</v>
      </c>
      <c r="AX88" s="32">
        <f>G88*AP88</f>
        <v>0</v>
      </c>
      <c r="AY88" s="33" t="s">
        <v>270</v>
      </c>
      <c r="AZ88" s="33" t="s">
        <v>277</v>
      </c>
      <c r="BA88" s="28" t="s">
        <v>279</v>
      </c>
      <c r="BC88" s="32">
        <f>AW88+AX88</f>
        <v>0</v>
      </c>
      <c r="BD88" s="32">
        <f>H88/(100-BE88)*100</f>
        <v>0</v>
      </c>
      <c r="BE88" s="32">
        <v>0</v>
      </c>
      <c r="BF88" s="32">
        <f>88</f>
        <v>88</v>
      </c>
      <c r="BH88" s="15">
        <f>G88*AO88</f>
        <v>0</v>
      </c>
      <c r="BI88" s="15">
        <f>G88*AP88</f>
        <v>0</v>
      </c>
      <c r="BJ88" s="15">
        <f>G88*H88</f>
        <v>0</v>
      </c>
    </row>
    <row r="89" spans="3:7" ht="10.5" customHeight="1">
      <c r="C89" s="56" t="s">
        <v>186</v>
      </c>
      <c r="D89" s="57"/>
      <c r="E89" s="57"/>
      <c r="G89" s="16">
        <v>20</v>
      </c>
    </row>
    <row r="90" spans="1:47" ht="12.75">
      <c r="A90" s="5"/>
      <c r="B90" s="13" t="s">
        <v>105</v>
      </c>
      <c r="C90" s="64" t="s">
        <v>187</v>
      </c>
      <c r="D90" s="65"/>
      <c r="E90" s="65"/>
      <c r="F90" s="5" t="s">
        <v>6</v>
      </c>
      <c r="G90" s="5" t="s">
        <v>6</v>
      </c>
      <c r="H90" s="5" t="s">
        <v>6</v>
      </c>
      <c r="I90" s="35">
        <f>SUM(I91:I111)</f>
        <v>0</v>
      </c>
      <c r="J90" s="35">
        <f>SUM(J91:J111)</f>
        <v>0</v>
      </c>
      <c r="K90" s="35">
        <f>SUM(K91:K111)</f>
        <v>0</v>
      </c>
      <c r="L90" s="28"/>
      <c r="AI90" s="28"/>
      <c r="AS90" s="35">
        <f>SUM(AJ91:AJ111)</f>
        <v>0</v>
      </c>
      <c r="AT90" s="35">
        <f>SUM(AK91:AK111)</f>
        <v>0</v>
      </c>
      <c r="AU90" s="35">
        <f>SUM(AL91:AL111)</f>
        <v>0</v>
      </c>
    </row>
    <row r="91" spans="1:62" ht="12.75">
      <c r="A91" s="4" t="s">
        <v>43</v>
      </c>
      <c r="B91" s="4" t="s">
        <v>106</v>
      </c>
      <c r="C91" s="58" t="s">
        <v>188</v>
      </c>
      <c r="D91" s="59"/>
      <c r="E91" s="59"/>
      <c r="F91" s="4" t="s">
        <v>228</v>
      </c>
      <c r="G91" s="15">
        <v>290.5</v>
      </c>
      <c r="H91" s="15">
        <v>0</v>
      </c>
      <c r="I91" s="15">
        <f>G91*AO91</f>
        <v>0</v>
      </c>
      <c r="J91" s="15">
        <f>G91*AP91</f>
        <v>0</v>
      </c>
      <c r="K91" s="15">
        <f>G91*H91</f>
        <v>0</v>
      </c>
      <c r="L91" s="27" t="s">
        <v>253</v>
      </c>
      <c r="Z91" s="32">
        <f>IF(AQ91="5",BJ91,0)</f>
        <v>0</v>
      </c>
      <c r="AB91" s="32">
        <f>IF(AQ91="1",BH91,0)</f>
        <v>0</v>
      </c>
      <c r="AC91" s="32">
        <f>IF(AQ91="1",BI91,0)</f>
        <v>0</v>
      </c>
      <c r="AD91" s="32">
        <f>IF(AQ91="7",BH91,0)</f>
        <v>0</v>
      </c>
      <c r="AE91" s="32">
        <f>IF(AQ91="7",BI91,0)</f>
        <v>0</v>
      </c>
      <c r="AF91" s="32">
        <f>IF(AQ91="2",BH91,0)</f>
        <v>0</v>
      </c>
      <c r="AG91" s="32">
        <f>IF(AQ91="2",BI91,0)</f>
        <v>0</v>
      </c>
      <c r="AH91" s="32">
        <f>IF(AQ91="0",BJ91,0)</f>
        <v>0</v>
      </c>
      <c r="AI91" s="28"/>
      <c r="AJ91" s="15">
        <f>IF(AN91=0,K91,0)</f>
        <v>0</v>
      </c>
      <c r="AK91" s="15">
        <f>IF(AN91=15,K91,0)</f>
        <v>0</v>
      </c>
      <c r="AL91" s="15">
        <f>IF(AN91=21,K91,0)</f>
        <v>0</v>
      </c>
      <c r="AN91" s="32">
        <v>21</v>
      </c>
      <c r="AO91" s="32">
        <f>H91*0</f>
        <v>0</v>
      </c>
      <c r="AP91" s="32">
        <f>H91*(1-0)</f>
        <v>0</v>
      </c>
      <c r="AQ91" s="27" t="s">
        <v>7</v>
      </c>
      <c r="AV91" s="32">
        <f>AW91+AX91</f>
        <v>0</v>
      </c>
      <c r="AW91" s="32">
        <f>G91*AO91</f>
        <v>0</v>
      </c>
      <c r="AX91" s="32">
        <f>G91*AP91</f>
        <v>0</v>
      </c>
      <c r="AY91" s="33" t="s">
        <v>271</v>
      </c>
      <c r="AZ91" s="33" t="s">
        <v>277</v>
      </c>
      <c r="BA91" s="28" t="s">
        <v>279</v>
      </c>
      <c r="BC91" s="32">
        <f>AW91+AX91</f>
        <v>0</v>
      </c>
      <c r="BD91" s="32">
        <f>H91/(100-BE91)*100</f>
        <v>0</v>
      </c>
      <c r="BE91" s="32">
        <v>0</v>
      </c>
      <c r="BF91" s="32">
        <f>91</f>
        <v>91</v>
      </c>
      <c r="BH91" s="15">
        <f>G91*AO91</f>
        <v>0</v>
      </c>
      <c r="BI91" s="15">
        <f>G91*AP91</f>
        <v>0</v>
      </c>
      <c r="BJ91" s="15">
        <f>G91*H91</f>
        <v>0</v>
      </c>
    </row>
    <row r="92" spans="3:7" ht="10.5" customHeight="1">
      <c r="C92" s="56" t="s">
        <v>144</v>
      </c>
      <c r="D92" s="57"/>
      <c r="E92" s="57"/>
      <c r="G92" s="16">
        <v>290.5</v>
      </c>
    </row>
    <row r="93" spans="1:62" ht="12.75">
      <c r="A93" s="4" t="s">
        <v>44</v>
      </c>
      <c r="B93" s="4" t="s">
        <v>107</v>
      </c>
      <c r="C93" s="58" t="s">
        <v>189</v>
      </c>
      <c r="D93" s="59"/>
      <c r="E93" s="59"/>
      <c r="F93" s="4" t="s">
        <v>232</v>
      </c>
      <c r="G93" s="15">
        <v>36.8</v>
      </c>
      <c r="H93" s="15">
        <v>0</v>
      </c>
      <c r="I93" s="15">
        <f>G93*AO93</f>
        <v>0</v>
      </c>
      <c r="J93" s="15">
        <f>G93*AP93</f>
        <v>0</v>
      </c>
      <c r="K93" s="15">
        <f>G93*H93</f>
        <v>0</v>
      </c>
      <c r="L93" s="27" t="s">
        <v>253</v>
      </c>
      <c r="Z93" s="32">
        <f>IF(AQ93="5",BJ93,0)</f>
        <v>0</v>
      </c>
      <c r="AB93" s="32">
        <f>IF(AQ93="1",BH93,0)</f>
        <v>0</v>
      </c>
      <c r="AC93" s="32">
        <f>IF(AQ93="1",BI93,0)</f>
        <v>0</v>
      </c>
      <c r="AD93" s="32">
        <f>IF(AQ93="7",BH93,0)</f>
        <v>0</v>
      </c>
      <c r="AE93" s="32">
        <f>IF(AQ93="7",BI93,0)</f>
        <v>0</v>
      </c>
      <c r="AF93" s="32">
        <f>IF(AQ93="2",BH93,0)</f>
        <v>0</v>
      </c>
      <c r="AG93" s="32">
        <f>IF(AQ93="2",BI93,0)</f>
        <v>0</v>
      </c>
      <c r="AH93" s="32">
        <f>IF(AQ93="0",BJ93,0)</f>
        <v>0</v>
      </c>
      <c r="AI93" s="28"/>
      <c r="AJ93" s="15">
        <f>IF(AN93=0,K93,0)</f>
        <v>0</v>
      </c>
      <c r="AK93" s="15">
        <f>IF(AN93=15,K93,0)</f>
        <v>0</v>
      </c>
      <c r="AL93" s="15">
        <f>IF(AN93=21,K93,0)</f>
        <v>0</v>
      </c>
      <c r="AN93" s="32">
        <v>21</v>
      </c>
      <c r="AO93" s="32">
        <f>H93*0</f>
        <v>0</v>
      </c>
      <c r="AP93" s="32">
        <f>H93*(1-0)</f>
        <v>0</v>
      </c>
      <c r="AQ93" s="27" t="s">
        <v>7</v>
      </c>
      <c r="AV93" s="32">
        <f>AW93+AX93</f>
        <v>0</v>
      </c>
      <c r="AW93" s="32">
        <f>G93*AO93</f>
        <v>0</v>
      </c>
      <c r="AX93" s="32">
        <f>G93*AP93</f>
        <v>0</v>
      </c>
      <c r="AY93" s="33" t="s">
        <v>271</v>
      </c>
      <c r="AZ93" s="33" t="s">
        <v>277</v>
      </c>
      <c r="BA93" s="28" t="s">
        <v>279</v>
      </c>
      <c r="BC93" s="32">
        <f>AW93+AX93</f>
        <v>0</v>
      </c>
      <c r="BD93" s="32">
        <f>H93/(100-BE93)*100</f>
        <v>0</v>
      </c>
      <c r="BE93" s="32">
        <v>0</v>
      </c>
      <c r="BF93" s="32">
        <f>93</f>
        <v>93</v>
      </c>
      <c r="BH93" s="15">
        <f>G93*AO93</f>
        <v>0</v>
      </c>
      <c r="BI93" s="15">
        <f>G93*AP93</f>
        <v>0</v>
      </c>
      <c r="BJ93" s="15">
        <f>G93*H93</f>
        <v>0</v>
      </c>
    </row>
    <row r="94" spans="3:7" ht="10.5" customHeight="1">
      <c r="C94" s="56" t="s">
        <v>159</v>
      </c>
      <c r="D94" s="57"/>
      <c r="E94" s="57"/>
      <c r="G94" s="16">
        <v>36.8</v>
      </c>
    </row>
    <row r="95" spans="1:62" ht="12.75">
      <c r="A95" s="4" t="s">
        <v>45</v>
      </c>
      <c r="B95" s="4" t="s">
        <v>108</v>
      </c>
      <c r="C95" s="58" t="s">
        <v>190</v>
      </c>
      <c r="D95" s="59"/>
      <c r="E95" s="59"/>
      <c r="F95" s="4" t="s">
        <v>232</v>
      </c>
      <c r="G95" s="15">
        <v>6</v>
      </c>
      <c r="H95" s="15">
        <v>0</v>
      </c>
      <c r="I95" s="15">
        <f>G95*AO95</f>
        <v>0</v>
      </c>
      <c r="J95" s="15">
        <f>G95*AP95</f>
        <v>0</v>
      </c>
      <c r="K95" s="15">
        <f>G95*H95</f>
        <v>0</v>
      </c>
      <c r="L95" s="27" t="s">
        <v>253</v>
      </c>
      <c r="Z95" s="32">
        <f>IF(AQ95="5",BJ95,0)</f>
        <v>0</v>
      </c>
      <c r="AB95" s="32">
        <f>IF(AQ95="1",BH95,0)</f>
        <v>0</v>
      </c>
      <c r="AC95" s="32">
        <f>IF(AQ95="1",BI95,0)</f>
        <v>0</v>
      </c>
      <c r="AD95" s="32">
        <f>IF(AQ95="7",BH95,0)</f>
        <v>0</v>
      </c>
      <c r="AE95" s="32">
        <f>IF(AQ95="7",BI95,0)</f>
        <v>0</v>
      </c>
      <c r="AF95" s="32">
        <f>IF(AQ95="2",BH95,0)</f>
        <v>0</v>
      </c>
      <c r="AG95" s="32">
        <f>IF(AQ95="2",BI95,0)</f>
        <v>0</v>
      </c>
      <c r="AH95" s="32">
        <f>IF(AQ95="0",BJ95,0)</f>
        <v>0</v>
      </c>
      <c r="AI95" s="28"/>
      <c r="AJ95" s="15">
        <f>IF(AN95=0,K95,0)</f>
        <v>0</v>
      </c>
      <c r="AK95" s="15">
        <f>IF(AN95=15,K95,0)</f>
        <v>0</v>
      </c>
      <c r="AL95" s="15">
        <f>IF(AN95=21,K95,0)</f>
        <v>0</v>
      </c>
      <c r="AN95" s="32">
        <v>21</v>
      </c>
      <c r="AO95" s="32">
        <f>H95*0</f>
        <v>0</v>
      </c>
      <c r="AP95" s="32">
        <f>H95*(1-0)</f>
        <v>0</v>
      </c>
      <c r="AQ95" s="27" t="s">
        <v>7</v>
      </c>
      <c r="AV95" s="32">
        <f>AW95+AX95</f>
        <v>0</v>
      </c>
      <c r="AW95" s="32">
        <f>G95*AO95</f>
        <v>0</v>
      </c>
      <c r="AX95" s="32">
        <f>G95*AP95</f>
        <v>0</v>
      </c>
      <c r="AY95" s="33" t="s">
        <v>271</v>
      </c>
      <c r="AZ95" s="33" t="s">
        <v>277</v>
      </c>
      <c r="BA95" s="28" t="s">
        <v>279</v>
      </c>
      <c r="BC95" s="32">
        <f>AW95+AX95</f>
        <v>0</v>
      </c>
      <c r="BD95" s="32">
        <f>H95/(100-BE95)*100</f>
        <v>0</v>
      </c>
      <c r="BE95" s="32">
        <v>0</v>
      </c>
      <c r="BF95" s="32">
        <f>95</f>
        <v>95</v>
      </c>
      <c r="BH95" s="15">
        <f>G95*AO95</f>
        <v>0</v>
      </c>
      <c r="BI95" s="15">
        <f>G95*AP95</f>
        <v>0</v>
      </c>
      <c r="BJ95" s="15">
        <f>G95*H95</f>
        <v>0</v>
      </c>
    </row>
    <row r="96" spans="3:7" ht="10.5" customHeight="1">
      <c r="C96" s="56" t="s">
        <v>160</v>
      </c>
      <c r="D96" s="57"/>
      <c r="E96" s="57"/>
      <c r="G96" s="16">
        <v>6</v>
      </c>
    </row>
    <row r="97" spans="1:62" ht="12.75">
      <c r="A97" s="4" t="s">
        <v>46</v>
      </c>
      <c r="B97" s="4" t="s">
        <v>109</v>
      </c>
      <c r="C97" s="58" t="s">
        <v>191</v>
      </c>
      <c r="D97" s="59"/>
      <c r="E97" s="59"/>
      <c r="F97" s="4" t="s">
        <v>232</v>
      </c>
      <c r="G97" s="15">
        <v>19.3</v>
      </c>
      <c r="H97" s="15">
        <v>0</v>
      </c>
      <c r="I97" s="15">
        <f>G97*AO97</f>
        <v>0</v>
      </c>
      <c r="J97" s="15">
        <f>G97*AP97</f>
        <v>0</v>
      </c>
      <c r="K97" s="15">
        <f>G97*H97</f>
        <v>0</v>
      </c>
      <c r="L97" s="27" t="s">
        <v>253</v>
      </c>
      <c r="Z97" s="32">
        <f>IF(AQ97="5",BJ97,0)</f>
        <v>0</v>
      </c>
      <c r="AB97" s="32">
        <f>IF(AQ97="1",BH97,0)</f>
        <v>0</v>
      </c>
      <c r="AC97" s="32">
        <f>IF(AQ97="1",BI97,0)</f>
        <v>0</v>
      </c>
      <c r="AD97" s="32">
        <f>IF(AQ97="7",BH97,0)</f>
        <v>0</v>
      </c>
      <c r="AE97" s="32">
        <f>IF(AQ97="7",BI97,0)</f>
        <v>0</v>
      </c>
      <c r="AF97" s="32">
        <f>IF(AQ97="2",BH97,0)</f>
        <v>0</v>
      </c>
      <c r="AG97" s="32">
        <f>IF(AQ97="2",BI97,0)</f>
        <v>0</v>
      </c>
      <c r="AH97" s="32">
        <f>IF(AQ97="0",BJ97,0)</f>
        <v>0</v>
      </c>
      <c r="AI97" s="28"/>
      <c r="AJ97" s="15">
        <f>IF(AN97=0,K97,0)</f>
        <v>0</v>
      </c>
      <c r="AK97" s="15">
        <f>IF(AN97=15,K97,0)</f>
        <v>0</v>
      </c>
      <c r="AL97" s="15">
        <f>IF(AN97=21,K97,0)</f>
        <v>0</v>
      </c>
      <c r="AN97" s="32">
        <v>21</v>
      </c>
      <c r="AO97" s="32">
        <f>H97*0</f>
        <v>0</v>
      </c>
      <c r="AP97" s="32">
        <f>H97*(1-0)</f>
        <v>0</v>
      </c>
      <c r="AQ97" s="27" t="s">
        <v>7</v>
      </c>
      <c r="AV97" s="32">
        <f>AW97+AX97</f>
        <v>0</v>
      </c>
      <c r="AW97" s="32">
        <f>G97*AO97</f>
        <v>0</v>
      </c>
      <c r="AX97" s="32">
        <f>G97*AP97</f>
        <v>0</v>
      </c>
      <c r="AY97" s="33" t="s">
        <v>271</v>
      </c>
      <c r="AZ97" s="33" t="s">
        <v>277</v>
      </c>
      <c r="BA97" s="28" t="s">
        <v>279</v>
      </c>
      <c r="BC97" s="32">
        <f>AW97+AX97</f>
        <v>0</v>
      </c>
      <c r="BD97" s="32">
        <f>H97/(100-BE97)*100</f>
        <v>0</v>
      </c>
      <c r="BE97" s="32">
        <v>0</v>
      </c>
      <c r="BF97" s="32">
        <f>97</f>
        <v>97</v>
      </c>
      <c r="BH97" s="15">
        <f>G97*AO97</f>
        <v>0</v>
      </c>
      <c r="BI97" s="15">
        <f>G97*AP97</f>
        <v>0</v>
      </c>
      <c r="BJ97" s="15">
        <f>G97*H97</f>
        <v>0</v>
      </c>
    </row>
    <row r="98" spans="3:7" ht="10.5" customHeight="1">
      <c r="C98" s="56" t="s">
        <v>161</v>
      </c>
      <c r="D98" s="57"/>
      <c r="E98" s="57"/>
      <c r="G98" s="16">
        <v>19.3</v>
      </c>
    </row>
    <row r="99" spans="1:62" ht="12.75">
      <c r="A99" s="4" t="s">
        <v>47</v>
      </c>
      <c r="B99" s="4" t="s">
        <v>110</v>
      </c>
      <c r="C99" s="58" t="s">
        <v>192</v>
      </c>
      <c r="D99" s="59"/>
      <c r="E99" s="59"/>
      <c r="F99" s="4" t="s">
        <v>228</v>
      </c>
      <c r="G99" s="15">
        <v>2.07</v>
      </c>
      <c r="H99" s="15">
        <v>0</v>
      </c>
      <c r="I99" s="15">
        <f>G99*AO99</f>
        <v>0</v>
      </c>
      <c r="J99" s="15">
        <f>G99*AP99</f>
        <v>0</v>
      </c>
      <c r="K99" s="15">
        <f>G99*H99</f>
        <v>0</v>
      </c>
      <c r="L99" s="27" t="s">
        <v>253</v>
      </c>
      <c r="Z99" s="32">
        <f>IF(AQ99="5",BJ99,0)</f>
        <v>0</v>
      </c>
      <c r="AB99" s="32">
        <f>IF(AQ99="1",BH99,0)</f>
        <v>0</v>
      </c>
      <c r="AC99" s="32">
        <f>IF(AQ99="1",BI99,0)</f>
        <v>0</v>
      </c>
      <c r="AD99" s="32">
        <f>IF(AQ99="7",BH99,0)</f>
        <v>0</v>
      </c>
      <c r="AE99" s="32">
        <f>IF(AQ99="7",BI99,0)</f>
        <v>0</v>
      </c>
      <c r="AF99" s="32">
        <f>IF(AQ99="2",BH99,0)</f>
        <v>0</v>
      </c>
      <c r="AG99" s="32">
        <f>IF(AQ99="2",BI99,0)</f>
        <v>0</v>
      </c>
      <c r="AH99" s="32">
        <f>IF(AQ99="0",BJ99,0)</f>
        <v>0</v>
      </c>
      <c r="AI99" s="28"/>
      <c r="AJ99" s="15">
        <f>IF(AN99=0,K99,0)</f>
        <v>0</v>
      </c>
      <c r="AK99" s="15">
        <f>IF(AN99=15,K99,0)</f>
        <v>0</v>
      </c>
      <c r="AL99" s="15">
        <f>IF(AN99=21,K99,0)</f>
        <v>0</v>
      </c>
      <c r="AN99" s="32">
        <v>21</v>
      </c>
      <c r="AO99" s="32">
        <f>H99*0</f>
        <v>0</v>
      </c>
      <c r="AP99" s="32">
        <f>H99*(1-0)</f>
        <v>0</v>
      </c>
      <c r="AQ99" s="27" t="s">
        <v>7</v>
      </c>
      <c r="AV99" s="32">
        <f>AW99+AX99</f>
        <v>0</v>
      </c>
      <c r="AW99" s="32">
        <f>G99*AO99</f>
        <v>0</v>
      </c>
      <c r="AX99" s="32">
        <f>G99*AP99</f>
        <v>0</v>
      </c>
      <c r="AY99" s="33" t="s">
        <v>271</v>
      </c>
      <c r="AZ99" s="33" t="s">
        <v>277</v>
      </c>
      <c r="BA99" s="28" t="s">
        <v>279</v>
      </c>
      <c r="BC99" s="32">
        <f>AW99+AX99</f>
        <v>0</v>
      </c>
      <c r="BD99" s="32">
        <f>H99/(100-BE99)*100</f>
        <v>0</v>
      </c>
      <c r="BE99" s="32">
        <v>0</v>
      </c>
      <c r="BF99" s="32">
        <f>99</f>
        <v>99</v>
      </c>
      <c r="BH99" s="15">
        <f>G99*AO99</f>
        <v>0</v>
      </c>
      <c r="BI99" s="15">
        <f>G99*AP99</f>
        <v>0</v>
      </c>
      <c r="BJ99" s="15">
        <f>G99*H99</f>
        <v>0</v>
      </c>
    </row>
    <row r="100" spans="3:7" ht="10.5" customHeight="1">
      <c r="C100" s="56" t="s">
        <v>162</v>
      </c>
      <c r="D100" s="57"/>
      <c r="E100" s="57"/>
      <c r="G100" s="16">
        <v>2.07</v>
      </c>
    </row>
    <row r="101" spans="1:62" ht="12.75">
      <c r="A101" s="4" t="s">
        <v>48</v>
      </c>
      <c r="B101" s="4" t="s">
        <v>111</v>
      </c>
      <c r="C101" s="58" t="s">
        <v>193</v>
      </c>
      <c r="D101" s="59"/>
      <c r="E101" s="59"/>
      <c r="F101" s="4" t="s">
        <v>232</v>
      </c>
      <c r="G101" s="15">
        <v>34.3</v>
      </c>
      <c r="H101" s="15">
        <v>0</v>
      </c>
      <c r="I101" s="15">
        <f>G101*AO101</f>
        <v>0</v>
      </c>
      <c r="J101" s="15">
        <f>G101*AP101</f>
        <v>0</v>
      </c>
      <c r="K101" s="15">
        <f>G101*H101</f>
        <v>0</v>
      </c>
      <c r="L101" s="27" t="s">
        <v>253</v>
      </c>
      <c r="Z101" s="32">
        <f>IF(AQ101="5",BJ101,0)</f>
        <v>0</v>
      </c>
      <c r="AB101" s="32">
        <f>IF(AQ101="1",BH101,0)</f>
        <v>0</v>
      </c>
      <c r="AC101" s="32">
        <f>IF(AQ101="1",BI101,0)</f>
        <v>0</v>
      </c>
      <c r="AD101" s="32">
        <f>IF(AQ101="7",BH101,0)</f>
        <v>0</v>
      </c>
      <c r="AE101" s="32">
        <f>IF(AQ101="7",BI101,0)</f>
        <v>0</v>
      </c>
      <c r="AF101" s="32">
        <f>IF(AQ101="2",BH101,0)</f>
        <v>0</v>
      </c>
      <c r="AG101" s="32">
        <f>IF(AQ101="2",BI101,0)</f>
        <v>0</v>
      </c>
      <c r="AH101" s="32">
        <f>IF(AQ101="0",BJ101,0)</f>
        <v>0</v>
      </c>
      <c r="AI101" s="28"/>
      <c r="AJ101" s="15">
        <f>IF(AN101=0,K101,0)</f>
        <v>0</v>
      </c>
      <c r="AK101" s="15">
        <f>IF(AN101=15,K101,0)</f>
        <v>0</v>
      </c>
      <c r="AL101" s="15">
        <f>IF(AN101=21,K101,0)</f>
        <v>0</v>
      </c>
      <c r="AN101" s="32">
        <v>21</v>
      </c>
      <c r="AO101" s="32">
        <f>H101*0</f>
        <v>0</v>
      </c>
      <c r="AP101" s="32">
        <f>H101*(1-0)</f>
        <v>0</v>
      </c>
      <c r="AQ101" s="27" t="s">
        <v>7</v>
      </c>
      <c r="AV101" s="32">
        <f>AW101+AX101</f>
        <v>0</v>
      </c>
      <c r="AW101" s="32">
        <f>G101*AO101</f>
        <v>0</v>
      </c>
      <c r="AX101" s="32">
        <f>G101*AP101</f>
        <v>0</v>
      </c>
      <c r="AY101" s="33" t="s">
        <v>271</v>
      </c>
      <c r="AZ101" s="33" t="s">
        <v>277</v>
      </c>
      <c r="BA101" s="28" t="s">
        <v>279</v>
      </c>
      <c r="BC101" s="32">
        <f>AW101+AX101</f>
        <v>0</v>
      </c>
      <c r="BD101" s="32">
        <f>H101/(100-BE101)*100</f>
        <v>0</v>
      </c>
      <c r="BE101" s="32">
        <v>0</v>
      </c>
      <c r="BF101" s="32">
        <f>101</f>
        <v>101</v>
      </c>
      <c r="BH101" s="15">
        <f>G101*AO101</f>
        <v>0</v>
      </c>
      <c r="BI101" s="15">
        <f>G101*AP101</f>
        <v>0</v>
      </c>
      <c r="BJ101" s="15">
        <f>G101*H101</f>
        <v>0</v>
      </c>
    </row>
    <row r="102" spans="3:7" ht="10.5" customHeight="1">
      <c r="C102" s="56" t="s">
        <v>163</v>
      </c>
      <c r="D102" s="57"/>
      <c r="E102" s="57"/>
      <c r="G102" s="16">
        <v>34.3</v>
      </c>
    </row>
    <row r="103" spans="1:62" ht="12.75">
      <c r="A103" s="4" t="s">
        <v>49</v>
      </c>
      <c r="B103" s="4" t="s">
        <v>112</v>
      </c>
      <c r="C103" s="58" t="s">
        <v>194</v>
      </c>
      <c r="D103" s="59"/>
      <c r="E103" s="59"/>
      <c r="F103" s="4" t="s">
        <v>232</v>
      </c>
      <c r="G103" s="15">
        <v>7.5</v>
      </c>
      <c r="H103" s="15">
        <v>0</v>
      </c>
      <c r="I103" s="15">
        <f>G103*AO103</f>
        <v>0</v>
      </c>
      <c r="J103" s="15">
        <f>G103*AP103</f>
        <v>0</v>
      </c>
      <c r="K103" s="15">
        <f>G103*H103</f>
        <v>0</v>
      </c>
      <c r="L103" s="27" t="s">
        <v>253</v>
      </c>
      <c r="Z103" s="32">
        <f>IF(AQ103="5",BJ103,0)</f>
        <v>0</v>
      </c>
      <c r="AB103" s="32">
        <f>IF(AQ103="1",BH103,0)</f>
        <v>0</v>
      </c>
      <c r="AC103" s="32">
        <f>IF(AQ103="1",BI103,0)</f>
        <v>0</v>
      </c>
      <c r="AD103" s="32">
        <f>IF(AQ103="7",BH103,0)</f>
        <v>0</v>
      </c>
      <c r="AE103" s="32">
        <f>IF(AQ103="7",BI103,0)</f>
        <v>0</v>
      </c>
      <c r="AF103" s="32">
        <f>IF(AQ103="2",BH103,0)</f>
        <v>0</v>
      </c>
      <c r="AG103" s="32">
        <f>IF(AQ103="2",BI103,0)</f>
        <v>0</v>
      </c>
      <c r="AH103" s="32">
        <f>IF(AQ103="0",BJ103,0)</f>
        <v>0</v>
      </c>
      <c r="AI103" s="28"/>
      <c r="AJ103" s="15">
        <f>IF(AN103=0,K103,0)</f>
        <v>0</v>
      </c>
      <c r="AK103" s="15">
        <f>IF(AN103=15,K103,0)</f>
        <v>0</v>
      </c>
      <c r="AL103" s="15">
        <f>IF(AN103=21,K103,0)</f>
        <v>0</v>
      </c>
      <c r="AN103" s="32">
        <v>21</v>
      </c>
      <c r="AO103" s="32">
        <f>H103*0</f>
        <v>0</v>
      </c>
      <c r="AP103" s="32">
        <f>H103*(1-0)</f>
        <v>0</v>
      </c>
      <c r="AQ103" s="27" t="s">
        <v>7</v>
      </c>
      <c r="AV103" s="32">
        <f>AW103+AX103</f>
        <v>0</v>
      </c>
      <c r="AW103" s="32">
        <f>G103*AO103</f>
        <v>0</v>
      </c>
      <c r="AX103" s="32">
        <f>G103*AP103</f>
        <v>0</v>
      </c>
      <c r="AY103" s="33" t="s">
        <v>271</v>
      </c>
      <c r="AZ103" s="33" t="s">
        <v>277</v>
      </c>
      <c r="BA103" s="28" t="s">
        <v>279</v>
      </c>
      <c r="BC103" s="32">
        <f>AW103+AX103</f>
        <v>0</v>
      </c>
      <c r="BD103" s="32">
        <f>H103/(100-BE103)*100</f>
        <v>0</v>
      </c>
      <c r="BE103" s="32">
        <v>0</v>
      </c>
      <c r="BF103" s="32">
        <f>103</f>
        <v>103</v>
      </c>
      <c r="BH103" s="15">
        <f>G103*AO103</f>
        <v>0</v>
      </c>
      <c r="BI103" s="15">
        <f>G103*AP103</f>
        <v>0</v>
      </c>
      <c r="BJ103" s="15">
        <f>G103*H103</f>
        <v>0</v>
      </c>
    </row>
    <row r="104" spans="3:7" ht="10.5" customHeight="1">
      <c r="C104" s="56" t="s">
        <v>167</v>
      </c>
      <c r="D104" s="57"/>
      <c r="E104" s="57"/>
      <c r="G104" s="16">
        <v>7.5</v>
      </c>
    </row>
    <row r="105" spans="1:62" ht="12.75">
      <c r="A105" s="4" t="s">
        <v>50</v>
      </c>
      <c r="B105" s="4" t="s">
        <v>113</v>
      </c>
      <c r="C105" s="58" t="s">
        <v>195</v>
      </c>
      <c r="D105" s="59"/>
      <c r="E105" s="59"/>
      <c r="F105" s="4" t="s">
        <v>231</v>
      </c>
      <c r="G105" s="15">
        <v>4</v>
      </c>
      <c r="H105" s="15">
        <v>0</v>
      </c>
      <c r="I105" s="15">
        <f>G105*AO105</f>
        <v>0</v>
      </c>
      <c r="J105" s="15">
        <f>G105*AP105</f>
        <v>0</v>
      </c>
      <c r="K105" s="15">
        <f>G105*H105</f>
        <v>0</v>
      </c>
      <c r="L105" s="27" t="s">
        <v>253</v>
      </c>
      <c r="Z105" s="32">
        <f>IF(AQ105="5",BJ105,0)</f>
        <v>0</v>
      </c>
      <c r="AB105" s="32">
        <f>IF(AQ105="1",BH105,0)</f>
        <v>0</v>
      </c>
      <c r="AC105" s="32">
        <f>IF(AQ105="1",BI105,0)</f>
        <v>0</v>
      </c>
      <c r="AD105" s="32">
        <f>IF(AQ105="7",BH105,0)</f>
        <v>0</v>
      </c>
      <c r="AE105" s="32">
        <f>IF(AQ105="7",BI105,0)</f>
        <v>0</v>
      </c>
      <c r="AF105" s="32">
        <f>IF(AQ105="2",BH105,0)</f>
        <v>0</v>
      </c>
      <c r="AG105" s="32">
        <f>IF(AQ105="2",BI105,0)</f>
        <v>0</v>
      </c>
      <c r="AH105" s="32">
        <f>IF(AQ105="0",BJ105,0)</f>
        <v>0</v>
      </c>
      <c r="AI105" s="28"/>
      <c r="AJ105" s="15">
        <f>IF(AN105=0,K105,0)</f>
        <v>0</v>
      </c>
      <c r="AK105" s="15">
        <f>IF(AN105=15,K105,0)</f>
        <v>0</v>
      </c>
      <c r="AL105" s="15">
        <f>IF(AN105=21,K105,0)</f>
        <v>0</v>
      </c>
      <c r="AN105" s="32">
        <v>21</v>
      </c>
      <c r="AO105" s="32">
        <f>H105*0</f>
        <v>0</v>
      </c>
      <c r="AP105" s="32">
        <f>H105*(1-0)</f>
        <v>0</v>
      </c>
      <c r="AQ105" s="27" t="s">
        <v>7</v>
      </c>
      <c r="AV105" s="32">
        <f>AW105+AX105</f>
        <v>0</v>
      </c>
      <c r="AW105" s="32">
        <f>G105*AO105</f>
        <v>0</v>
      </c>
      <c r="AX105" s="32">
        <f>G105*AP105</f>
        <v>0</v>
      </c>
      <c r="AY105" s="33" t="s">
        <v>271</v>
      </c>
      <c r="AZ105" s="33" t="s">
        <v>277</v>
      </c>
      <c r="BA105" s="28" t="s">
        <v>279</v>
      </c>
      <c r="BC105" s="32">
        <f>AW105+AX105</f>
        <v>0</v>
      </c>
      <c r="BD105" s="32">
        <f>H105/(100-BE105)*100</f>
        <v>0</v>
      </c>
      <c r="BE105" s="32">
        <v>0</v>
      </c>
      <c r="BF105" s="32">
        <f>105</f>
        <v>105</v>
      </c>
      <c r="BH105" s="15">
        <f>G105*AO105</f>
        <v>0</v>
      </c>
      <c r="BI105" s="15">
        <f>G105*AP105</f>
        <v>0</v>
      </c>
      <c r="BJ105" s="15">
        <f>G105*H105</f>
        <v>0</v>
      </c>
    </row>
    <row r="106" spans="3:7" ht="10.5" customHeight="1">
      <c r="C106" s="56" t="s">
        <v>158</v>
      </c>
      <c r="D106" s="57"/>
      <c r="E106" s="57"/>
      <c r="G106" s="16">
        <v>4</v>
      </c>
    </row>
    <row r="107" spans="1:62" ht="12.75">
      <c r="A107" s="4" t="s">
        <v>51</v>
      </c>
      <c r="B107" s="4" t="s">
        <v>114</v>
      </c>
      <c r="C107" s="58" t="s">
        <v>196</v>
      </c>
      <c r="D107" s="59"/>
      <c r="E107" s="59"/>
      <c r="F107" s="4" t="s">
        <v>228</v>
      </c>
      <c r="G107" s="15">
        <v>290.5</v>
      </c>
      <c r="H107" s="15">
        <v>0</v>
      </c>
      <c r="I107" s="15">
        <f>G107*AO107</f>
        <v>0</v>
      </c>
      <c r="J107" s="15">
        <f>G107*AP107</f>
        <v>0</v>
      </c>
      <c r="K107" s="15">
        <f>G107*H107</f>
        <v>0</v>
      </c>
      <c r="L107" s="27" t="s">
        <v>253</v>
      </c>
      <c r="Z107" s="32">
        <f>IF(AQ107="5",BJ107,0)</f>
        <v>0</v>
      </c>
      <c r="AB107" s="32">
        <f>IF(AQ107="1",BH107,0)</f>
        <v>0</v>
      </c>
      <c r="AC107" s="32">
        <f>IF(AQ107="1",BI107,0)</f>
        <v>0</v>
      </c>
      <c r="AD107" s="32">
        <f>IF(AQ107="7",BH107,0)</f>
        <v>0</v>
      </c>
      <c r="AE107" s="32">
        <f>IF(AQ107="7",BI107,0)</f>
        <v>0</v>
      </c>
      <c r="AF107" s="32">
        <f>IF(AQ107="2",BH107,0)</f>
        <v>0</v>
      </c>
      <c r="AG107" s="32">
        <f>IF(AQ107="2",BI107,0)</f>
        <v>0</v>
      </c>
      <c r="AH107" s="32">
        <f>IF(AQ107="0",BJ107,0)</f>
        <v>0</v>
      </c>
      <c r="AI107" s="28"/>
      <c r="AJ107" s="15">
        <f>IF(AN107=0,K107,0)</f>
        <v>0</v>
      </c>
      <c r="AK107" s="15">
        <f>IF(AN107=15,K107,0)</f>
        <v>0</v>
      </c>
      <c r="AL107" s="15">
        <f>IF(AN107=21,K107,0)</f>
        <v>0</v>
      </c>
      <c r="AN107" s="32">
        <v>21</v>
      </c>
      <c r="AO107" s="32">
        <f>H107*0</f>
        <v>0</v>
      </c>
      <c r="AP107" s="32">
        <f>H107*(1-0)</f>
        <v>0</v>
      </c>
      <c r="AQ107" s="27" t="s">
        <v>7</v>
      </c>
      <c r="AV107" s="32">
        <f>AW107+AX107</f>
        <v>0</v>
      </c>
      <c r="AW107" s="32">
        <f>G107*AO107</f>
        <v>0</v>
      </c>
      <c r="AX107" s="32">
        <f>G107*AP107</f>
        <v>0</v>
      </c>
      <c r="AY107" s="33" t="s">
        <v>271</v>
      </c>
      <c r="AZ107" s="33" t="s">
        <v>277</v>
      </c>
      <c r="BA107" s="28" t="s">
        <v>279</v>
      </c>
      <c r="BC107" s="32">
        <f>AW107+AX107</f>
        <v>0</v>
      </c>
      <c r="BD107" s="32">
        <f>H107/(100-BE107)*100</f>
        <v>0</v>
      </c>
      <c r="BE107" s="32">
        <v>0</v>
      </c>
      <c r="BF107" s="32">
        <f>107</f>
        <v>107</v>
      </c>
      <c r="BH107" s="15">
        <f>G107*AO107</f>
        <v>0</v>
      </c>
      <c r="BI107" s="15">
        <f>G107*AP107</f>
        <v>0</v>
      </c>
      <c r="BJ107" s="15">
        <f>G107*H107</f>
        <v>0</v>
      </c>
    </row>
    <row r="108" spans="3:7" ht="10.5" customHeight="1">
      <c r="C108" s="56" t="s">
        <v>144</v>
      </c>
      <c r="D108" s="57"/>
      <c r="E108" s="57"/>
      <c r="G108" s="16">
        <v>290.5</v>
      </c>
    </row>
    <row r="109" spans="1:62" ht="12.75">
      <c r="A109" s="4" t="s">
        <v>52</v>
      </c>
      <c r="B109" s="4" t="s">
        <v>115</v>
      </c>
      <c r="C109" s="58" t="s">
        <v>197</v>
      </c>
      <c r="D109" s="59"/>
      <c r="E109" s="59"/>
      <c r="F109" s="4" t="s">
        <v>228</v>
      </c>
      <c r="G109" s="15">
        <v>87.15</v>
      </c>
      <c r="H109" s="15">
        <v>0</v>
      </c>
      <c r="I109" s="15">
        <f>G109*AO109</f>
        <v>0</v>
      </c>
      <c r="J109" s="15">
        <f>G109*AP109</f>
        <v>0</v>
      </c>
      <c r="K109" s="15">
        <f>G109*H109</f>
        <v>0</v>
      </c>
      <c r="L109" s="27" t="s">
        <v>253</v>
      </c>
      <c r="Z109" s="32">
        <f>IF(AQ109="5",BJ109,0)</f>
        <v>0</v>
      </c>
      <c r="AB109" s="32">
        <f>IF(AQ109="1",BH109,0)</f>
        <v>0</v>
      </c>
      <c r="AC109" s="32">
        <f>IF(AQ109="1",BI109,0)</f>
        <v>0</v>
      </c>
      <c r="AD109" s="32">
        <f>IF(AQ109="7",BH109,0)</f>
        <v>0</v>
      </c>
      <c r="AE109" s="32">
        <f>IF(AQ109="7",BI109,0)</f>
        <v>0</v>
      </c>
      <c r="AF109" s="32">
        <f>IF(AQ109="2",BH109,0)</f>
        <v>0</v>
      </c>
      <c r="AG109" s="32">
        <f>IF(AQ109="2",BI109,0)</f>
        <v>0</v>
      </c>
      <c r="AH109" s="32">
        <f>IF(AQ109="0",BJ109,0)</f>
        <v>0</v>
      </c>
      <c r="AI109" s="28"/>
      <c r="AJ109" s="15">
        <f>IF(AN109=0,K109,0)</f>
        <v>0</v>
      </c>
      <c r="AK109" s="15">
        <f>IF(AN109=15,K109,0)</f>
        <v>0</v>
      </c>
      <c r="AL109" s="15">
        <f>IF(AN109=21,K109,0)</f>
        <v>0</v>
      </c>
      <c r="AN109" s="32">
        <v>21</v>
      </c>
      <c r="AO109" s="32">
        <f>H109*0</f>
        <v>0</v>
      </c>
      <c r="AP109" s="32">
        <f>H109*(1-0)</f>
        <v>0</v>
      </c>
      <c r="AQ109" s="27" t="s">
        <v>7</v>
      </c>
      <c r="AV109" s="32">
        <f>AW109+AX109</f>
        <v>0</v>
      </c>
      <c r="AW109" s="32">
        <f>G109*AO109</f>
        <v>0</v>
      </c>
      <c r="AX109" s="32">
        <f>G109*AP109</f>
        <v>0</v>
      </c>
      <c r="AY109" s="33" t="s">
        <v>271</v>
      </c>
      <c r="AZ109" s="33" t="s">
        <v>277</v>
      </c>
      <c r="BA109" s="28" t="s">
        <v>279</v>
      </c>
      <c r="BC109" s="32">
        <f>AW109+AX109</f>
        <v>0</v>
      </c>
      <c r="BD109" s="32">
        <f>H109/(100-BE109)*100</f>
        <v>0</v>
      </c>
      <c r="BE109" s="32">
        <v>0</v>
      </c>
      <c r="BF109" s="32">
        <f>109</f>
        <v>109</v>
      </c>
      <c r="BH109" s="15">
        <f>G109*AO109</f>
        <v>0</v>
      </c>
      <c r="BI109" s="15">
        <f>G109*AP109</f>
        <v>0</v>
      </c>
      <c r="BJ109" s="15">
        <f>G109*H109</f>
        <v>0</v>
      </c>
    </row>
    <row r="110" spans="3:7" ht="10.5" customHeight="1">
      <c r="C110" s="56" t="s">
        <v>148</v>
      </c>
      <c r="D110" s="57"/>
      <c r="E110" s="57"/>
      <c r="G110" s="16">
        <v>87.15</v>
      </c>
    </row>
    <row r="111" spans="1:62" ht="12.75">
      <c r="A111" s="4" t="s">
        <v>53</v>
      </c>
      <c r="B111" s="4" t="s">
        <v>116</v>
      </c>
      <c r="C111" s="58" t="s">
        <v>198</v>
      </c>
      <c r="D111" s="59"/>
      <c r="E111" s="59"/>
      <c r="F111" s="4" t="s">
        <v>228</v>
      </c>
      <c r="G111" s="15">
        <v>75</v>
      </c>
      <c r="H111" s="15">
        <v>0</v>
      </c>
      <c r="I111" s="15">
        <f>G111*AO111</f>
        <v>0</v>
      </c>
      <c r="J111" s="15">
        <f>G111*AP111</f>
        <v>0</v>
      </c>
      <c r="K111" s="15">
        <f>G111*H111</f>
        <v>0</v>
      </c>
      <c r="L111" s="27" t="s">
        <v>253</v>
      </c>
      <c r="Z111" s="32">
        <f>IF(AQ111="5",BJ111,0)</f>
        <v>0</v>
      </c>
      <c r="AB111" s="32">
        <f>IF(AQ111="1",BH111,0)</f>
        <v>0</v>
      </c>
      <c r="AC111" s="32">
        <f>IF(AQ111="1",BI111,0)</f>
        <v>0</v>
      </c>
      <c r="AD111" s="32">
        <f>IF(AQ111="7",BH111,0)</f>
        <v>0</v>
      </c>
      <c r="AE111" s="32">
        <f>IF(AQ111="7",BI111,0)</f>
        <v>0</v>
      </c>
      <c r="AF111" s="32">
        <f>IF(AQ111="2",BH111,0)</f>
        <v>0</v>
      </c>
      <c r="AG111" s="32">
        <f>IF(AQ111="2",BI111,0)</f>
        <v>0</v>
      </c>
      <c r="AH111" s="32">
        <f>IF(AQ111="0",BJ111,0)</f>
        <v>0</v>
      </c>
      <c r="AI111" s="28"/>
      <c r="AJ111" s="15">
        <f>IF(AN111=0,K111,0)</f>
        <v>0</v>
      </c>
      <c r="AK111" s="15">
        <f>IF(AN111=15,K111,0)</f>
        <v>0</v>
      </c>
      <c r="AL111" s="15">
        <f>IF(AN111=21,K111,0)</f>
        <v>0</v>
      </c>
      <c r="AN111" s="32">
        <v>21</v>
      </c>
      <c r="AO111" s="32">
        <f>H111*0</f>
        <v>0</v>
      </c>
      <c r="AP111" s="32">
        <f>H111*(1-0)</f>
        <v>0</v>
      </c>
      <c r="AQ111" s="27" t="s">
        <v>7</v>
      </c>
      <c r="AV111" s="32">
        <f>AW111+AX111</f>
        <v>0</v>
      </c>
      <c r="AW111" s="32">
        <f>G111*AO111</f>
        <v>0</v>
      </c>
      <c r="AX111" s="32">
        <f>G111*AP111</f>
        <v>0</v>
      </c>
      <c r="AY111" s="33" t="s">
        <v>271</v>
      </c>
      <c r="AZ111" s="33" t="s">
        <v>277</v>
      </c>
      <c r="BA111" s="28" t="s">
        <v>279</v>
      </c>
      <c r="BC111" s="32">
        <f>AW111+AX111</f>
        <v>0</v>
      </c>
      <c r="BD111" s="32">
        <f>H111/(100-BE111)*100</f>
        <v>0</v>
      </c>
      <c r="BE111" s="32">
        <v>0</v>
      </c>
      <c r="BF111" s="32">
        <f>111</f>
        <v>111</v>
      </c>
      <c r="BH111" s="15">
        <f>G111*AO111</f>
        <v>0</v>
      </c>
      <c r="BI111" s="15">
        <f>G111*AP111</f>
        <v>0</v>
      </c>
      <c r="BJ111" s="15">
        <f>G111*H111</f>
        <v>0</v>
      </c>
    </row>
    <row r="112" spans="3:7" ht="10.5" customHeight="1">
      <c r="C112" s="56" t="s">
        <v>199</v>
      </c>
      <c r="D112" s="57"/>
      <c r="E112" s="57"/>
      <c r="G112" s="16">
        <v>75</v>
      </c>
    </row>
    <row r="113" spans="1:47" ht="12.75">
      <c r="A113" s="5"/>
      <c r="B113" s="13" t="s">
        <v>117</v>
      </c>
      <c r="C113" s="64" t="s">
        <v>200</v>
      </c>
      <c r="D113" s="65"/>
      <c r="E113" s="65"/>
      <c r="F113" s="5" t="s">
        <v>6</v>
      </c>
      <c r="G113" s="5" t="s">
        <v>6</v>
      </c>
      <c r="H113" s="5" t="s">
        <v>6</v>
      </c>
      <c r="I113" s="35">
        <f>SUM(I114:I114)</f>
        <v>0</v>
      </c>
      <c r="J113" s="35">
        <f>SUM(J114:J114)</f>
        <v>0</v>
      </c>
      <c r="K113" s="35">
        <f>SUM(K114:K114)</f>
        <v>0</v>
      </c>
      <c r="L113" s="28"/>
      <c r="AI113" s="28"/>
      <c r="AS113" s="35">
        <f>SUM(AJ114:AJ114)</f>
        <v>0</v>
      </c>
      <c r="AT113" s="35">
        <f>SUM(AK114:AK114)</f>
        <v>0</v>
      </c>
      <c r="AU113" s="35">
        <f>SUM(AL114:AL114)</f>
        <v>0</v>
      </c>
    </row>
    <row r="114" spans="1:62" ht="12.75">
      <c r="A114" s="4" t="s">
        <v>54</v>
      </c>
      <c r="B114" s="4" t="s">
        <v>118</v>
      </c>
      <c r="C114" s="58" t="s">
        <v>201</v>
      </c>
      <c r="D114" s="59"/>
      <c r="E114" s="59"/>
      <c r="F114" s="4" t="s">
        <v>227</v>
      </c>
      <c r="G114" s="15">
        <v>1</v>
      </c>
      <c r="H114" s="15">
        <v>0</v>
      </c>
      <c r="I114" s="15">
        <f>G114*AO114</f>
        <v>0</v>
      </c>
      <c r="J114" s="15">
        <f>G114*AP114</f>
        <v>0</v>
      </c>
      <c r="K114" s="15">
        <f>G114*H114</f>
        <v>0</v>
      </c>
      <c r="L114" s="27" t="s">
        <v>253</v>
      </c>
      <c r="Z114" s="32">
        <f>IF(AQ114="5",BJ114,0)</f>
        <v>0</v>
      </c>
      <c r="AB114" s="32">
        <f>IF(AQ114="1",BH114,0)</f>
        <v>0</v>
      </c>
      <c r="AC114" s="32">
        <f>IF(AQ114="1",BI114,0)</f>
        <v>0</v>
      </c>
      <c r="AD114" s="32">
        <f>IF(AQ114="7",BH114,0)</f>
        <v>0</v>
      </c>
      <c r="AE114" s="32">
        <f>IF(AQ114="7",BI114,0)</f>
        <v>0</v>
      </c>
      <c r="AF114" s="32">
        <f>IF(AQ114="2",BH114,0)</f>
        <v>0</v>
      </c>
      <c r="AG114" s="32">
        <f>IF(AQ114="2",BI114,0)</f>
        <v>0</v>
      </c>
      <c r="AH114" s="32">
        <f>IF(AQ114="0",BJ114,0)</f>
        <v>0</v>
      </c>
      <c r="AI114" s="28"/>
      <c r="AJ114" s="15">
        <f>IF(AN114=0,K114,0)</f>
        <v>0</v>
      </c>
      <c r="AK114" s="15">
        <f>IF(AN114=15,K114,0)</f>
        <v>0</v>
      </c>
      <c r="AL114" s="15">
        <f>IF(AN114=21,K114,0)</f>
        <v>0</v>
      </c>
      <c r="AN114" s="32">
        <v>21</v>
      </c>
      <c r="AO114" s="32">
        <f>H114*0</f>
        <v>0</v>
      </c>
      <c r="AP114" s="32">
        <f>H114*(1-0)</f>
        <v>0</v>
      </c>
      <c r="AQ114" s="27" t="s">
        <v>8</v>
      </c>
      <c r="AV114" s="32">
        <f>AW114+AX114</f>
        <v>0</v>
      </c>
      <c r="AW114" s="32">
        <f>G114*AO114</f>
        <v>0</v>
      </c>
      <c r="AX114" s="32">
        <f>G114*AP114</f>
        <v>0</v>
      </c>
      <c r="AY114" s="33" t="s">
        <v>272</v>
      </c>
      <c r="AZ114" s="33" t="s">
        <v>277</v>
      </c>
      <c r="BA114" s="28" t="s">
        <v>279</v>
      </c>
      <c r="BC114" s="32">
        <f>AW114+AX114</f>
        <v>0</v>
      </c>
      <c r="BD114" s="32">
        <f>H114/(100-BE114)*100</f>
        <v>0</v>
      </c>
      <c r="BE114" s="32">
        <v>0</v>
      </c>
      <c r="BF114" s="32">
        <f>114</f>
        <v>114</v>
      </c>
      <c r="BH114" s="15">
        <f>G114*AO114</f>
        <v>0</v>
      </c>
      <c r="BI114" s="15">
        <f>G114*AP114</f>
        <v>0</v>
      </c>
      <c r="BJ114" s="15">
        <f>G114*H114</f>
        <v>0</v>
      </c>
    </row>
    <row r="115" spans="3:7" ht="10.5" customHeight="1">
      <c r="C115" s="56" t="s">
        <v>138</v>
      </c>
      <c r="D115" s="57"/>
      <c r="E115" s="57"/>
      <c r="G115" s="16">
        <v>1</v>
      </c>
    </row>
    <row r="116" spans="1:47" ht="12.75">
      <c r="A116" s="5"/>
      <c r="B116" s="13" t="s">
        <v>119</v>
      </c>
      <c r="C116" s="64" t="s">
        <v>202</v>
      </c>
      <c r="D116" s="65"/>
      <c r="E116" s="65"/>
      <c r="F116" s="5" t="s">
        <v>6</v>
      </c>
      <c r="G116" s="5" t="s">
        <v>6</v>
      </c>
      <c r="H116" s="5" t="s">
        <v>6</v>
      </c>
      <c r="I116" s="35">
        <f>SUM(I117:I117)</f>
        <v>0</v>
      </c>
      <c r="J116" s="35">
        <f>SUM(J117:J117)</f>
        <v>0</v>
      </c>
      <c r="K116" s="35">
        <f>SUM(K117:K117)</f>
        <v>0</v>
      </c>
      <c r="L116" s="28"/>
      <c r="AI116" s="28"/>
      <c r="AS116" s="35">
        <f>SUM(AJ117:AJ117)</f>
        <v>0</v>
      </c>
      <c r="AT116" s="35">
        <f>SUM(AK117:AK117)</f>
        <v>0</v>
      </c>
      <c r="AU116" s="35">
        <f>SUM(AL117:AL117)</f>
        <v>0</v>
      </c>
    </row>
    <row r="117" spans="1:62" ht="12.75">
      <c r="A117" s="4" t="s">
        <v>55</v>
      </c>
      <c r="B117" s="4" t="s">
        <v>120</v>
      </c>
      <c r="C117" s="58" t="s">
        <v>203</v>
      </c>
      <c r="D117" s="59"/>
      <c r="E117" s="59"/>
      <c r="F117" s="4" t="s">
        <v>235</v>
      </c>
      <c r="G117" s="15">
        <v>48</v>
      </c>
      <c r="H117" s="15">
        <v>0</v>
      </c>
      <c r="I117" s="15">
        <f>G117*AO117</f>
        <v>0</v>
      </c>
      <c r="J117" s="15">
        <f>G117*AP117</f>
        <v>0</v>
      </c>
      <c r="K117" s="15">
        <f>G117*H117</f>
        <v>0</v>
      </c>
      <c r="L117" s="27" t="s">
        <v>253</v>
      </c>
      <c r="Z117" s="32">
        <f>IF(AQ117="5",BJ117,0)</f>
        <v>0</v>
      </c>
      <c r="AB117" s="32">
        <f>IF(AQ117="1",BH117,0)</f>
        <v>0</v>
      </c>
      <c r="AC117" s="32">
        <f>IF(AQ117="1",BI117,0)</f>
        <v>0</v>
      </c>
      <c r="AD117" s="32">
        <f>IF(AQ117="7",BH117,0)</f>
        <v>0</v>
      </c>
      <c r="AE117" s="32">
        <f>IF(AQ117="7",BI117,0)</f>
        <v>0</v>
      </c>
      <c r="AF117" s="32">
        <f>IF(AQ117="2",BH117,0)</f>
        <v>0</v>
      </c>
      <c r="AG117" s="32">
        <f>IF(AQ117="2",BI117,0)</f>
        <v>0</v>
      </c>
      <c r="AH117" s="32">
        <f>IF(AQ117="0",BJ117,0)</f>
        <v>0</v>
      </c>
      <c r="AI117" s="28"/>
      <c r="AJ117" s="15">
        <f>IF(AN117=0,K117,0)</f>
        <v>0</v>
      </c>
      <c r="AK117" s="15">
        <f>IF(AN117=15,K117,0)</f>
        <v>0</v>
      </c>
      <c r="AL117" s="15">
        <f>IF(AN117=21,K117,0)</f>
        <v>0</v>
      </c>
      <c r="AN117" s="32">
        <v>21</v>
      </c>
      <c r="AO117" s="32">
        <f>H117*0</f>
        <v>0</v>
      </c>
      <c r="AP117" s="32">
        <f>H117*(1-0)</f>
        <v>0</v>
      </c>
      <c r="AQ117" s="27" t="s">
        <v>8</v>
      </c>
      <c r="AV117" s="32">
        <f>AW117+AX117</f>
        <v>0</v>
      </c>
      <c r="AW117" s="32">
        <f>G117*AO117</f>
        <v>0</v>
      </c>
      <c r="AX117" s="32">
        <f>G117*AP117</f>
        <v>0</v>
      </c>
      <c r="AY117" s="33" t="s">
        <v>273</v>
      </c>
      <c r="AZ117" s="33" t="s">
        <v>277</v>
      </c>
      <c r="BA117" s="28" t="s">
        <v>279</v>
      </c>
      <c r="BC117" s="32">
        <f>AW117+AX117</f>
        <v>0</v>
      </c>
      <c r="BD117" s="32">
        <f>H117/(100-BE117)*100</f>
        <v>0</v>
      </c>
      <c r="BE117" s="32">
        <v>0</v>
      </c>
      <c r="BF117" s="32">
        <f>117</f>
        <v>117</v>
      </c>
      <c r="BH117" s="15">
        <f>G117*AO117</f>
        <v>0</v>
      </c>
      <c r="BI117" s="15">
        <f>G117*AP117</f>
        <v>0</v>
      </c>
      <c r="BJ117" s="15">
        <f>G117*H117</f>
        <v>0</v>
      </c>
    </row>
    <row r="118" spans="3:7" ht="10.5" customHeight="1">
      <c r="C118" s="56" t="s">
        <v>204</v>
      </c>
      <c r="D118" s="57"/>
      <c r="E118" s="57"/>
      <c r="G118" s="16">
        <v>48</v>
      </c>
    </row>
    <row r="119" spans="1:47" ht="12.75">
      <c r="A119" s="5"/>
      <c r="B119" s="13" t="s">
        <v>121</v>
      </c>
      <c r="C119" s="64" t="s">
        <v>205</v>
      </c>
      <c r="D119" s="65"/>
      <c r="E119" s="65"/>
      <c r="F119" s="5" t="s">
        <v>6</v>
      </c>
      <c r="G119" s="5" t="s">
        <v>6</v>
      </c>
      <c r="H119" s="5" t="s">
        <v>6</v>
      </c>
      <c r="I119" s="35">
        <f>SUM(I120:I136)</f>
        <v>0</v>
      </c>
      <c r="J119" s="35">
        <f>SUM(J120:J136)</f>
        <v>0</v>
      </c>
      <c r="K119" s="35">
        <f>SUM(K120:K136)</f>
        <v>0</v>
      </c>
      <c r="L119" s="28"/>
      <c r="AI119" s="28"/>
      <c r="AS119" s="35">
        <f>SUM(AJ120:AJ136)</f>
        <v>0</v>
      </c>
      <c r="AT119" s="35">
        <f>SUM(AK120:AK136)</f>
        <v>0</v>
      </c>
      <c r="AU119" s="35">
        <f>SUM(AL120:AL136)</f>
        <v>0</v>
      </c>
    </row>
    <row r="120" spans="1:62" ht="12.75">
      <c r="A120" s="4" t="s">
        <v>56</v>
      </c>
      <c r="B120" s="4" t="s">
        <v>122</v>
      </c>
      <c r="C120" s="58" t="s">
        <v>206</v>
      </c>
      <c r="D120" s="59"/>
      <c r="E120" s="59"/>
      <c r="F120" s="4" t="s">
        <v>229</v>
      </c>
      <c r="G120" s="15">
        <v>6.3</v>
      </c>
      <c r="H120" s="15">
        <v>0</v>
      </c>
      <c r="I120" s="15">
        <f>G120*AO120</f>
        <v>0</v>
      </c>
      <c r="J120" s="15">
        <f>G120*AP120</f>
        <v>0</v>
      </c>
      <c r="K120" s="15">
        <f>G120*H120</f>
        <v>0</v>
      </c>
      <c r="L120" s="27" t="s">
        <v>253</v>
      </c>
      <c r="Z120" s="32">
        <f>IF(AQ120="5",BJ120,0)</f>
        <v>0</v>
      </c>
      <c r="AB120" s="32">
        <f>IF(AQ120="1",BH120,0)</f>
        <v>0</v>
      </c>
      <c r="AC120" s="32">
        <f>IF(AQ120="1",BI120,0)</f>
        <v>0</v>
      </c>
      <c r="AD120" s="32">
        <f>IF(AQ120="7",BH120,0)</f>
        <v>0</v>
      </c>
      <c r="AE120" s="32">
        <f>IF(AQ120="7",BI120,0)</f>
        <v>0</v>
      </c>
      <c r="AF120" s="32">
        <f>IF(AQ120="2",BH120,0)</f>
        <v>0</v>
      </c>
      <c r="AG120" s="32">
        <f>IF(AQ120="2",BI120,0)</f>
        <v>0</v>
      </c>
      <c r="AH120" s="32">
        <f>IF(AQ120="0",BJ120,0)</f>
        <v>0</v>
      </c>
      <c r="AI120" s="28"/>
      <c r="AJ120" s="15">
        <f>IF(AN120=0,K120,0)</f>
        <v>0</v>
      </c>
      <c r="AK120" s="15">
        <f>IF(AN120=15,K120,0)</f>
        <v>0</v>
      </c>
      <c r="AL120" s="15">
        <f>IF(AN120=21,K120,0)</f>
        <v>0</v>
      </c>
      <c r="AN120" s="32">
        <v>21</v>
      </c>
      <c r="AO120" s="32">
        <f>H120*0</f>
        <v>0</v>
      </c>
      <c r="AP120" s="32">
        <f>H120*(1-0)</f>
        <v>0</v>
      </c>
      <c r="AQ120" s="27" t="s">
        <v>11</v>
      </c>
      <c r="AV120" s="32">
        <f>AW120+AX120</f>
        <v>0</v>
      </c>
      <c r="AW120" s="32">
        <f>G120*AO120</f>
        <v>0</v>
      </c>
      <c r="AX120" s="32">
        <f>G120*AP120</f>
        <v>0</v>
      </c>
      <c r="AY120" s="33" t="s">
        <v>274</v>
      </c>
      <c r="AZ120" s="33" t="s">
        <v>277</v>
      </c>
      <c r="BA120" s="28" t="s">
        <v>279</v>
      </c>
      <c r="BC120" s="32">
        <f>AW120+AX120</f>
        <v>0</v>
      </c>
      <c r="BD120" s="32">
        <f>H120/(100-BE120)*100</f>
        <v>0</v>
      </c>
      <c r="BE120" s="32">
        <v>0</v>
      </c>
      <c r="BF120" s="32">
        <f>120</f>
        <v>120</v>
      </c>
      <c r="BH120" s="15">
        <f>G120*AO120</f>
        <v>0</v>
      </c>
      <c r="BI120" s="15">
        <f>G120*AP120</f>
        <v>0</v>
      </c>
      <c r="BJ120" s="15">
        <f>G120*H120</f>
        <v>0</v>
      </c>
    </row>
    <row r="121" spans="3:7" ht="10.5" customHeight="1">
      <c r="C121" s="56" t="s">
        <v>207</v>
      </c>
      <c r="D121" s="57"/>
      <c r="E121" s="57"/>
      <c r="G121" s="16">
        <v>6.3</v>
      </c>
    </row>
    <row r="122" spans="1:62" ht="12.75">
      <c r="A122" s="4" t="s">
        <v>57</v>
      </c>
      <c r="B122" s="4" t="s">
        <v>123</v>
      </c>
      <c r="C122" s="58" t="s">
        <v>208</v>
      </c>
      <c r="D122" s="59"/>
      <c r="E122" s="59"/>
      <c r="F122" s="4" t="s">
        <v>229</v>
      </c>
      <c r="G122" s="15">
        <v>12.6</v>
      </c>
      <c r="H122" s="15">
        <v>0</v>
      </c>
      <c r="I122" s="15">
        <f>G122*AO122</f>
        <v>0</v>
      </c>
      <c r="J122" s="15">
        <f>G122*AP122</f>
        <v>0</v>
      </c>
      <c r="K122" s="15">
        <f>G122*H122</f>
        <v>0</v>
      </c>
      <c r="L122" s="27" t="s">
        <v>253</v>
      </c>
      <c r="Z122" s="32">
        <f>IF(AQ122="5",BJ122,0)</f>
        <v>0</v>
      </c>
      <c r="AB122" s="32">
        <f>IF(AQ122="1",BH122,0)</f>
        <v>0</v>
      </c>
      <c r="AC122" s="32">
        <f>IF(AQ122="1",BI122,0)</f>
        <v>0</v>
      </c>
      <c r="AD122" s="32">
        <f>IF(AQ122="7",BH122,0)</f>
        <v>0</v>
      </c>
      <c r="AE122" s="32">
        <f>IF(AQ122="7",BI122,0)</f>
        <v>0</v>
      </c>
      <c r="AF122" s="32">
        <f>IF(AQ122="2",BH122,0)</f>
        <v>0</v>
      </c>
      <c r="AG122" s="32">
        <f>IF(AQ122="2",BI122,0)</f>
        <v>0</v>
      </c>
      <c r="AH122" s="32">
        <f>IF(AQ122="0",BJ122,0)</f>
        <v>0</v>
      </c>
      <c r="AI122" s="28"/>
      <c r="AJ122" s="15">
        <f>IF(AN122=0,K122,0)</f>
        <v>0</v>
      </c>
      <c r="AK122" s="15">
        <f>IF(AN122=15,K122,0)</f>
        <v>0</v>
      </c>
      <c r="AL122" s="15">
        <f>IF(AN122=21,K122,0)</f>
        <v>0</v>
      </c>
      <c r="AN122" s="32">
        <v>21</v>
      </c>
      <c r="AO122" s="32">
        <f>H122*0</f>
        <v>0</v>
      </c>
      <c r="AP122" s="32">
        <f>H122*(1-0)</f>
        <v>0</v>
      </c>
      <c r="AQ122" s="27" t="s">
        <v>11</v>
      </c>
      <c r="AV122" s="32">
        <f>AW122+AX122</f>
        <v>0</v>
      </c>
      <c r="AW122" s="32">
        <f>G122*AO122</f>
        <v>0</v>
      </c>
      <c r="AX122" s="32">
        <f>G122*AP122</f>
        <v>0</v>
      </c>
      <c r="AY122" s="33" t="s">
        <v>274</v>
      </c>
      <c r="AZ122" s="33" t="s">
        <v>277</v>
      </c>
      <c r="BA122" s="28" t="s">
        <v>279</v>
      </c>
      <c r="BC122" s="32">
        <f>AW122+AX122</f>
        <v>0</v>
      </c>
      <c r="BD122" s="32">
        <f>H122/(100-BE122)*100</f>
        <v>0</v>
      </c>
      <c r="BE122" s="32">
        <v>0</v>
      </c>
      <c r="BF122" s="32">
        <f>122</f>
        <v>122</v>
      </c>
      <c r="BH122" s="15">
        <f>G122*AO122</f>
        <v>0</v>
      </c>
      <c r="BI122" s="15">
        <f>G122*AP122</f>
        <v>0</v>
      </c>
      <c r="BJ122" s="15">
        <f>G122*H122</f>
        <v>0</v>
      </c>
    </row>
    <row r="123" spans="3:7" ht="10.5" customHeight="1">
      <c r="C123" s="56" t="s">
        <v>209</v>
      </c>
      <c r="D123" s="57"/>
      <c r="E123" s="57"/>
      <c r="G123" s="16">
        <v>12.6</v>
      </c>
    </row>
    <row r="124" spans="1:62" ht="12.75">
      <c r="A124" s="4" t="s">
        <v>58</v>
      </c>
      <c r="B124" s="4" t="s">
        <v>124</v>
      </c>
      <c r="C124" s="58" t="s">
        <v>210</v>
      </c>
      <c r="D124" s="59"/>
      <c r="E124" s="59"/>
      <c r="F124" s="4" t="s">
        <v>229</v>
      </c>
      <c r="G124" s="15">
        <v>6.3</v>
      </c>
      <c r="H124" s="15">
        <v>0</v>
      </c>
      <c r="I124" s="15">
        <f>G124*AO124</f>
        <v>0</v>
      </c>
      <c r="J124" s="15">
        <f>G124*AP124</f>
        <v>0</v>
      </c>
      <c r="K124" s="15">
        <f>G124*H124</f>
        <v>0</v>
      </c>
      <c r="L124" s="27" t="s">
        <v>253</v>
      </c>
      <c r="Z124" s="32">
        <f>IF(AQ124="5",BJ124,0)</f>
        <v>0</v>
      </c>
      <c r="AB124" s="32">
        <f>IF(AQ124="1",BH124,0)</f>
        <v>0</v>
      </c>
      <c r="AC124" s="32">
        <f>IF(AQ124="1",BI124,0)</f>
        <v>0</v>
      </c>
      <c r="AD124" s="32">
        <f>IF(AQ124="7",BH124,0)</f>
        <v>0</v>
      </c>
      <c r="AE124" s="32">
        <f>IF(AQ124="7",BI124,0)</f>
        <v>0</v>
      </c>
      <c r="AF124" s="32">
        <f>IF(AQ124="2",BH124,0)</f>
        <v>0</v>
      </c>
      <c r="AG124" s="32">
        <f>IF(AQ124="2",BI124,0)</f>
        <v>0</v>
      </c>
      <c r="AH124" s="32">
        <f>IF(AQ124="0",BJ124,0)</f>
        <v>0</v>
      </c>
      <c r="AI124" s="28"/>
      <c r="AJ124" s="15">
        <f>IF(AN124=0,K124,0)</f>
        <v>0</v>
      </c>
      <c r="AK124" s="15">
        <f>IF(AN124=15,K124,0)</f>
        <v>0</v>
      </c>
      <c r="AL124" s="15">
        <f>IF(AN124=21,K124,0)</f>
        <v>0</v>
      </c>
      <c r="AN124" s="32">
        <v>21</v>
      </c>
      <c r="AO124" s="32">
        <f>H124*0</f>
        <v>0</v>
      </c>
      <c r="AP124" s="32">
        <f>H124*(1-0)</f>
        <v>0</v>
      </c>
      <c r="AQ124" s="27" t="s">
        <v>11</v>
      </c>
      <c r="AV124" s="32">
        <f>AW124+AX124</f>
        <v>0</v>
      </c>
      <c r="AW124" s="32">
        <f>G124*AO124</f>
        <v>0</v>
      </c>
      <c r="AX124" s="32">
        <f>G124*AP124</f>
        <v>0</v>
      </c>
      <c r="AY124" s="33" t="s">
        <v>274</v>
      </c>
      <c r="AZ124" s="33" t="s">
        <v>277</v>
      </c>
      <c r="BA124" s="28" t="s">
        <v>279</v>
      </c>
      <c r="BC124" s="32">
        <f>AW124+AX124</f>
        <v>0</v>
      </c>
      <c r="BD124" s="32">
        <f>H124/(100-BE124)*100</f>
        <v>0</v>
      </c>
      <c r="BE124" s="32">
        <v>0</v>
      </c>
      <c r="BF124" s="32">
        <f>124</f>
        <v>124</v>
      </c>
      <c r="BH124" s="15">
        <f>G124*AO124</f>
        <v>0</v>
      </c>
      <c r="BI124" s="15">
        <f>G124*AP124</f>
        <v>0</v>
      </c>
      <c r="BJ124" s="15">
        <f>G124*H124</f>
        <v>0</v>
      </c>
    </row>
    <row r="125" spans="3:7" ht="10.5" customHeight="1">
      <c r="C125" s="56" t="s">
        <v>207</v>
      </c>
      <c r="D125" s="57"/>
      <c r="E125" s="57"/>
      <c r="G125" s="16">
        <v>6.3</v>
      </c>
    </row>
    <row r="126" spans="1:62" ht="12.75">
      <c r="A126" s="4" t="s">
        <v>59</v>
      </c>
      <c r="B126" s="4" t="s">
        <v>125</v>
      </c>
      <c r="C126" s="58" t="s">
        <v>211</v>
      </c>
      <c r="D126" s="59"/>
      <c r="E126" s="59"/>
      <c r="F126" s="4" t="s">
        <v>229</v>
      </c>
      <c r="G126" s="15">
        <v>18.9</v>
      </c>
      <c r="H126" s="15">
        <v>0</v>
      </c>
      <c r="I126" s="15">
        <f>G126*AO126</f>
        <v>0</v>
      </c>
      <c r="J126" s="15">
        <f>G126*AP126</f>
        <v>0</v>
      </c>
      <c r="K126" s="15">
        <f>G126*H126</f>
        <v>0</v>
      </c>
      <c r="L126" s="27" t="s">
        <v>253</v>
      </c>
      <c r="Z126" s="32">
        <f>IF(AQ126="5",BJ126,0)</f>
        <v>0</v>
      </c>
      <c r="AB126" s="32">
        <f>IF(AQ126="1",BH126,0)</f>
        <v>0</v>
      </c>
      <c r="AC126" s="32">
        <f>IF(AQ126="1",BI126,0)</f>
        <v>0</v>
      </c>
      <c r="AD126" s="32">
        <f>IF(AQ126="7",BH126,0)</f>
        <v>0</v>
      </c>
      <c r="AE126" s="32">
        <f>IF(AQ126="7",BI126,0)</f>
        <v>0</v>
      </c>
      <c r="AF126" s="32">
        <f>IF(AQ126="2",BH126,0)</f>
        <v>0</v>
      </c>
      <c r="AG126" s="32">
        <f>IF(AQ126="2",BI126,0)</f>
        <v>0</v>
      </c>
      <c r="AH126" s="32">
        <f>IF(AQ126="0",BJ126,0)</f>
        <v>0</v>
      </c>
      <c r="AI126" s="28"/>
      <c r="AJ126" s="15">
        <f>IF(AN126=0,K126,0)</f>
        <v>0</v>
      </c>
      <c r="AK126" s="15">
        <f>IF(AN126=15,K126,0)</f>
        <v>0</v>
      </c>
      <c r="AL126" s="15">
        <f>IF(AN126=21,K126,0)</f>
        <v>0</v>
      </c>
      <c r="AN126" s="32">
        <v>21</v>
      </c>
      <c r="AO126" s="32">
        <f>H126*0</f>
        <v>0</v>
      </c>
      <c r="AP126" s="32">
        <f>H126*(1-0)</f>
        <v>0</v>
      </c>
      <c r="AQ126" s="27" t="s">
        <v>11</v>
      </c>
      <c r="AV126" s="32">
        <f>AW126+AX126</f>
        <v>0</v>
      </c>
      <c r="AW126" s="32">
        <f>G126*AO126</f>
        <v>0</v>
      </c>
      <c r="AX126" s="32">
        <f>G126*AP126</f>
        <v>0</v>
      </c>
      <c r="AY126" s="33" t="s">
        <v>274</v>
      </c>
      <c r="AZ126" s="33" t="s">
        <v>277</v>
      </c>
      <c r="BA126" s="28" t="s">
        <v>279</v>
      </c>
      <c r="BC126" s="32">
        <f>AW126+AX126</f>
        <v>0</v>
      </c>
      <c r="BD126" s="32">
        <f>H126/(100-BE126)*100</f>
        <v>0</v>
      </c>
      <c r="BE126" s="32">
        <v>0</v>
      </c>
      <c r="BF126" s="32">
        <f>126</f>
        <v>126</v>
      </c>
      <c r="BH126" s="15">
        <f>G126*AO126</f>
        <v>0</v>
      </c>
      <c r="BI126" s="15">
        <f>G126*AP126</f>
        <v>0</v>
      </c>
      <c r="BJ126" s="15">
        <f>G126*H126</f>
        <v>0</v>
      </c>
    </row>
    <row r="127" spans="3:7" ht="10.5" customHeight="1">
      <c r="C127" s="56" t="s">
        <v>212</v>
      </c>
      <c r="D127" s="57"/>
      <c r="E127" s="57"/>
      <c r="G127" s="16">
        <v>18.9</v>
      </c>
    </row>
    <row r="128" spans="1:62" ht="12.75">
      <c r="A128" s="4" t="s">
        <v>60</v>
      </c>
      <c r="B128" s="4" t="s">
        <v>126</v>
      </c>
      <c r="C128" s="58" t="s">
        <v>213</v>
      </c>
      <c r="D128" s="59"/>
      <c r="E128" s="59"/>
      <c r="F128" s="4" t="s">
        <v>229</v>
      </c>
      <c r="G128" s="15">
        <v>6.3</v>
      </c>
      <c r="H128" s="15">
        <v>0</v>
      </c>
      <c r="I128" s="15">
        <f>G128*AO128</f>
        <v>0</v>
      </c>
      <c r="J128" s="15">
        <f>G128*AP128</f>
        <v>0</v>
      </c>
      <c r="K128" s="15">
        <f>G128*H128</f>
        <v>0</v>
      </c>
      <c r="L128" s="27" t="s">
        <v>253</v>
      </c>
      <c r="Z128" s="32">
        <f>IF(AQ128="5",BJ128,0)</f>
        <v>0</v>
      </c>
      <c r="AB128" s="32">
        <f>IF(AQ128="1",BH128,0)</f>
        <v>0</v>
      </c>
      <c r="AC128" s="32">
        <f>IF(AQ128="1",BI128,0)</f>
        <v>0</v>
      </c>
      <c r="AD128" s="32">
        <f>IF(AQ128="7",BH128,0)</f>
        <v>0</v>
      </c>
      <c r="AE128" s="32">
        <f>IF(AQ128="7",BI128,0)</f>
        <v>0</v>
      </c>
      <c r="AF128" s="32">
        <f>IF(AQ128="2",BH128,0)</f>
        <v>0</v>
      </c>
      <c r="AG128" s="32">
        <f>IF(AQ128="2",BI128,0)</f>
        <v>0</v>
      </c>
      <c r="AH128" s="32">
        <f>IF(AQ128="0",BJ128,0)</f>
        <v>0</v>
      </c>
      <c r="AI128" s="28"/>
      <c r="AJ128" s="15">
        <f>IF(AN128=0,K128,0)</f>
        <v>0</v>
      </c>
      <c r="AK128" s="15">
        <f>IF(AN128=15,K128,0)</f>
        <v>0</v>
      </c>
      <c r="AL128" s="15">
        <f>IF(AN128=21,K128,0)</f>
        <v>0</v>
      </c>
      <c r="AN128" s="32">
        <v>21</v>
      </c>
      <c r="AO128" s="32">
        <f>H128*0</f>
        <v>0</v>
      </c>
      <c r="AP128" s="32">
        <f>H128*(1-0)</f>
        <v>0</v>
      </c>
      <c r="AQ128" s="27" t="s">
        <v>11</v>
      </c>
      <c r="AV128" s="32">
        <f>AW128+AX128</f>
        <v>0</v>
      </c>
      <c r="AW128" s="32">
        <f>G128*AO128</f>
        <v>0</v>
      </c>
      <c r="AX128" s="32">
        <f>G128*AP128</f>
        <v>0</v>
      </c>
      <c r="AY128" s="33" t="s">
        <v>274</v>
      </c>
      <c r="AZ128" s="33" t="s">
        <v>277</v>
      </c>
      <c r="BA128" s="28" t="s">
        <v>279</v>
      </c>
      <c r="BC128" s="32">
        <f>AW128+AX128</f>
        <v>0</v>
      </c>
      <c r="BD128" s="32">
        <f>H128/(100-BE128)*100</f>
        <v>0</v>
      </c>
      <c r="BE128" s="32">
        <v>0</v>
      </c>
      <c r="BF128" s="32">
        <f>128</f>
        <v>128</v>
      </c>
      <c r="BH128" s="15">
        <f>G128*AO128</f>
        <v>0</v>
      </c>
      <c r="BI128" s="15">
        <f>G128*AP128</f>
        <v>0</v>
      </c>
      <c r="BJ128" s="15">
        <f>G128*H128</f>
        <v>0</v>
      </c>
    </row>
    <row r="129" spans="3:7" ht="10.5" customHeight="1">
      <c r="C129" s="56" t="s">
        <v>207</v>
      </c>
      <c r="D129" s="57"/>
      <c r="E129" s="57"/>
      <c r="G129" s="16">
        <v>6.3</v>
      </c>
    </row>
    <row r="130" spans="1:62" ht="12.75">
      <c r="A130" s="4" t="s">
        <v>61</v>
      </c>
      <c r="B130" s="4" t="s">
        <v>127</v>
      </c>
      <c r="C130" s="58" t="s">
        <v>214</v>
      </c>
      <c r="D130" s="59"/>
      <c r="E130" s="59"/>
      <c r="F130" s="4" t="s">
        <v>229</v>
      </c>
      <c r="G130" s="15">
        <v>270.9</v>
      </c>
      <c r="H130" s="15">
        <v>0</v>
      </c>
      <c r="I130" s="15">
        <f>G130*AO130</f>
        <v>0</v>
      </c>
      <c r="J130" s="15">
        <f>G130*AP130</f>
        <v>0</v>
      </c>
      <c r="K130" s="15">
        <f>G130*H130</f>
        <v>0</v>
      </c>
      <c r="L130" s="27" t="s">
        <v>253</v>
      </c>
      <c r="Z130" s="32">
        <f>IF(AQ130="5",BJ130,0)</f>
        <v>0</v>
      </c>
      <c r="AB130" s="32">
        <f>IF(AQ130="1",BH130,0)</f>
        <v>0</v>
      </c>
      <c r="AC130" s="32">
        <f>IF(AQ130="1",BI130,0)</f>
        <v>0</v>
      </c>
      <c r="AD130" s="32">
        <f>IF(AQ130="7",BH130,0)</f>
        <v>0</v>
      </c>
      <c r="AE130" s="32">
        <f>IF(AQ130="7",BI130,0)</f>
        <v>0</v>
      </c>
      <c r="AF130" s="32">
        <f>IF(AQ130="2",BH130,0)</f>
        <v>0</v>
      </c>
      <c r="AG130" s="32">
        <f>IF(AQ130="2",BI130,0)</f>
        <v>0</v>
      </c>
      <c r="AH130" s="32">
        <f>IF(AQ130="0",BJ130,0)</f>
        <v>0</v>
      </c>
      <c r="AI130" s="28"/>
      <c r="AJ130" s="15">
        <f>IF(AN130=0,K130,0)</f>
        <v>0</v>
      </c>
      <c r="AK130" s="15">
        <f>IF(AN130=15,K130,0)</f>
        <v>0</v>
      </c>
      <c r="AL130" s="15">
        <f>IF(AN130=21,K130,0)</f>
        <v>0</v>
      </c>
      <c r="AN130" s="32">
        <v>21</v>
      </c>
      <c r="AO130" s="32">
        <f>H130*0</f>
        <v>0</v>
      </c>
      <c r="AP130" s="32">
        <f>H130*(1-0)</f>
        <v>0</v>
      </c>
      <c r="AQ130" s="27" t="s">
        <v>11</v>
      </c>
      <c r="AV130" s="32">
        <f>AW130+AX130</f>
        <v>0</v>
      </c>
      <c r="AW130" s="32">
        <f>G130*AO130</f>
        <v>0</v>
      </c>
      <c r="AX130" s="32">
        <f>G130*AP130</f>
        <v>0</v>
      </c>
      <c r="AY130" s="33" t="s">
        <v>274</v>
      </c>
      <c r="AZ130" s="33" t="s">
        <v>277</v>
      </c>
      <c r="BA130" s="28" t="s">
        <v>279</v>
      </c>
      <c r="BC130" s="32">
        <f>AW130+AX130</f>
        <v>0</v>
      </c>
      <c r="BD130" s="32">
        <f>H130/(100-BE130)*100</f>
        <v>0</v>
      </c>
      <c r="BE130" s="32">
        <v>0</v>
      </c>
      <c r="BF130" s="32">
        <f>130</f>
        <v>130</v>
      </c>
      <c r="BH130" s="15">
        <f>G130*AO130</f>
        <v>0</v>
      </c>
      <c r="BI130" s="15">
        <f>G130*AP130</f>
        <v>0</v>
      </c>
      <c r="BJ130" s="15">
        <f>G130*H130</f>
        <v>0</v>
      </c>
    </row>
    <row r="131" spans="3:7" ht="10.5" customHeight="1">
      <c r="C131" s="56" t="s">
        <v>215</v>
      </c>
      <c r="D131" s="57"/>
      <c r="E131" s="57"/>
      <c r="G131" s="16">
        <v>270.9</v>
      </c>
    </row>
    <row r="132" spans="1:62" ht="12.75">
      <c r="A132" s="4" t="s">
        <v>62</v>
      </c>
      <c r="B132" s="4" t="s">
        <v>128</v>
      </c>
      <c r="C132" s="58" t="s">
        <v>216</v>
      </c>
      <c r="D132" s="59"/>
      <c r="E132" s="59"/>
      <c r="F132" s="4" t="s">
        <v>229</v>
      </c>
      <c r="G132" s="15">
        <v>6.3</v>
      </c>
      <c r="H132" s="15">
        <v>0</v>
      </c>
      <c r="I132" s="15">
        <f>G132*AO132</f>
        <v>0</v>
      </c>
      <c r="J132" s="15">
        <f>G132*AP132</f>
        <v>0</v>
      </c>
      <c r="K132" s="15">
        <f>G132*H132</f>
        <v>0</v>
      </c>
      <c r="L132" s="27" t="s">
        <v>253</v>
      </c>
      <c r="Z132" s="32">
        <f>IF(AQ132="5",BJ132,0)</f>
        <v>0</v>
      </c>
      <c r="AB132" s="32">
        <f>IF(AQ132="1",BH132,0)</f>
        <v>0</v>
      </c>
      <c r="AC132" s="32">
        <f>IF(AQ132="1",BI132,0)</f>
        <v>0</v>
      </c>
      <c r="AD132" s="32">
        <f>IF(AQ132="7",BH132,0)</f>
        <v>0</v>
      </c>
      <c r="AE132" s="32">
        <f>IF(AQ132="7",BI132,0)</f>
        <v>0</v>
      </c>
      <c r="AF132" s="32">
        <f>IF(AQ132="2",BH132,0)</f>
        <v>0</v>
      </c>
      <c r="AG132" s="32">
        <f>IF(AQ132="2",BI132,0)</f>
        <v>0</v>
      </c>
      <c r="AH132" s="32">
        <f>IF(AQ132="0",BJ132,0)</f>
        <v>0</v>
      </c>
      <c r="AI132" s="28"/>
      <c r="AJ132" s="15">
        <f>IF(AN132=0,K132,0)</f>
        <v>0</v>
      </c>
      <c r="AK132" s="15">
        <f>IF(AN132=15,K132,0)</f>
        <v>0</v>
      </c>
      <c r="AL132" s="15">
        <f>IF(AN132=21,K132,0)</f>
        <v>0</v>
      </c>
      <c r="AN132" s="32">
        <v>21</v>
      </c>
      <c r="AO132" s="32">
        <f>H132*0</f>
        <v>0</v>
      </c>
      <c r="AP132" s="32">
        <f>H132*(1-0)</f>
        <v>0</v>
      </c>
      <c r="AQ132" s="27" t="s">
        <v>11</v>
      </c>
      <c r="AV132" s="32">
        <f>AW132+AX132</f>
        <v>0</v>
      </c>
      <c r="AW132" s="32">
        <f>G132*AO132</f>
        <v>0</v>
      </c>
      <c r="AX132" s="32">
        <f>G132*AP132</f>
        <v>0</v>
      </c>
      <c r="AY132" s="33" t="s">
        <v>274</v>
      </c>
      <c r="AZ132" s="33" t="s">
        <v>277</v>
      </c>
      <c r="BA132" s="28" t="s">
        <v>279</v>
      </c>
      <c r="BC132" s="32">
        <f>AW132+AX132</f>
        <v>0</v>
      </c>
      <c r="BD132" s="32">
        <f>H132/(100-BE132)*100</f>
        <v>0</v>
      </c>
      <c r="BE132" s="32">
        <v>0</v>
      </c>
      <c r="BF132" s="32">
        <f>132</f>
        <v>132</v>
      </c>
      <c r="BH132" s="15">
        <f>G132*AO132</f>
        <v>0</v>
      </c>
      <c r="BI132" s="15">
        <f>G132*AP132</f>
        <v>0</v>
      </c>
      <c r="BJ132" s="15">
        <f>G132*H132</f>
        <v>0</v>
      </c>
    </row>
    <row r="133" spans="3:7" ht="10.5" customHeight="1">
      <c r="C133" s="56" t="s">
        <v>207</v>
      </c>
      <c r="D133" s="57"/>
      <c r="E133" s="57"/>
      <c r="G133" s="16">
        <v>6.3</v>
      </c>
    </row>
    <row r="134" spans="1:62" ht="12.75">
      <c r="A134" s="4" t="s">
        <v>63</v>
      </c>
      <c r="B134" s="4" t="s">
        <v>129</v>
      </c>
      <c r="C134" s="58" t="s">
        <v>217</v>
      </c>
      <c r="D134" s="59"/>
      <c r="E134" s="59"/>
      <c r="F134" s="4" t="s">
        <v>229</v>
      </c>
      <c r="G134" s="15">
        <v>3.807</v>
      </c>
      <c r="H134" s="15">
        <v>0</v>
      </c>
      <c r="I134" s="15">
        <f>G134*AO134</f>
        <v>0</v>
      </c>
      <c r="J134" s="15">
        <f>G134*AP134</f>
        <v>0</v>
      </c>
      <c r="K134" s="15">
        <f>G134*H134</f>
        <v>0</v>
      </c>
      <c r="L134" s="27" t="s">
        <v>253</v>
      </c>
      <c r="Z134" s="32">
        <f>IF(AQ134="5",BJ134,0)</f>
        <v>0</v>
      </c>
      <c r="AB134" s="32">
        <f>IF(AQ134="1",BH134,0)</f>
        <v>0</v>
      </c>
      <c r="AC134" s="32">
        <f>IF(AQ134="1",BI134,0)</f>
        <v>0</v>
      </c>
      <c r="AD134" s="32">
        <f>IF(AQ134="7",BH134,0)</f>
        <v>0</v>
      </c>
      <c r="AE134" s="32">
        <f>IF(AQ134="7",BI134,0)</f>
        <v>0</v>
      </c>
      <c r="AF134" s="32">
        <f>IF(AQ134="2",BH134,0)</f>
        <v>0</v>
      </c>
      <c r="AG134" s="32">
        <f>IF(AQ134="2",BI134,0)</f>
        <v>0</v>
      </c>
      <c r="AH134" s="32">
        <f>IF(AQ134="0",BJ134,0)</f>
        <v>0</v>
      </c>
      <c r="AI134" s="28"/>
      <c r="AJ134" s="15">
        <f>IF(AN134=0,K134,0)</f>
        <v>0</v>
      </c>
      <c r="AK134" s="15">
        <f>IF(AN134=15,K134,0)</f>
        <v>0</v>
      </c>
      <c r="AL134" s="15">
        <f>IF(AN134=21,K134,0)</f>
        <v>0</v>
      </c>
      <c r="AN134" s="32">
        <v>21</v>
      </c>
      <c r="AO134" s="32">
        <f>H134*0</f>
        <v>0</v>
      </c>
      <c r="AP134" s="32">
        <f>H134*(1-0)</f>
        <v>0</v>
      </c>
      <c r="AQ134" s="27" t="s">
        <v>11</v>
      </c>
      <c r="AV134" s="32">
        <f>AW134+AX134</f>
        <v>0</v>
      </c>
      <c r="AW134" s="32">
        <f>G134*AO134</f>
        <v>0</v>
      </c>
      <c r="AX134" s="32">
        <f>G134*AP134</f>
        <v>0</v>
      </c>
      <c r="AY134" s="33" t="s">
        <v>274</v>
      </c>
      <c r="AZ134" s="33" t="s">
        <v>277</v>
      </c>
      <c r="BA134" s="28" t="s">
        <v>279</v>
      </c>
      <c r="BC134" s="32">
        <f>AW134+AX134</f>
        <v>0</v>
      </c>
      <c r="BD134" s="32">
        <f>H134/(100-BE134)*100</f>
        <v>0</v>
      </c>
      <c r="BE134" s="32">
        <v>0</v>
      </c>
      <c r="BF134" s="32">
        <f>134</f>
        <v>134</v>
      </c>
      <c r="BH134" s="15">
        <f>G134*AO134</f>
        <v>0</v>
      </c>
      <c r="BI134" s="15">
        <f>G134*AP134</f>
        <v>0</v>
      </c>
      <c r="BJ134" s="15">
        <f>G134*H134</f>
        <v>0</v>
      </c>
    </row>
    <row r="135" spans="3:7" ht="10.5" customHeight="1">
      <c r="C135" s="56" t="s">
        <v>218</v>
      </c>
      <c r="D135" s="57"/>
      <c r="E135" s="57"/>
      <c r="G135" s="16">
        <v>3.807</v>
      </c>
    </row>
    <row r="136" spans="1:62" ht="12.75">
      <c r="A136" s="4" t="s">
        <v>64</v>
      </c>
      <c r="B136" s="4" t="s">
        <v>130</v>
      </c>
      <c r="C136" s="58" t="s">
        <v>219</v>
      </c>
      <c r="D136" s="59"/>
      <c r="E136" s="59"/>
      <c r="F136" s="4" t="s">
        <v>229</v>
      </c>
      <c r="G136" s="15">
        <v>2.493</v>
      </c>
      <c r="H136" s="15">
        <v>0</v>
      </c>
      <c r="I136" s="15">
        <f>G136*AO136</f>
        <v>0</v>
      </c>
      <c r="J136" s="15">
        <f>G136*AP136</f>
        <v>0</v>
      </c>
      <c r="K136" s="15">
        <f>G136*H136</f>
        <v>0</v>
      </c>
      <c r="L136" s="27" t="s">
        <v>253</v>
      </c>
      <c r="Z136" s="32">
        <f>IF(AQ136="5",BJ136,0)</f>
        <v>0</v>
      </c>
      <c r="AB136" s="32">
        <f>IF(AQ136="1",BH136,0)</f>
        <v>0</v>
      </c>
      <c r="AC136" s="32">
        <f>IF(AQ136="1",BI136,0)</f>
        <v>0</v>
      </c>
      <c r="AD136" s="32">
        <f>IF(AQ136="7",BH136,0)</f>
        <v>0</v>
      </c>
      <c r="AE136" s="32">
        <f>IF(AQ136="7",BI136,0)</f>
        <v>0</v>
      </c>
      <c r="AF136" s="32">
        <f>IF(AQ136="2",BH136,0)</f>
        <v>0</v>
      </c>
      <c r="AG136" s="32">
        <f>IF(AQ136="2",BI136,0)</f>
        <v>0</v>
      </c>
      <c r="AH136" s="32">
        <f>IF(AQ136="0",BJ136,0)</f>
        <v>0</v>
      </c>
      <c r="AI136" s="28"/>
      <c r="AJ136" s="15">
        <f>IF(AN136=0,K136,0)</f>
        <v>0</v>
      </c>
      <c r="AK136" s="15">
        <f>IF(AN136=15,K136,0)</f>
        <v>0</v>
      </c>
      <c r="AL136" s="15">
        <f>IF(AN136=21,K136,0)</f>
        <v>0</v>
      </c>
      <c r="AN136" s="32">
        <v>21</v>
      </c>
      <c r="AO136" s="32">
        <f>H136*0</f>
        <v>0</v>
      </c>
      <c r="AP136" s="32">
        <f>H136*(1-0)</f>
        <v>0</v>
      </c>
      <c r="AQ136" s="27" t="s">
        <v>11</v>
      </c>
      <c r="AV136" s="32">
        <f>AW136+AX136</f>
        <v>0</v>
      </c>
      <c r="AW136" s="32">
        <f>G136*AO136</f>
        <v>0</v>
      </c>
      <c r="AX136" s="32">
        <f>G136*AP136</f>
        <v>0</v>
      </c>
      <c r="AY136" s="33" t="s">
        <v>274</v>
      </c>
      <c r="AZ136" s="33" t="s">
        <v>277</v>
      </c>
      <c r="BA136" s="28" t="s">
        <v>279</v>
      </c>
      <c r="BC136" s="32">
        <f>AW136+AX136</f>
        <v>0</v>
      </c>
      <c r="BD136" s="32">
        <f>H136/(100-BE136)*100</f>
        <v>0</v>
      </c>
      <c r="BE136" s="32">
        <v>0</v>
      </c>
      <c r="BF136" s="32">
        <f>136</f>
        <v>136</v>
      </c>
      <c r="BH136" s="15">
        <f>G136*AO136</f>
        <v>0</v>
      </c>
      <c r="BI136" s="15">
        <f>G136*AP136</f>
        <v>0</v>
      </c>
      <c r="BJ136" s="15">
        <f>G136*H136</f>
        <v>0</v>
      </c>
    </row>
    <row r="137" spans="1:12" ht="10.5" customHeight="1">
      <c r="A137" s="7"/>
      <c r="B137" s="7"/>
      <c r="C137" s="60" t="s">
        <v>220</v>
      </c>
      <c r="D137" s="61"/>
      <c r="E137" s="61"/>
      <c r="F137" s="7"/>
      <c r="G137" s="18">
        <v>2.493</v>
      </c>
      <c r="H137" s="7"/>
      <c r="I137" s="7"/>
      <c r="J137" s="7"/>
      <c r="K137" s="7"/>
      <c r="L137" s="7"/>
    </row>
    <row r="138" spans="1:12" ht="12.75">
      <c r="A138" s="8"/>
      <c r="B138" s="8"/>
      <c r="C138" s="8"/>
      <c r="D138" s="8"/>
      <c r="E138" s="8"/>
      <c r="F138" s="8"/>
      <c r="G138" s="8"/>
      <c r="H138" s="8"/>
      <c r="I138" s="62" t="s">
        <v>248</v>
      </c>
      <c r="J138" s="63"/>
      <c r="K138" s="36">
        <f>ROUND(K12+K21+K35+K70+K79+K84+K87+K90+K113+K116+K119,0)</f>
        <v>0</v>
      </c>
      <c r="L138" s="8"/>
    </row>
    <row r="139" ht="10.5" customHeight="1">
      <c r="A139" s="9" t="s">
        <v>65</v>
      </c>
    </row>
    <row r="140" spans="1:12" ht="12.75" customHeight="1">
      <c r="A140" s="54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</row>
  </sheetData>
  <sheetProtection/>
  <mergeCells count="156">
    <mergeCell ref="F4:G5"/>
    <mergeCell ref="A1:L1"/>
    <mergeCell ref="A2:B3"/>
    <mergeCell ref="C2:C3"/>
    <mergeCell ref="D2:E3"/>
    <mergeCell ref="F2:G3"/>
    <mergeCell ref="H2:H3"/>
    <mergeCell ref="I2:L3"/>
    <mergeCell ref="H4:H5"/>
    <mergeCell ref="I4:L5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H8:H9"/>
    <mergeCell ref="I8:L9"/>
    <mergeCell ref="C10:E10"/>
    <mergeCell ref="I10:K10"/>
    <mergeCell ref="A8:B9"/>
    <mergeCell ref="C8:C9"/>
    <mergeCell ref="D8:E9"/>
    <mergeCell ref="F8:G9"/>
    <mergeCell ref="C15:E15"/>
    <mergeCell ref="C16:E16"/>
    <mergeCell ref="C17:E17"/>
    <mergeCell ref="C18:E18"/>
    <mergeCell ref="C11:E11"/>
    <mergeCell ref="C12:E12"/>
    <mergeCell ref="C13:E13"/>
    <mergeCell ref="C14:E14"/>
    <mergeCell ref="C23:E23"/>
    <mergeCell ref="C24:E24"/>
    <mergeCell ref="C25:E25"/>
    <mergeCell ref="C26:E26"/>
    <mergeCell ref="C19:E19"/>
    <mergeCell ref="C20:E20"/>
    <mergeCell ref="C21:E21"/>
    <mergeCell ref="C22:E22"/>
    <mergeCell ref="C31:E31"/>
    <mergeCell ref="C32:E32"/>
    <mergeCell ref="C33:E33"/>
    <mergeCell ref="C34:E34"/>
    <mergeCell ref="C27:E27"/>
    <mergeCell ref="C28:E28"/>
    <mergeCell ref="C29:E29"/>
    <mergeCell ref="C30:E30"/>
    <mergeCell ref="C39:E39"/>
    <mergeCell ref="C40:E40"/>
    <mergeCell ref="C41:E41"/>
    <mergeCell ref="C42:E42"/>
    <mergeCell ref="C35:E35"/>
    <mergeCell ref="C36:E36"/>
    <mergeCell ref="C37:E37"/>
    <mergeCell ref="C38:E38"/>
    <mergeCell ref="C47:E47"/>
    <mergeCell ref="C48:E48"/>
    <mergeCell ref="C49:E49"/>
    <mergeCell ref="C50:E50"/>
    <mergeCell ref="C43:E43"/>
    <mergeCell ref="C44:E44"/>
    <mergeCell ref="C45:E45"/>
    <mergeCell ref="C46:E46"/>
    <mergeCell ref="C55:E55"/>
    <mergeCell ref="C56:E56"/>
    <mergeCell ref="C57:E57"/>
    <mergeCell ref="C58:E58"/>
    <mergeCell ref="C51:E51"/>
    <mergeCell ref="C52:E52"/>
    <mergeCell ref="C53:E53"/>
    <mergeCell ref="C54:E54"/>
    <mergeCell ref="C63:E63"/>
    <mergeCell ref="C64:E64"/>
    <mergeCell ref="C65:E65"/>
    <mergeCell ref="C66:E66"/>
    <mergeCell ref="C59:E59"/>
    <mergeCell ref="C60:E60"/>
    <mergeCell ref="C61:E61"/>
    <mergeCell ref="C62:E62"/>
    <mergeCell ref="C71:E71"/>
    <mergeCell ref="C72:E72"/>
    <mergeCell ref="C73:E73"/>
    <mergeCell ref="C74:E74"/>
    <mergeCell ref="C67:E67"/>
    <mergeCell ref="C68:E68"/>
    <mergeCell ref="C69:E69"/>
    <mergeCell ref="C70:E70"/>
    <mergeCell ref="C79:E79"/>
    <mergeCell ref="C80:E80"/>
    <mergeCell ref="C81:E81"/>
    <mergeCell ref="C82:E82"/>
    <mergeCell ref="C75:E75"/>
    <mergeCell ref="C76:E76"/>
    <mergeCell ref="C77:E77"/>
    <mergeCell ref="C78:E78"/>
    <mergeCell ref="C87:E87"/>
    <mergeCell ref="C88:E88"/>
    <mergeCell ref="C89:E89"/>
    <mergeCell ref="C90:E90"/>
    <mergeCell ref="C83:E83"/>
    <mergeCell ref="C84:E84"/>
    <mergeCell ref="C85:E85"/>
    <mergeCell ref="C86:E86"/>
    <mergeCell ref="C95:E95"/>
    <mergeCell ref="C96:E96"/>
    <mergeCell ref="C97:E97"/>
    <mergeCell ref="C98:E98"/>
    <mergeCell ref="C91:E91"/>
    <mergeCell ref="C92:E92"/>
    <mergeCell ref="C93:E93"/>
    <mergeCell ref="C94:E94"/>
    <mergeCell ref="C103:E103"/>
    <mergeCell ref="C104:E104"/>
    <mergeCell ref="C105:E105"/>
    <mergeCell ref="C106:E106"/>
    <mergeCell ref="C99:E99"/>
    <mergeCell ref="C100:E100"/>
    <mergeCell ref="C101:E101"/>
    <mergeCell ref="C102:E102"/>
    <mergeCell ref="C111:E111"/>
    <mergeCell ref="C112:E112"/>
    <mergeCell ref="C113:E113"/>
    <mergeCell ref="C114:E114"/>
    <mergeCell ref="C107:E107"/>
    <mergeCell ref="C108:E108"/>
    <mergeCell ref="C109:E109"/>
    <mergeCell ref="C110:E110"/>
    <mergeCell ref="C119:E119"/>
    <mergeCell ref="C120:E120"/>
    <mergeCell ref="C121:E121"/>
    <mergeCell ref="C122:E122"/>
    <mergeCell ref="C115:E115"/>
    <mergeCell ref="C116:E116"/>
    <mergeCell ref="C117:E117"/>
    <mergeCell ref="C118:E118"/>
    <mergeCell ref="C127:E127"/>
    <mergeCell ref="C128:E128"/>
    <mergeCell ref="C129:E129"/>
    <mergeCell ref="C130:E130"/>
    <mergeCell ref="C123:E123"/>
    <mergeCell ref="C124:E124"/>
    <mergeCell ref="C125:E125"/>
    <mergeCell ref="C126:E126"/>
    <mergeCell ref="A140:L140"/>
    <mergeCell ref="C135:E135"/>
    <mergeCell ref="C136:E136"/>
    <mergeCell ref="C137:E137"/>
    <mergeCell ref="I138:J138"/>
    <mergeCell ref="C131:E131"/>
    <mergeCell ref="C132:E132"/>
    <mergeCell ref="C133:E133"/>
    <mergeCell ref="C134:E134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K10" sqref="K10"/>
    </sheetView>
  </sheetViews>
  <sheetFormatPr defaultColWidth="11.57421875" defaultRowHeight="12.75"/>
  <cols>
    <col min="1" max="1" width="9.140625" style="0" customWidth="1"/>
    <col min="2" max="2" width="12.7109375" style="0" customWidth="1"/>
    <col min="3" max="3" width="22.8515625" style="0" customWidth="1"/>
    <col min="4" max="4" width="10.14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7109375" style="0" customWidth="1"/>
    <col min="9" max="9" width="22.8515625" style="0" customWidth="1"/>
  </cols>
  <sheetData>
    <row r="1" spans="1:9" ht="72.75" customHeight="1">
      <c r="A1" s="53"/>
      <c r="B1" s="7"/>
      <c r="C1" s="120" t="s">
        <v>298</v>
      </c>
      <c r="D1" s="87"/>
      <c r="E1" s="87"/>
      <c r="F1" s="87"/>
      <c r="G1" s="87"/>
      <c r="H1" s="87"/>
      <c r="I1" s="87"/>
    </row>
    <row r="2" spans="1:10" ht="12.75">
      <c r="A2" s="88" t="s">
        <v>1</v>
      </c>
      <c r="B2" s="89"/>
      <c r="C2" s="90" t="str">
        <f>'Stavební rozpočet'!C2</f>
        <v>Oprava střechy objektu č.p.11</v>
      </c>
      <c r="D2" s="63"/>
      <c r="E2" s="93" t="s">
        <v>237</v>
      </c>
      <c r="F2" s="93" t="str">
        <f>'Stavební rozpočet'!I2</f>
        <v>Dětský domov Palackého třída 515, 288 02 Nymburk</v>
      </c>
      <c r="G2" s="89"/>
      <c r="H2" s="93" t="s">
        <v>321</v>
      </c>
      <c r="I2" s="119"/>
      <c r="J2" s="30"/>
    </row>
    <row r="3" spans="1:10" ht="12.75" customHeight="1">
      <c r="A3" s="85"/>
      <c r="B3" s="55"/>
      <c r="C3" s="91"/>
      <c r="D3" s="91"/>
      <c r="E3" s="55"/>
      <c r="F3" s="55"/>
      <c r="G3" s="55"/>
      <c r="H3" s="55"/>
      <c r="I3" s="74"/>
      <c r="J3" s="30"/>
    </row>
    <row r="4" spans="1:10" ht="12.75">
      <c r="A4" s="82" t="s">
        <v>2</v>
      </c>
      <c r="B4" s="55"/>
      <c r="C4" s="54" t="str">
        <f>'Stavební rozpočet'!C4</f>
        <v>Dětský domov,praktická škola</v>
      </c>
      <c r="D4" s="55"/>
      <c r="E4" s="54" t="s">
        <v>238</v>
      </c>
      <c r="F4" s="54" t="str">
        <f>'Stavební rozpočet'!I4</f>
        <v>IIng. David Dvořák Tř. 9. května 1127/25 Rumburk</v>
      </c>
      <c r="G4" s="55"/>
      <c r="H4" s="54" t="s">
        <v>321</v>
      </c>
      <c r="I4" s="114"/>
      <c r="J4" s="30"/>
    </row>
    <row r="5" spans="1:10" ht="12.75" customHeight="1">
      <c r="A5" s="85"/>
      <c r="B5" s="55"/>
      <c r="C5" s="55"/>
      <c r="D5" s="55"/>
      <c r="E5" s="55"/>
      <c r="F5" s="55"/>
      <c r="G5" s="55"/>
      <c r="H5" s="55"/>
      <c r="I5" s="74"/>
      <c r="J5" s="30"/>
    </row>
    <row r="6" spans="1:10" ht="12.75">
      <c r="A6" s="82" t="s">
        <v>3</v>
      </c>
      <c r="B6" s="55"/>
      <c r="C6" s="54" t="str">
        <f>'Stavební rozpočet'!C6</f>
        <v>č.p.11 p.č.k. 12,k.ú. Staré Hraběcí</v>
      </c>
      <c r="D6" s="55"/>
      <c r="E6" s="54" t="s">
        <v>239</v>
      </c>
      <c r="F6" s="54" t="str">
        <f>'Stavební rozpočet'!I6</f>
        <v>Bude vybrán ve výběrovém řízení</v>
      </c>
      <c r="G6" s="55"/>
      <c r="H6" s="54" t="s">
        <v>321</v>
      </c>
      <c r="I6" s="114"/>
      <c r="J6" s="30"/>
    </row>
    <row r="7" spans="1:10" ht="12.75" customHeight="1">
      <c r="A7" s="85"/>
      <c r="B7" s="55"/>
      <c r="C7" s="55"/>
      <c r="D7" s="55"/>
      <c r="E7" s="55"/>
      <c r="F7" s="55"/>
      <c r="G7" s="55"/>
      <c r="H7" s="55"/>
      <c r="I7" s="74"/>
      <c r="J7" s="30"/>
    </row>
    <row r="8" spans="1:10" ht="12.75">
      <c r="A8" s="82" t="s">
        <v>222</v>
      </c>
      <c r="B8" s="55"/>
      <c r="C8" s="54" t="str">
        <f>'Stavební rozpočet'!F4</f>
        <v> </v>
      </c>
      <c r="D8" s="55"/>
      <c r="E8" s="54" t="s">
        <v>223</v>
      </c>
      <c r="F8" s="54" t="str">
        <f>'Stavební rozpočet'!F6</f>
        <v> </v>
      </c>
      <c r="G8" s="55"/>
      <c r="H8" s="84" t="s">
        <v>322</v>
      </c>
      <c r="I8" s="114" t="s">
        <v>64</v>
      </c>
      <c r="J8" s="30"/>
    </row>
    <row r="9" spans="1:10" ht="12.75">
      <c r="A9" s="85"/>
      <c r="B9" s="55"/>
      <c r="C9" s="55"/>
      <c r="D9" s="55"/>
      <c r="E9" s="55"/>
      <c r="F9" s="55"/>
      <c r="G9" s="55"/>
      <c r="H9" s="55"/>
      <c r="I9" s="74"/>
      <c r="J9" s="30"/>
    </row>
    <row r="10" spans="1:10" ht="12.75">
      <c r="A10" s="82" t="s">
        <v>4</v>
      </c>
      <c r="B10" s="55"/>
      <c r="C10" s="54" t="str">
        <f>'Stavební rozpočet'!C8</f>
        <v> </v>
      </c>
      <c r="D10" s="55"/>
      <c r="E10" s="54" t="s">
        <v>240</v>
      </c>
      <c r="F10" s="54" t="str">
        <f>'Stavební rozpočet'!I8</f>
        <v>Ing. David Dvořák</v>
      </c>
      <c r="G10" s="55"/>
      <c r="H10" s="84" t="s">
        <v>323</v>
      </c>
      <c r="I10" s="117" t="str">
        <f>'Stavební rozpočet'!F8</f>
        <v>19.05.2020</v>
      </c>
      <c r="J10" s="30"/>
    </row>
    <row r="11" spans="1:10" ht="12.75">
      <c r="A11" s="115"/>
      <c r="B11" s="116"/>
      <c r="C11" s="116"/>
      <c r="D11" s="116"/>
      <c r="E11" s="116"/>
      <c r="F11" s="116"/>
      <c r="G11" s="116"/>
      <c r="H11" s="116"/>
      <c r="I11" s="118"/>
      <c r="J11" s="30"/>
    </row>
    <row r="12" spans="1:9" ht="18.75" customHeight="1">
      <c r="A12" s="110" t="s">
        <v>283</v>
      </c>
      <c r="B12" s="111"/>
      <c r="C12" s="111"/>
      <c r="D12" s="111"/>
      <c r="E12" s="111"/>
      <c r="F12" s="111"/>
      <c r="G12" s="111"/>
      <c r="H12" s="111"/>
      <c r="I12" s="111"/>
    </row>
    <row r="13" spans="1:10" ht="26.25" customHeight="1">
      <c r="A13" s="37" t="s">
        <v>284</v>
      </c>
      <c r="B13" s="112" t="s">
        <v>296</v>
      </c>
      <c r="C13" s="113"/>
      <c r="D13" s="37" t="s">
        <v>299</v>
      </c>
      <c r="E13" s="112" t="s">
        <v>308</v>
      </c>
      <c r="F13" s="113"/>
      <c r="G13" s="37" t="s">
        <v>309</v>
      </c>
      <c r="H13" s="112" t="s">
        <v>324</v>
      </c>
      <c r="I13" s="113"/>
      <c r="J13" s="30"/>
    </row>
    <row r="14" spans="1:10" ht="12.75" customHeight="1">
      <c r="A14" s="38" t="s">
        <v>285</v>
      </c>
      <c r="B14" s="42" t="s">
        <v>297</v>
      </c>
      <c r="C14" s="46">
        <f>SUM('Stavební rozpočet'!AB12:AB137)</f>
        <v>0</v>
      </c>
      <c r="D14" s="108" t="s">
        <v>300</v>
      </c>
      <c r="E14" s="109"/>
      <c r="F14" s="46">
        <v>0</v>
      </c>
      <c r="G14" s="108" t="s">
        <v>139</v>
      </c>
      <c r="H14" s="109"/>
      <c r="I14" s="46">
        <v>0</v>
      </c>
      <c r="J14" s="30"/>
    </row>
    <row r="15" spans="1:10" ht="12.75" customHeight="1">
      <c r="A15" s="39"/>
      <c r="B15" s="42" t="s">
        <v>249</v>
      </c>
      <c r="C15" s="46">
        <f>SUM('Stavební rozpočet'!AC12:AC137)</f>
        <v>0</v>
      </c>
      <c r="D15" s="108" t="s">
        <v>301</v>
      </c>
      <c r="E15" s="109"/>
      <c r="F15" s="46">
        <v>0</v>
      </c>
      <c r="G15" s="108" t="s">
        <v>310</v>
      </c>
      <c r="H15" s="109"/>
      <c r="I15" s="46">
        <v>0</v>
      </c>
      <c r="J15" s="30"/>
    </row>
    <row r="16" spans="1:10" ht="12.75" customHeight="1">
      <c r="A16" s="38" t="s">
        <v>286</v>
      </c>
      <c r="B16" s="42" t="s">
        <v>297</v>
      </c>
      <c r="C16" s="46">
        <f>SUM('Stavební rozpočet'!AD12:AD137)</f>
        <v>0</v>
      </c>
      <c r="D16" s="108" t="s">
        <v>302</v>
      </c>
      <c r="E16" s="109"/>
      <c r="F16" s="46">
        <v>0</v>
      </c>
      <c r="G16" s="108" t="s">
        <v>140</v>
      </c>
      <c r="H16" s="109"/>
      <c r="I16" s="46">
        <v>0</v>
      </c>
      <c r="J16" s="30"/>
    </row>
    <row r="17" spans="1:10" ht="12.75" customHeight="1">
      <c r="A17" s="39"/>
      <c r="B17" s="42" t="s">
        <v>249</v>
      </c>
      <c r="C17" s="46">
        <f>SUM('Stavební rozpočet'!AE12:AE137)</f>
        <v>0</v>
      </c>
      <c r="D17" s="108"/>
      <c r="E17" s="109"/>
      <c r="F17" s="47"/>
      <c r="G17" s="108" t="s">
        <v>311</v>
      </c>
      <c r="H17" s="109"/>
      <c r="I17" s="46">
        <v>0</v>
      </c>
      <c r="J17" s="30"/>
    </row>
    <row r="18" spans="1:10" ht="12.75" customHeight="1">
      <c r="A18" s="38" t="s">
        <v>287</v>
      </c>
      <c r="B18" s="42" t="s">
        <v>297</v>
      </c>
      <c r="C18" s="46">
        <f>SUM('Stavební rozpočet'!AF12:AF137)</f>
        <v>0</v>
      </c>
      <c r="D18" s="108"/>
      <c r="E18" s="109"/>
      <c r="F18" s="47"/>
      <c r="G18" s="108" t="s">
        <v>312</v>
      </c>
      <c r="H18" s="109"/>
      <c r="I18" s="46">
        <v>0</v>
      </c>
      <c r="J18" s="30"/>
    </row>
    <row r="19" spans="1:10" ht="12.75" customHeight="1">
      <c r="A19" s="39"/>
      <c r="B19" s="42" t="s">
        <v>249</v>
      </c>
      <c r="C19" s="46">
        <f>SUM('Stavební rozpočet'!AG12:AG137)</f>
        <v>0</v>
      </c>
      <c r="D19" s="108"/>
      <c r="E19" s="109"/>
      <c r="F19" s="47"/>
      <c r="G19" s="108" t="s">
        <v>313</v>
      </c>
      <c r="H19" s="109"/>
      <c r="I19" s="46">
        <v>0</v>
      </c>
      <c r="J19" s="30"/>
    </row>
    <row r="20" spans="1:10" ht="12.75" customHeight="1">
      <c r="A20" s="106" t="s">
        <v>288</v>
      </c>
      <c r="B20" s="107"/>
      <c r="C20" s="46">
        <f>SUM('Stavební rozpočet'!AH12:AH137)</f>
        <v>0</v>
      </c>
      <c r="D20" s="108"/>
      <c r="E20" s="109"/>
      <c r="F20" s="47"/>
      <c r="G20" s="108"/>
      <c r="H20" s="109"/>
      <c r="I20" s="47"/>
      <c r="J20" s="30"/>
    </row>
    <row r="21" spans="1:10" ht="12.75" customHeight="1">
      <c r="A21" s="106" t="s">
        <v>289</v>
      </c>
      <c r="B21" s="107"/>
      <c r="C21" s="46">
        <f>SUM('Stavební rozpočet'!Z12:Z137)</f>
        <v>0</v>
      </c>
      <c r="D21" s="108"/>
      <c r="E21" s="109"/>
      <c r="F21" s="47"/>
      <c r="G21" s="108"/>
      <c r="H21" s="109"/>
      <c r="I21" s="47"/>
      <c r="J21" s="30"/>
    </row>
    <row r="22" spans="1:10" ht="16.5" customHeight="1">
      <c r="A22" s="106" t="s">
        <v>290</v>
      </c>
      <c r="B22" s="107"/>
      <c r="C22" s="46">
        <f>ROUND(SUM(C14:C21),0)</f>
        <v>0</v>
      </c>
      <c r="D22" s="106" t="s">
        <v>303</v>
      </c>
      <c r="E22" s="107"/>
      <c r="F22" s="46">
        <f>SUM(F14:F21)</f>
        <v>0</v>
      </c>
      <c r="G22" s="106" t="s">
        <v>314</v>
      </c>
      <c r="H22" s="107"/>
      <c r="I22" s="46">
        <f>SUM(I14:I21)</f>
        <v>0</v>
      </c>
      <c r="J22" s="30"/>
    </row>
    <row r="23" spans="1:10" ht="12.75" customHeight="1">
      <c r="A23" s="8"/>
      <c r="B23" s="8"/>
      <c r="C23" s="44"/>
      <c r="D23" s="106" t="s">
        <v>304</v>
      </c>
      <c r="E23" s="107"/>
      <c r="F23" s="48">
        <v>0</v>
      </c>
      <c r="G23" s="106" t="s">
        <v>315</v>
      </c>
      <c r="H23" s="107"/>
      <c r="I23" s="46">
        <v>0</v>
      </c>
      <c r="J23" s="30"/>
    </row>
    <row r="24" spans="4:9" ht="12.75" customHeight="1">
      <c r="D24" s="8"/>
      <c r="E24" s="8"/>
      <c r="F24" s="49"/>
      <c r="G24" s="106" t="s">
        <v>316</v>
      </c>
      <c r="H24" s="107"/>
      <c r="I24" s="51"/>
    </row>
    <row r="25" spans="6:10" ht="12.75" customHeight="1">
      <c r="F25" s="50"/>
      <c r="G25" s="106" t="s">
        <v>317</v>
      </c>
      <c r="H25" s="107"/>
      <c r="I25" s="46">
        <v>0</v>
      </c>
      <c r="J25" s="30"/>
    </row>
    <row r="26" spans="1:9" ht="12.75">
      <c r="A26" s="7"/>
      <c r="B26" s="7"/>
      <c r="C26" s="7"/>
      <c r="G26" s="8"/>
      <c r="H26" s="8"/>
      <c r="I26" s="8"/>
    </row>
    <row r="27" spans="1:9" ht="12.75" customHeight="1">
      <c r="A27" s="101" t="s">
        <v>291</v>
      </c>
      <c r="B27" s="102"/>
      <c r="C27" s="52">
        <f>ROUND(SUM('Stavební rozpočet'!AJ12:AJ137),0)</f>
        <v>0</v>
      </c>
      <c r="D27" s="45"/>
      <c r="E27" s="7"/>
      <c r="F27" s="7"/>
      <c r="G27" s="7"/>
      <c r="H27" s="7"/>
      <c r="I27" s="7"/>
    </row>
    <row r="28" spans="1:10" ht="12.75" customHeight="1">
      <c r="A28" s="101" t="s">
        <v>292</v>
      </c>
      <c r="B28" s="102"/>
      <c r="C28" s="52">
        <f>ROUND(SUM('Stavební rozpočet'!AK12:AK137),0)</f>
        <v>0</v>
      </c>
      <c r="D28" s="101" t="s">
        <v>305</v>
      </c>
      <c r="E28" s="102"/>
      <c r="F28" s="52">
        <f>ROUND(C28*(15/100),2)</f>
        <v>0</v>
      </c>
      <c r="G28" s="101" t="s">
        <v>318</v>
      </c>
      <c r="H28" s="102"/>
      <c r="I28" s="52">
        <f>ROUND(SUM(C27:C29),0)</f>
        <v>0</v>
      </c>
      <c r="J28" s="30"/>
    </row>
    <row r="29" spans="1:10" ht="12.75" customHeight="1">
      <c r="A29" s="101" t="s">
        <v>293</v>
      </c>
      <c r="B29" s="102"/>
      <c r="C29" s="52">
        <f>ROUND(SUM('Stavební rozpočet'!AL12:AL137)+(F22+I22+F23+I23+I24+I25),0)</f>
        <v>0</v>
      </c>
      <c r="D29" s="101" t="s">
        <v>306</v>
      </c>
      <c r="E29" s="102"/>
      <c r="F29" s="52">
        <f>ROUND(C29*(21/100),2)</f>
        <v>0</v>
      </c>
      <c r="G29" s="101" t="s">
        <v>319</v>
      </c>
      <c r="H29" s="102"/>
      <c r="I29" s="52">
        <f>ROUND(SUM(F28:F29)+I28,0)</f>
        <v>0</v>
      </c>
      <c r="J29" s="30"/>
    </row>
    <row r="30" spans="1:9" ht="12.75">
      <c r="A30" s="40"/>
      <c r="B30" s="40"/>
      <c r="C30" s="40"/>
      <c r="D30" s="40"/>
      <c r="E30" s="40"/>
      <c r="F30" s="40"/>
      <c r="G30" s="40"/>
      <c r="H30" s="40"/>
      <c r="I30" s="40"/>
    </row>
    <row r="31" spans="1:10" ht="12.75" customHeight="1">
      <c r="A31" s="103" t="s">
        <v>294</v>
      </c>
      <c r="B31" s="104"/>
      <c r="C31" s="105"/>
      <c r="D31" s="103" t="s">
        <v>307</v>
      </c>
      <c r="E31" s="104"/>
      <c r="F31" s="105"/>
      <c r="G31" s="103" t="s">
        <v>320</v>
      </c>
      <c r="H31" s="104"/>
      <c r="I31" s="105"/>
      <c r="J31" s="31"/>
    </row>
    <row r="32" spans="1:10" ht="12.75" customHeight="1">
      <c r="A32" s="95"/>
      <c r="B32" s="96"/>
      <c r="C32" s="97"/>
      <c r="D32" s="95"/>
      <c r="E32" s="96"/>
      <c r="F32" s="97"/>
      <c r="G32" s="95"/>
      <c r="H32" s="96"/>
      <c r="I32" s="97"/>
      <c r="J32" s="31"/>
    </row>
    <row r="33" spans="1:10" ht="12.75" customHeight="1">
      <c r="A33" s="95"/>
      <c r="B33" s="96"/>
      <c r="C33" s="97"/>
      <c r="D33" s="95"/>
      <c r="E33" s="96"/>
      <c r="F33" s="97"/>
      <c r="G33" s="95"/>
      <c r="H33" s="96"/>
      <c r="I33" s="97"/>
      <c r="J33" s="31"/>
    </row>
    <row r="34" spans="1:10" ht="12.75" customHeight="1">
      <c r="A34" s="95"/>
      <c r="B34" s="96"/>
      <c r="C34" s="97"/>
      <c r="D34" s="95"/>
      <c r="E34" s="96"/>
      <c r="F34" s="97"/>
      <c r="G34" s="95"/>
      <c r="H34" s="96"/>
      <c r="I34" s="97"/>
      <c r="J34" s="31"/>
    </row>
    <row r="35" spans="1:10" ht="12.75" customHeight="1">
      <c r="A35" s="98" t="s">
        <v>295</v>
      </c>
      <c r="B35" s="99"/>
      <c r="C35" s="100"/>
      <c r="D35" s="98" t="s">
        <v>295</v>
      </c>
      <c r="E35" s="99"/>
      <c r="F35" s="100"/>
      <c r="G35" s="98" t="s">
        <v>295</v>
      </c>
      <c r="H35" s="99"/>
      <c r="I35" s="100"/>
      <c r="J35" s="31"/>
    </row>
    <row r="36" spans="1:9" ht="10.5" customHeight="1">
      <c r="A36" s="41" t="s">
        <v>65</v>
      </c>
      <c r="B36" s="43"/>
      <c r="C36" s="43"/>
      <c r="D36" s="43"/>
      <c r="E36" s="43"/>
      <c r="F36" s="43"/>
      <c r="G36" s="43"/>
      <c r="H36" s="43"/>
      <c r="I36" s="43"/>
    </row>
    <row r="37" spans="1:9" ht="12.75" customHeight="1">
      <c r="A37" s="54"/>
      <c r="B37" s="55"/>
      <c r="C37" s="55"/>
      <c r="D37" s="55"/>
      <c r="E37" s="55"/>
      <c r="F37" s="55"/>
      <c r="G37" s="55"/>
      <c r="H37" s="55"/>
      <c r="I37" s="55"/>
    </row>
  </sheetData>
  <sheetProtection/>
  <mergeCells count="83">
    <mergeCell ref="I2:I3"/>
    <mergeCell ref="A4:B5"/>
    <mergeCell ref="C4:D5"/>
    <mergeCell ref="E4:E5"/>
    <mergeCell ref="F4:G5"/>
    <mergeCell ref="C1:I1"/>
    <mergeCell ref="A2:B3"/>
    <mergeCell ref="C2:D3"/>
    <mergeCell ref="E2:E3"/>
    <mergeCell ref="F2:G3"/>
    <mergeCell ref="H2:H3"/>
    <mergeCell ref="E8:E9"/>
    <mergeCell ref="F8:G9"/>
    <mergeCell ref="H4:H5"/>
    <mergeCell ref="I4:I5"/>
    <mergeCell ref="A6:B7"/>
    <mergeCell ref="C6:D7"/>
    <mergeCell ref="E6:E7"/>
    <mergeCell ref="F6:G7"/>
    <mergeCell ref="H6:H7"/>
    <mergeCell ref="I6:I7"/>
    <mergeCell ref="H8:H9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D14:E14"/>
    <mergeCell ref="G14:H14"/>
    <mergeCell ref="D15:E15"/>
    <mergeCell ref="G15:H15"/>
    <mergeCell ref="A12:I12"/>
    <mergeCell ref="B13:C13"/>
    <mergeCell ref="E13:F13"/>
    <mergeCell ref="H13:I13"/>
    <mergeCell ref="G21:H21"/>
    <mergeCell ref="D18:E18"/>
    <mergeCell ref="G18:H18"/>
    <mergeCell ref="D19:E19"/>
    <mergeCell ref="G19:H19"/>
    <mergeCell ref="D16:E16"/>
    <mergeCell ref="G16:H16"/>
    <mergeCell ref="D17:E17"/>
    <mergeCell ref="G17:H17"/>
    <mergeCell ref="A22:B22"/>
    <mergeCell ref="D22:E22"/>
    <mergeCell ref="G22:H22"/>
    <mergeCell ref="D23:E23"/>
    <mergeCell ref="G23:H23"/>
    <mergeCell ref="A20:B20"/>
    <mergeCell ref="D20:E20"/>
    <mergeCell ref="G20:H20"/>
    <mergeCell ref="A21:B21"/>
    <mergeCell ref="D21:E21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Radka Klímová</cp:lastModifiedBy>
  <dcterms:created xsi:type="dcterms:W3CDTF">2020-05-26T06:39:25Z</dcterms:created>
  <dcterms:modified xsi:type="dcterms:W3CDTF">2020-05-26T12:52:12Z</dcterms:modified>
  <cp:category/>
  <cp:version/>
  <cp:contentType/>
  <cp:contentStatus/>
</cp:coreProperties>
</file>